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1710105\Desktop\bacheloroppgaver\"/>
    </mc:Choice>
  </mc:AlternateContent>
  <bookViews>
    <workbookView xWindow="0" yWindow="497" windowWidth="25603" windowHeight="14340"/>
  </bookViews>
  <sheets>
    <sheet name="Worst case" sheetId="15" r:id="rId1"/>
    <sheet name="Base case" sheetId="8" r:id="rId2"/>
    <sheet name="Best case " sheetId="16" r:id="rId3"/>
    <sheet name="Realopsjon Scenario 1" sheetId="28" r:id="rId4"/>
    <sheet name="Realopsjon Scenario 2" sheetId="25" r:id="rId5"/>
    <sheet name="Realopsjon Scenario 3" sheetId="26" r:id="rId6"/>
    <sheet name="Realopsjon Scenario 4" sheetId="27" r:id="rId7"/>
    <sheet name="Konklusjon realopsjon" sheetId="29" r:id="rId8"/>
    <sheet name="Innt. Worst" sheetId="5" r:id="rId9"/>
    <sheet name="Innt. Base" sheetId="6" r:id="rId10"/>
    <sheet name="Innt. Best" sheetId="7" r:id="rId11"/>
    <sheet name="Restråstoff" sheetId="17" r:id="rId12"/>
    <sheet name="Dieselpris" sheetId="19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27" l="1"/>
  <c r="E15" i="27"/>
  <c r="K26" i="29"/>
  <c r="R38" i="29" l="1"/>
  <c r="R40" i="29"/>
  <c r="R36" i="29"/>
  <c r="R31" i="29"/>
  <c r="R33" i="29"/>
  <c r="R29" i="29"/>
  <c r="R23" i="29"/>
  <c r="R25" i="29"/>
  <c r="R21" i="29"/>
  <c r="R16" i="29"/>
  <c r="R18" i="29"/>
  <c r="R14" i="29"/>
  <c r="S38" i="29"/>
  <c r="S40" i="29"/>
  <c r="S36" i="29"/>
  <c r="S31" i="29"/>
  <c r="S33" i="29"/>
  <c r="S29" i="29"/>
  <c r="S23" i="29"/>
  <c r="S25" i="29"/>
  <c r="S21" i="29"/>
  <c r="S16" i="29"/>
  <c r="S18" i="29"/>
  <c r="S14" i="29"/>
  <c r="F6" i="29"/>
  <c r="F4" i="29"/>
  <c r="F5" i="29"/>
  <c r="F12" i="29"/>
  <c r="F13" i="29"/>
  <c r="F14" i="29"/>
  <c r="F20" i="29"/>
  <c r="F21" i="29"/>
  <c r="F22" i="29"/>
  <c r="F28" i="29"/>
  <c r="F29" i="29"/>
  <c r="F30" i="29"/>
  <c r="I5" i="28"/>
  <c r="K7" i="28"/>
  <c r="E16" i="28" s="1"/>
  <c r="H16" i="28"/>
  <c r="H56" i="28" s="1"/>
  <c r="E19" i="28"/>
  <c r="F19" i="28"/>
  <c r="G19" i="28"/>
  <c r="H19" i="28"/>
  <c r="E21" i="28"/>
  <c r="F21" i="28"/>
  <c r="G21" i="28"/>
  <c r="H21" i="28"/>
  <c r="E23" i="28"/>
  <c r="F23" i="28"/>
  <c r="G23" i="28"/>
  <c r="H23" i="28"/>
  <c r="E26" i="28"/>
  <c r="F26" i="28"/>
  <c r="G26" i="28"/>
  <c r="H26" i="28"/>
  <c r="E27" i="28"/>
  <c r="F27" i="28"/>
  <c r="G27" i="28"/>
  <c r="H27" i="28"/>
  <c r="E28" i="28"/>
  <c r="F28" i="28"/>
  <c r="G28" i="28" s="1"/>
  <c r="H28" i="28" s="1"/>
  <c r="E39" i="28"/>
  <c r="F39" i="28"/>
  <c r="G39" i="28"/>
  <c r="H39" i="28"/>
  <c r="E40" i="28"/>
  <c r="F40" i="28"/>
  <c r="G40" i="28"/>
  <c r="H40" i="28"/>
  <c r="E41" i="28"/>
  <c r="F41" i="28"/>
  <c r="G41" i="28"/>
  <c r="H41" i="28"/>
  <c r="H43" i="28" s="1"/>
  <c r="E43" i="28"/>
  <c r="F43" i="28"/>
  <c r="G43" i="28"/>
  <c r="D57" i="28"/>
  <c r="E49" i="28" s="1"/>
  <c r="I5" i="27"/>
  <c r="K7" i="27"/>
  <c r="F15" i="27"/>
  <c r="F24" i="27" s="1"/>
  <c r="H15" i="27"/>
  <c r="H19" i="27" s="1"/>
  <c r="E18" i="27"/>
  <c r="F18" i="27"/>
  <c r="G18" i="27"/>
  <c r="H18" i="27"/>
  <c r="E20" i="27"/>
  <c r="F20" i="27"/>
  <c r="G20" i="27"/>
  <c r="H20" i="27"/>
  <c r="E22" i="27"/>
  <c r="F22" i="27"/>
  <c r="G22" i="27"/>
  <c r="H22" i="27"/>
  <c r="E25" i="27"/>
  <c r="F25" i="27"/>
  <c r="G25" i="27"/>
  <c r="H25" i="27"/>
  <c r="E26" i="27"/>
  <c r="F26" i="27"/>
  <c r="G26" i="27"/>
  <c r="H26" i="27"/>
  <c r="E27" i="27"/>
  <c r="F27" i="27"/>
  <c r="G27" i="27" s="1"/>
  <c r="E38" i="27"/>
  <c r="F38" i="27"/>
  <c r="G38" i="27"/>
  <c r="H38" i="27"/>
  <c r="E39" i="27"/>
  <c r="F39" i="27"/>
  <c r="G39" i="27"/>
  <c r="H39" i="27"/>
  <c r="E40" i="27"/>
  <c r="F40" i="27"/>
  <c r="G40" i="27"/>
  <c r="H40" i="27"/>
  <c r="E42" i="27"/>
  <c r="F42" i="27"/>
  <c r="G42" i="27"/>
  <c r="H42" i="27"/>
  <c r="D56" i="27"/>
  <c r="I5" i="26"/>
  <c r="K7" i="26"/>
  <c r="E15" i="26"/>
  <c r="E24" i="26" s="1"/>
  <c r="F15" i="26"/>
  <c r="F19" i="26" s="1"/>
  <c r="G15" i="26"/>
  <c r="H15" i="26"/>
  <c r="H19" i="26" s="1"/>
  <c r="E18" i="26"/>
  <c r="F18" i="26"/>
  <c r="G18" i="26"/>
  <c r="H18" i="26"/>
  <c r="E20" i="26"/>
  <c r="F20" i="26"/>
  <c r="G20" i="26"/>
  <c r="H20" i="26"/>
  <c r="E22" i="26"/>
  <c r="F22" i="26"/>
  <c r="G22" i="26"/>
  <c r="H22" i="26"/>
  <c r="E25" i="26"/>
  <c r="F25" i="26"/>
  <c r="G25" i="26"/>
  <c r="H25" i="26"/>
  <c r="E26" i="26"/>
  <c r="F26" i="26"/>
  <c r="G26" i="26"/>
  <c r="H26" i="26"/>
  <c r="E27" i="26"/>
  <c r="F27" i="26" s="1"/>
  <c r="E38" i="26"/>
  <c r="F38" i="26"/>
  <c r="G38" i="26"/>
  <c r="H38" i="26"/>
  <c r="E39" i="26"/>
  <c r="F39" i="26"/>
  <c r="G39" i="26"/>
  <c r="H39" i="26"/>
  <c r="E40" i="26"/>
  <c r="F40" i="26"/>
  <c r="G40" i="26"/>
  <c r="H40" i="26"/>
  <c r="E42" i="26"/>
  <c r="F42" i="26"/>
  <c r="G42" i="26"/>
  <c r="H42" i="26"/>
  <c r="E48" i="26"/>
  <c r="E54" i="26"/>
  <c r="H55" i="26"/>
  <c r="D56" i="26"/>
  <c r="F48" i="26" s="1"/>
  <c r="F54" i="26" s="1"/>
  <c r="I5" i="25"/>
  <c r="K7" i="25"/>
  <c r="E15" i="25"/>
  <c r="D55" i="25" s="1"/>
  <c r="F15" i="25"/>
  <c r="F23" i="25" s="1"/>
  <c r="G15" i="25"/>
  <c r="G19" i="25" s="1"/>
  <c r="H15" i="25"/>
  <c r="H19" i="25" s="1"/>
  <c r="E18" i="25"/>
  <c r="F18" i="25"/>
  <c r="G18" i="25"/>
  <c r="H18" i="25"/>
  <c r="E20" i="25"/>
  <c r="F20" i="25"/>
  <c r="G20" i="25"/>
  <c r="H20" i="25"/>
  <c r="G21" i="25"/>
  <c r="E22" i="25"/>
  <c r="F22" i="25"/>
  <c r="G22" i="25"/>
  <c r="H22" i="25"/>
  <c r="G23" i="25"/>
  <c r="G24" i="25"/>
  <c r="E25" i="25"/>
  <c r="F25" i="25"/>
  <c r="G25" i="25"/>
  <c r="H25" i="25"/>
  <c r="E26" i="25"/>
  <c r="F26" i="25"/>
  <c r="G26" i="25"/>
  <c r="H26" i="25"/>
  <c r="E27" i="25"/>
  <c r="F27" i="25"/>
  <c r="G27" i="25" s="1"/>
  <c r="E38" i="25"/>
  <c r="F38" i="25"/>
  <c r="G38" i="25"/>
  <c r="H38" i="25"/>
  <c r="E39" i="25"/>
  <c r="F39" i="25"/>
  <c r="G39" i="25"/>
  <c r="H39" i="25"/>
  <c r="E40" i="25"/>
  <c r="F40" i="25"/>
  <c r="G40" i="25"/>
  <c r="H40" i="25"/>
  <c r="E42" i="25"/>
  <c r="F42" i="25"/>
  <c r="G42" i="25"/>
  <c r="H42" i="25"/>
  <c r="D56" i="25"/>
  <c r="D26" i="6"/>
  <c r="O15" i="29" l="1"/>
  <c r="O30" i="29"/>
  <c r="O37" i="29"/>
  <c r="F55" i="25"/>
  <c r="F24" i="25"/>
  <c r="F21" i="25"/>
  <c r="F19" i="25"/>
  <c r="G55" i="25"/>
  <c r="H24" i="25"/>
  <c r="H21" i="25"/>
  <c r="H55" i="25"/>
  <c r="H23" i="25"/>
  <c r="F15" i="29"/>
  <c r="O22" i="29"/>
  <c r="F21" i="26"/>
  <c r="F23" i="26"/>
  <c r="F55" i="26"/>
  <c r="F24" i="26"/>
  <c r="E55" i="26"/>
  <c r="E23" i="26"/>
  <c r="D55" i="26"/>
  <c r="D58" i="26" s="1"/>
  <c r="F31" i="29"/>
  <c r="H25" i="28"/>
  <c r="H24" i="28"/>
  <c r="H22" i="28"/>
  <c r="H20" i="28"/>
  <c r="E24" i="25"/>
  <c r="E23" i="25"/>
  <c r="E21" i="25"/>
  <c r="E55" i="25"/>
  <c r="E19" i="25"/>
  <c r="H23" i="26"/>
  <c r="G55" i="26"/>
  <c r="H21" i="26"/>
  <c r="H24" i="26"/>
  <c r="G19" i="26"/>
  <c r="G24" i="26"/>
  <c r="G23" i="26"/>
  <c r="G21" i="26"/>
  <c r="H55" i="27"/>
  <c r="H23" i="27"/>
  <c r="H21" i="27"/>
  <c r="H24" i="27"/>
  <c r="F23" i="29"/>
  <c r="F7" i="29"/>
  <c r="F19" i="27"/>
  <c r="F21" i="27"/>
  <c r="F23" i="27"/>
  <c r="G15" i="27"/>
  <c r="H27" i="27"/>
  <c r="E55" i="27"/>
  <c r="E19" i="27"/>
  <c r="E21" i="27"/>
  <c r="E23" i="27"/>
  <c r="E24" i="27"/>
  <c r="D55" i="27"/>
  <c r="D58" i="27" s="1"/>
  <c r="E20" i="28"/>
  <c r="E22" i="28"/>
  <c r="E24" i="28"/>
  <c r="E25" i="28"/>
  <c r="D56" i="28"/>
  <c r="D59" i="28" s="1"/>
  <c r="F28" i="26"/>
  <c r="G27" i="26"/>
  <c r="E55" i="28"/>
  <c r="E21" i="26"/>
  <c r="E19" i="26"/>
  <c r="E48" i="27"/>
  <c r="E54" i="27" s="1"/>
  <c r="G16" i="28"/>
  <c r="G48" i="26"/>
  <c r="G54" i="26" s="1"/>
  <c r="F49" i="28"/>
  <c r="F55" i="28" s="1"/>
  <c r="F16" i="28"/>
  <c r="E56" i="28" s="1"/>
  <c r="G28" i="25"/>
  <c r="H27" i="25"/>
  <c r="E48" i="25"/>
  <c r="F28" i="25"/>
  <c r="D58" i="25"/>
  <c r="C18" i="19"/>
  <c r="C19" i="19"/>
  <c r="C21" i="19"/>
  <c r="D11" i="19"/>
  <c r="D10" i="19"/>
  <c r="D21" i="8"/>
  <c r="E21" i="15"/>
  <c r="D24" i="17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AB16" i="16"/>
  <c r="AC16" i="16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D16" i="8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D16" i="15"/>
  <c r="D4" i="6"/>
  <c r="F4" i="6"/>
  <c r="G5" i="5"/>
  <c r="G4" i="5"/>
  <c r="E28" i="25" l="1"/>
  <c r="E30" i="25" s="1"/>
  <c r="H28" i="25"/>
  <c r="H30" i="25" s="1"/>
  <c r="H29" i="28"/>
  <c r="H31" i="28" s="1"/>
  <c r="H34" i="28" s="1"/>
  <c r="E29" i="28"/>
  <c r="E31" i="28" s="1"/>
  <c r="E34" i="28" s="1"/>
  <c r="E28" i="27"/>
  <c r="E30" i="27" s="1"/>
  <c r="E34" i="27" s="1"/>
  <c r="F28" i="27"/>
  <c r="F30" i="27" s="1"/>
  <c r="F34" i="27" s="1"/>
  <c r="H28" i="27"/>
  <c r="H30" i="27" s="1"/>
  <c r="G24" i="27"/>
  <c r="G23" i="27"/>
  <c r="G55" i="27"/>
  <c r="G21" i="27"/>
  <c r="G19" i="27"/>
  <c r="F55" i="27"/>
  <c r="F30" i="26"/>
  <c r="E33" i="27"/>
  <c r="F48" i="27"/>
  <c r="H48" i="26"/>
  <c r="H54" i="26" s="1"/>
  <c r="H35" i="28"/>
  <c r="G49" i="28"/>
  <c r="G55" i="28" s="1"/>
  <c r="F20" i="28"/>
  <c r="F22" i="28"/>
  <c r="F24" i="28"/>
  <c r="F25" i="28"/>
  <c r="F56" i="28"/>
  <c r="G20" i="28"/>
  <c r="G22" i="28"/>
  <c r="G24" i="28"/>
  <c r="G25" i="28"/>
  <c r="G56" i="28"/>
  <c r="E28" i="26"/>
  <c r="H49" i="28"/>
  <c r="H55" i="28" s="1"/>
  <c r="G28" i="26"/>
  <c r="H27" i="26"/>
  <c r="H28" i="26" s="1"/>
  <c r="G48" i="25"/>
  <c r="G54" i="25" s="1"/>
  <c r="F48" i="25"/>
  <c r="F54" i="25" s="1"/>
  <c r="H48" i="25"/>
  <c r="H54" i="25" s="1"/>
  <c r="F30" i="25"/>
  <c r="E54" i="25"/>
  <c r="G30" i="25"/>
  <c r="D23" i="16"/>
  <c r="D22" i="16"/>
  <c r="L21" i="15"/>
  <c r="H21" i="15"/>
  <c r="G21" i="15"/>
  <c r="K21" i="15"/>
  <c r="L21" i="16"/>
  <c r="J21" i="16"/>
  <c r="I21" i="16"/>
  <c r="D21" i="16"/>
  <c r="D43" i="16"/>
  <c r="F35" i="27" l="1"/>
  <c r="F44" i="27" s="1"/>
  <c r="F46" i="27" s="1"/>
  <c r="F50" i="27" s="1"/>
  <c r="F51" i="27" s="1"/>
  <c r="F52" i="27" s="1"/>
  <c r="F58" i="27" s="1"/>
  <c r="F33" i="27"/>
  <c r="E35" i="28"/>
  <c r="E36" i="28" s="1"/>
  <c r="E45" i="28" s="1"/>
  <c r="E47" i="28" s="1"/>
  <c r="E51" i="28" s="1"/>
  <c r="G29" i="28"/>
  <c r="G31" i="28" s="1"/>
  <c r="E34" i="25"/>
  <c r="E33" i="25"/>
  <c r="G28" i="27"/>
  <c r="G30" i="27" s="1"/>
  <c r="G33" i="27" s="1"/>
  <c r="E30" i="26"/>
  <c r="H30" i="26"/>
  <c r="H33" i="27"/>
  <c r="H34" i="27"/>
  <c r="E35" i="27"/>
  <c r="E44" i="27" s="1"/>
  <c r="E46" i="27" s="1"/>
  <c r="E50" i="27" s="1"/>
  <c r="H36" i="28"/>
  <c r="H45" i="28" s="1"/>
  <c r="H47" i="28" s="1"/>
  <c r="H51" i="28" s="1"/>
  <c r="F33" i="26"/>
  <c r="F34" i="26"/>
  <c r="G30" i="26"/>
  <c r="F29" i="28"/>
  <c r="F54" i="27"/>
  <c r="G48" i="27"/>
  <c r="G54" i="27" s="1"/>
  <c r="G33" i="25"/>
  <c r="G34" i="25"/>
  <c r="H33" i="25"/>
  <c r="H34" i="25"/>
  <c r="F33" i="25"/>
  <c r="F34" i="25"/>
  <c r="C10" i="8"/>
  <c r="E52" i="28" l="1"/>
  <c r="E53" i="28" s="1"/>
  <c r="E59" i="28" s="1"/>
  <c r="F35" i="25"/>
  <c r="F44" i="25" s="1"/>
  <c r="F46" i="25" s="1"/>
  <c r="F50" i="25" s="1"/>
  <c r="F51" i="25" s="1"/>
  <c r="F52" i="25" s="1"/>
  <c r="F58" i="25" s="1"/>
  <c r="E35" i="25"/>
  <c r="E44" i="25" s="1"/>
  <c r="E46" i="25" s="1"/>
  <c r="E50" i="25" s="1"/>
  <c r="E51" i="25" s="1"/>
  <c r="E52" i="25" s="1"/>
  <c r="E58" i="25" s="1"/>
  <c r="G34" i="27"/>
  <c r="H48" i="27"/>
  <c r="H54" i="27" s="1"/>
  <c r="H52" i="28"/>
  <c r="H53" i="28" s="1"/>
  <c r="H59" i="28" s="1"/>
  <c r="E51" i="27"/>
  <c r="E52" i="27" s="1"/>
  <c r="E58" i="27" s="1"/>
  <c r="H33" i="26"/>
  <c r="H34" i="26"/>
  <c r="G33" i="26"/>
  <c r="G34" i="26"/>
  <c r="E33" i="26"/>
  <c r="E34" i="26"/>
  <c r="G35" i="27"/>
  <c r="G44" i="27" s="1"/>
  <c r="G46" i="27" s="1"/>
  <c r="G50" i="27" s="1"/>
  <c r="H35" i="27"/>
  <c r="H44" i="27" s="1"/>
  <c r="H46" i="27" s="1"/>
  <c r="F31" i="28"/>
  <c r="F35" i="26"/>
  <c r="F44" i="26" s="1"/>
  <c r="F46" i="26" s="1"/>
  <c r="F50" i="26" s="1"/>
  <c r="G34" i="28"/>
  <c r="G35" i="28"/>
  <c r="G35" i="25"/>
  <c r="G44" i="25" s="1"/>
  <c r="G46" i="25" s="1"/>
  <c r="G50" i="25" s="1"/>
  <c r="H35" i="25"/>
  <c r="H44" i="25" s="1"/>
  <c r="H46" i="25" s="1"/>
  <c r="H50" i="25" s="1"/>
  <c r="K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AB21" i="16"/>
  <c r="AC21" i="16"/>
  <c r="H21" i="16"/>
  <c r="F21" i="16"/>
  <c r="G21" i="16"/>
  <c r="E21" i="16"/>
  <c r="E21" i="8"/>
  <c r="F21" i="8"/>
  <c r="G21" i="8"/>
  <c r="J21" i="15"/>
  <c r="I21" i="15"/>
  <c r="D21" i="15"/>
  <c r="F21" i="15"/>
  <c r="C13" i="19"/>
  <c r="G4" i="19"/>
  <c r="D5" i="19"/>
  <c r="E10" i="19"/>
  <c r="F10" i="19" s="1"/>
  <c r="G10" i="19" s="1"/>
  <c r="H10" i="19" s="1"/>
  <c r="G36" i="28" l="1"/>
  <c r="G45" i="28" s="1"/>
  <c r="G47" i="28" s="1"/>
  <c r="G51" i="28" s="1"/>
  <c r="G52" i="28" s="1"/>
  <c r="G53" i="28" s="1"/>
  <c r="G59" i="28" s="1"/>
  <c r="H35" i="26"/>
  <c r="H44" i="26" s="1"/>
  <c r="H46" i="26" s="1"/>
  <c r="H50" i="26" s="1"/>
  <c r="H51" i="26" s="1"/>
  <c r="H52" i="26" s="1"/>
  <c r="H58" i="26" s="1"/>
  <c r="H50" i="27"/>
  <c r="H51" i="27" s="1"/>
  <c r="H52" i="27" s="1"/>
  <c r="H58" i="27" s="1"/>
  <c r="F51" i="26"/>
  <c r="F52" i="26" s="1"/>
  <c r="F58" i="26" s="1"/>
  <c r="G51" i="27"/>
  <c r="G52" i="27" s="1"/>
  <c r="G58" i="27" s="1"/>
  <c r="F34" i="28"/>
  <c r="F35" i="28"/>
  <c r="G35" i="26"/>
  <c r="G44" i="26" s="1"/>
  <c r="G46" i="26" s="1"/>
  <c r="G50" i="26" s="1"/>
  <c r="E35" i="26"/>
  <c r="E44" i="26" s="1"/>
  <c r="E46" i="26" s="1"/>
  <c r="E50" i="26" s="1"/>
  <c r="H51" i="25"/>
  <c r="H52" i="25" s="1"/>
  <c r="H58" i="25" s="1"/>
  <c r="G51" i="25"/>
  <c r="G52" i="25" s="1"/>
  <c r="G58" i="25" s="1"/>
  <c r="C15" i="19"/>
  <c r="E11" i="19"/>
  <c r="D12" i="19"/>
  <c r="D13" i="19" s="1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Z17" i="15"/>
  <c r="AA17" i="15"/>
  <c r="AB17" i="15"/>
  <c r="D17" i="15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D17" i="8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AB17" i="16"/>
  <c r="AC17" i="16"/>
  <c r="D17" i="16"/>
  <c r="AB90" i="17"/>
  <c r="AB91" i="17" s="1"/>
  <c r="AB92" i="17" s="1"/>
  <c r="AB93" i="17" s="1"/>
  <c r="AA90" i="17"/>
  <c r="AA91" i="17" s="1"/>
  <c r="AA92" i="17" s="1"/>
  <c r="AA93" i="17" s="1"/>
  <c r="Z90" i="17"/>
  <c r="Z91" i="17" s="1"/>
  <c r="Z92" i="17" s="1"/>
  <c r="Z93" i="17" s="1"/>
  <c r="Y90" i="17"/>
  <c r="Y91" i="17" s="1"/>
  <c r="Y92" i="17" s="1"/>
  <c r="Y93" i="17" s="1"/>
  <c r="X90" i="17"/>
  <c r="X91" i="17" s="1"/>
  <c r="X92" i="17" s="1"/>
  <c r="X93" i="17" s="1"/>
  <c r="W90" i="17"/>
  <c r="W91" i="17" s="1"/>
  <c r="W92" i="17" s="1"/>
  <c r="W93" i="17" s="1"/>
  <c r="V90" i="17"/>
  <c r="V91" i="17" s="1"/>
  <c r="V92" i="17" s="1"/>
  <c r="V93" i="17" s="1"/>
  <c r="U90" i="17"/>
  <c r="U91" i="17" s="1"/>
  <c r="U92" i="17" s="1"/>
  <c r="U93" i="17" s="1"/>
  <c r="T90" i="17"/>
  <c r="T91" i="17" s="1"/>
  <c r="T92" i="17" s="1"/>
  <c r="T93" i="17" s="1"/>
  <c r="S90" i="17"/>
  <c r="S91" i="17" s="1"/>
  <c r="S92" i="17" s="1"/>
  <c r="S93" i="17" s="1"/>
  <c r="R90" i="17"/>
  <c r="R91" i="17" s="1"/>
  <c r="R92" i="17" s="1"/>
  <c r="R93" i="17" s="1"/>
  <c r="Q90" i="17"/>
  <c r="Q91" i="17" s="1"/>
  <c r="Q92" i="17" s="1"/>
  <c r="Q93" i="17" s="1"/>
  <c r="P90" i="17"/>
  <c r="P91" i="17" s="1"/>
  <c r="P92" i="17" s="1"/>
  <c r="P93" i="17" s="1"/>
  <c r="O90" i="17"/>
  <c r="O91" i="17" s="1"/>
  <c r="O92" i="17" s="1"/>
  <c r="O93" i="17" s="1"/>
  <c r="N90" i="17"/>
  <c r="N91" i="17" s="1"/>
  <c r="N92" i="17" s="1"/>
  <c r="N93" i="17" s="1"/>
  <c r="M90" i="17"/>
  <c r="M91" i="17" s="1"/>
  <c r="M92" i="17" s="1"/>
  <c r="M93" i="17" s="1"/>
  <c r="L90" i="17"/>
  <c r="L91" i="17" s="1"/>
  <c r="L92" i="17" s="1"/>
  <c r="L93" i="17" s="1"/>
  <c r="K90" i="17"/>
  <c r="K91" i="17" s="1"/>
  <c r="K92" i="17" s="1"/>
  <c r="K93" i="17" s="1"/>
  <c r="J90" i="17"/>
  <c r="J91" i="17" s="1"/>
  <c r="J92" i="17" s="1"/>
  <c r="J93" i="17" s="1"/>
  <c r="I90" i="17"/>
  <c r="I91" i="17" s="1"/>
  <c r="I92" i="17" s="1"/>
  <c r="I93" i="17" s="1"/>
  <c r="H90" i="17"/>
  <c r="H91" i="17" s="1"/>
  <c r="H92" i="17" s="1"/>
  <c r="H93" i="17" s="1"/>
  <c r="G90" i="17"/>
  <c r="G91" i="17" s="1"/>
  <c r="G92" i="17" s="1"/>
  <c r="G93" i="17" s="1"/>
  <c r="F90" i="17"/>
  <c r="F91" i="17" s="1"/>
  <c r="F92" i="17" s="1"/>
  <c r="F93" i="17" s="1"/>
  <c r="E90" i="17"/>
  <c r="E91" i="17" s="1"/>
  <c r="E92" i="17" s="1"/>
  <c r="E93" i="17" s="1"/>
  <c r="D90" i="17"/>
  <c r="D91" i="17" s="1"/>
  <c r="D92" i="17" s="1"/>
  <c r="D93" i="17" s="1"/>
  <c r="AB84" i="17"/>
  <c r="AB85" i="17" s="1"/>
  <c r="AB86" i="17" s="1"/>
  <c r="AB87" i="17" s="1"/>
  <c r="AA84" i="17"/>
  <c r="AA85" i="17" s="1"/>
  <c r="Z84" i="17"/>
  <c r="Z85" i="17" s="1"/>
  <c r="Y84" i="17"/>
  <c r="Y85" i="17" s="1"/>
  <c r="X84" i="17"/>
  <c r="X85" i="17" s="1"/>
  <c r="W84" i="17"/>
  <c r="W85" i="17" s="1"/>
  <c r="V84" i="17"/>
  <c r="V85" i="17" s="1"/>
  <c r="U84" i="17"/>
  <c r="U85" i="17" s="1"/>
  <c r="T84" i="17"/>
  <c r="T85" i="17" s="1"/>
  <c r="S84" i="17"/>
  <c r="S85" i="17" s="1"/>
  <c r="R84" i="17"/>
  <c r="R85" i="17" s="1"/>
  <c r="Q84" i="17"/>
  <c r="Q85" i="17" s="1"/>
  <c r="P84" i="17"/>
  <c r="P85" i="17" s="1"/>
  <c r="O84" i="17"/>
  <c r="O85" i="17" s="1"/>
  <c r="N84" i="17"/>
  <c r="N85" i="17" s="1"/>
  <c r="M84" i="17"/>
  <c r="M85" i="17" s="1"/>
  <c r="L84" i="17"/>
  <c r="L85" i="17" s="1"/>
  <c r="K84" i="17"/>
  <c r="K85" i="17" s="1"/>
  <c r="J84" i="17"/>
  <c r="J85" i="17" s="1"/>
  <c r="I84" i="17"/>
  <c r="I85" i="17" s="1"/>
  <c r="H84" i="17"/>
  <c r="H85" i="17" s="1"/>
  <c r="G84" i="17"/>
  <c r="G85" i="17" s="1"/>
  <c r="F84" i="17"/>
  <c r="F85" i="17" s="1"/>
  <c r="E84" i="17"/>
  <c r="E85" i="17" s="1"/>
  <c r="D84" i="17"/>
  <c r="D85" i="17" s="1"/>
  <c r="AB78" i="17"/>
  <c r="AB79" i="17" s="1"/>
  <c r="AB80" i="17" s="1"/>
  <c r="AB81" i="17" s="1"/>
  <c r="AA78" i="17"/>
  <c r="AA79" i="17" s="1"/>
  <c r="AA80" i="17" s="1"/>
  <c r="AA81" i="17" s="1"/>
  <c r="Z78" i="17"/>
  <c r="Z79" i="17" s="1"/>
  <c r="Z80" i="17" s="1"/>
  <c r="Z81" i="17" s="1"/>
  <c r="Y78" i="17"/>
  <c r="Y79" i="17" s="1"/>
  <c r="Y80" i="17" s="1"/>
  <c r="Y81" i="17" s="1"/>
  <c r="X78" i="17"/>
  <c r="X79" i="17" s="1"/>
  <c r="X80" i="17" s="1"/>
  <c r="X81" i="17" s="1"/>
  <c r="W78" i="17"/>
  <c r="W79" i="17" s="1"/>
  <c r="W80" i="17" s="1"/>
  <c r="W81" i="17" s="1"/>
  <c r="V78" i="17"/>
  <c r="V79" i="17" s="1"/>
  <c r="V80" i="17" s="1"/>
  <c r="V81" i="17" s="1"/>
  <c r="U78" i="17"/>
  <c r="U79" i="17" s="1"/>
  <c r="U80" i="17" s="1"/>
  <c r="U81" i="17" s="1"/>
  <c r="T78" i="17"/>
  <c r="T79" i="17" s="1"/>
  <c r="T80" i="17" s="1"/>
  <c r="T81" i="17" s="1"/>
  <c r="S78" i="17"/>
  <c r="S79" i="17" s="1"/>
  <c r="S80" i="17" s="1"/>
  <c r="S81" i="17" s="1"/>
  <c r="R78" i="17"/>
  <c r="R79" i="17" s="1"/>
  <c r="R80" i="17" s="1"/>
  <c r="R81" i="17" s="1"/>
  <c r="Q78" i="17"/>
  <c r="Q79" i="17" s="1"/>
  <c r="Q80" i="17" s="1"/>
  <c r="Q81" i="17" s="1"/>
  <c r="P78" i="17"/>
  <c r="P79" i="17" s="1"/>
  <c r="P80" i="17" s="1"/>
  <c r="P81" i="17" s="1"/>
  <c r="O78" i="17"/>
  <c r="O79" i="17" s="1"/>
  <c r="O80" i="17" s="1"/>
  <c r="O81" i="17" s="1"/>
  <c r="N78" i="17"/>
  <c r="N79" i="17" s="1"/>
  <c r="N80" i="17" s="1"/>
  <c r="N81" i="17" s="1"/>
  <c r="M78" i="17"/>
  <c r="M79" i="17" s="1"/>
  <c r="M80" i="17" s="1"/>
  <c r="M81" i="17" s="1"/>
  <c r="L78" i="17"/>
  <c r="L79" i="17" s="1"/>
  <c r="L80" i="17" s="1"/>
  <c r="L81" i="17" s="1"/>
  <c r="K78" i="17"/>
  <c r="K79" i="17" s="1"/>
  <c r="K80" i="17" s="1"/>
  <c r="K81" i="17" s="1"/>
  <c r="J78" i="17"/>
  <c r="J79" i="17" s="1"/>
  <c r="J80" i="17" s="1"/>
  <c r="J81" i="17" s="1"/>
  <c r="I78" i="17"/>
  <c r="I79" i="17" s="1"/>
  <c r="I80" i="17" s="1"/>
  <c r="I81" i="17" s="1"/>
  <c r="H78" i="17"/>
  <c r="H79" i="17" s="1"/>
  <c r="H80" i="17" s="1"/>
  <c r="H81" i="17" s="1"/>
  <c r="G78" i="17"/>
  <c r="G79" i="17" s="1"/>
  <c r="G80" i="17" s="1"/>
  <c r="G81" i="17" s="1"/>
  <c r="F78" i="17"/>
  <c r="F79" i="17" s="1"/>
  <c r="F80" i="17" s="1"/>
  <c r="F81" i="17" s="1"/>
  <c r="E78" i="17"/>
  <c r="E79" i="17" s="1"/>
  <c r="E80" i="17" s="1"/>
  <c r="E81" i="17" s="1"/>
  <c r="D78" i="17"/>
  <c r="D79" i="17" s="1"/>
  <c r="D80" i="17" s="1"/>
  <c r="D81" i="17" s="1"/>
  <c r="AB72" i="17"/>
  <c r="AB73" i="17" s="1"/>
  <c r="AB74" i="17" s="1"/>
  <c r="AB75" i="17" s="1"/>
  <c r="AA72" i="17"/>
  <c r="AA73" i="17" s="1"/>
  <c r="AA74" i="17" s="1"/>
  <c r="AA75" i="17" s="1"/>
  <c r="Z72" i="17"/>
  <c r="Z73" i="17" s="1"/>
  <c r="Z74" i="17" s="1"/>
  <c r="Z75" i="17" s="1"/>
  <c r="Y72" i="17"/>
  <c r="Y73" i="17" s="1"/>
  <c r="Y74" i="17" s="1"/>
  <c r="Y75" i="17" s="1"/>
  <c r="X72" i="17"/>
  <c r="X73" i="17" s="1"/>
  <c r="X74" i="17" s="1"/>
  <c r="X75" i="17" s="1"/>
  <c r="W72" i="17"/>
  <c r="W73" i="17" s="1"/>
  <c r="W74" i="17" s="1"/>
  <c r="W75" i="17" s="1"/>
  <c r="V72" i="17"/>
  <c r="V73" i="17" s="1"/>
  <c r="V74" i="17" s="1"/>
  <c r="V75" i="17" s="1"/>
  <c r="U72" i="17"/>
  <c r="U73" i="17" s="1"/>
  <c r="U74" i="17" s="1"/>
  <c r="U75" i="17" s="1"/>
  <c r="T72" i="17"/>
  <c r="T73" i="17" s="1"/>
  <c r="T74" i="17" s="1"/>
  <c r="T75" i="17" s="1"/>
  <c r="S72" i="17"/>
  <c r="S73" i="17" s="1"/>
  <c r="S74" i="17" s="1"/>
  <c r="S75" i="17" s="1"/>
  <c r="R72" i="17"/>
  <c r="R73" i="17" s="1"/>
  <c r="R74" i="17" s="1"/>
  <c r="R75" i="17" s="1"/>
  <c r="Q72" i="17"/>
  <c r="Q73" i="17" s="1"/>
  <c r="Q74" i="17" s="1"/>
  <c r="Q75" i="17" s="1"/>
  <c r="P72" i="17"/>
  <c r="P73" i="17" s="1"/>
  <c r="P74" i="17" s="1"/>
  <c r="P75" i="17" s="1"/>
  <c r="O72" i="17"/>
  <c r="O73" i="17" s="1"/>
  <c r="O74" i="17" s="1"/>
  <c r="O75" i="17" s="1"/>
  <c r="N72" i="17"/>
  <c r="N73" i="17" s="1"/>
  <c r="N74" i="17" s="1"/>
  <c r="N75" i="17" s="1"/>
  <c r="M72" i="17"/>
  <c r="M73" i="17" s="1"/>
  <c r="M74" i="17" s="1"/>
  <c r="M75" i="17" s="1"/>
  <c r="L72" i="17"/>
  <c r="L73" i="17" s="1"/>
  <c r="L74" i="17" s="1"/>
  <c r="L75" i="17" s="1"/>
  <c r="K72" i="17"/>
  <c r="K73" i="17" s="1"/>
  <c r="K74" i="17" s="1"/>
  <c r="K75" i="17" s="1"/>
  <c r="J72" i="17"/>
  <c r="J73" i="17" s="1"/>
  <c r="J74" i="17" s="1"/>
  <c r="J75" i="17" s="1"/>
  <c r="I72" i="17"/>
  <c r="I73" i="17" s="1"/>
  <c r="I74" i="17" s="1"/>
  <c r="I75" i="17" s="1"/>
  <c r="H72" i="17"/>
  <c r="H73" i="17" s="1"/>
  <c r="H74" i="17" s="1"/>
  <c r="H75" i="17" s="1"/>
  <c r="G72" i="17"/>
  <c r="G73" i="17" s="1"/>
  <c r="G74" i="17" s="1"/>
  <c r="G75" i="17" s="1"/>
  <c r="F72" i="17"/>
  <c r="F73" i="17" s="1"/>
  <c r="F74" i="17" s="1"/>
  <c r="F75" i="17" s="1"/>
  <c r="E72" i="17"/>
  <c r="E73" i="17" s="1"/>
  <c r="E74" i="17" s="1"/>
  <c r="E75" i="17" s="1"/>
  <c r="D72" i="17"/>
  <c r="D73" i="17" s="1"/>
  <c r="D74" i="17" s="1"/>
  <c r="D75" i="17" s="1"/>
  <c r="AB66" i="17"/>
  <c r="AB67" i="17" s="1"/>
  <c r="AB68" i="17" s="1"/>
  <c r="AB69" i="17" s="1"/>
  <c r="AA66" i="17"/>
  <c r="AA67" i="17" s="1"/>
  <c r="AA68" i="17" s="1"/>
  <c r="AA69" i="17" s="1"/>
  <c r="Z66" i="17"/>
  <c r="Z67" i="17" s="1"/>
  <c r="Z68" i="17" s="1"/>
  <c r="Z69" i="17" s="1"/>
  <c r="Y66" i="17"/>
  <c r="Y67" i="17" s="1"/>
  <c r="Y68" i="17" s="1"/>
  <c r="Y69" i="17" s="1"/>
  <c r="X66" i="17"/>
  <c r="X67" i="17" s="1"/>
  <c r="X68" i="17" s="1"/>
  <c r="X69" i="17" s="1"/>
  <c r="W66" i="17"/>
  <c r="W67" i="17" s="1"/>
  <c r="W68" i="17" s="1"/>
  <c r="W69" i="17" s="1"/>
  <c r="V66" i="17"/>
  <c r="V67" i="17" s="1"/>
  <c r="V68" i="17" s="1"/>
  <c r="V69" i="17" s="1"/>
  <c r="U66" i="17"/>
  <c r="U67" i="17" s="1"/>
  <c r="U68" i="17" s="1"/>
  <c r="U69" i="17" s="1"/>
  <c r="T66" i="17"/>
  <c r="T67" i="17" s="1"/>
  <c r="T68" i="17" s="1"/>
  <c r="T69" i="17" s="1"/>
  <c r="S66" i="17"/>
  <c r="S67" i="17" s="1"/>
  <c r="S68" i="17" s="1"/>
  <c r="S69" i="17" s="1"/>
  <c r="R66" i="17"/>
  <c r="R67" i="17" s="1"/>
  <c r="R68" i="17" s="1"/>
  <c r="R69" i="17" s="1"/>
  <c r="Q66" i="17"/>
  <c r="Q67" i="17" s="1"/>
  <c r="Q68" i="17" s="1"/>
  <c r="Q69" i="17" s="1"/>
  <c r="P66" i="17"/>
  <c r="P67" i="17" s="1"/>
  <c r="P68" i="17" s="1"/>
  <c r="P69" i="17" s="1"/>
  <c r="O66" i="17"/>
  <c r="O67" i="17" s="1"/>
  <c r="O68" i="17" s="1"/>
  <c r="O69" i="17" s="1"/>
  <c r="N66" i="17"/>
  <c r="N67" i="17" s="1"/>
  <c r="N68" i="17" s="1"/>
  <c r="N69" i="17" s="1"/>
  <c r="M66" i="17"/>
  <c r="M67" i="17" s="1"/>
  <c r="M68" i="17" s="1"/>
  <c r="M69" i="17" s="1"/>
  <c r="L66" i="17"/>
  <c r="L67" i="17" s="1"/>
  <c r="L68" i="17" s="1"/>
  <c r="L69" i="17" s="1"/>
  <c r="K66" i="17"/>
  <c r="K67" i="17" s="1"/>
  <c r="K68" i="17" s="1"/>
  <c r="K69" i="17" s="1"/>
  <c r="J66" i="17"/>
  <c r="J67" i="17" s="1"/>
  <c r="J68" i="17" s="1"/>
  <c r="J69" i="17" s="1"/>
  <c r="I66" i="17"/>
  <c r="I67" i="17" s="1"/>
  <c r="I68" i="17" s="1"/>
  <c r="I69" i="17" s="1"/>
  <c r="H66" i="17"/>
  <c r="H67" i="17" s="1"/>
  <c r="H68" i="17" s="1"/>
  <c r="H69" i="17" s="1"/>
  <c r="G66" i="17"/>
  <c r="G67" i="17" s="1"/>
  <c r="G68" i="17" s="1"/>
  <c r="G69" i="17" s="1"/>
  <c r="F66" i="17"/>
  <c r="F67" i="17" s="1"/>
  <c r="F68" i="17" s="1"/>
  <c r="F69" i="17" s="1"/>
  <c r="E66" i="17"/>
  <c r="E67" i="17" s="1"/>
  <c r="E68" i="17" s="1"/>
  <c r="E69" i="17" s="1"/>
  <c r="D66" i="17"/>
  <c r="D67" i="17" s="1"/>
  <c r="D68" i="17" s="1"/>
  <c r="D69" i="17" s="1"/>
  <c r="AB60" i="17"/>
  <c r="AB61" i="17" s="1"/>
  <c r="AB62" i="17" s="1"/>
  <c r="AB63" i="17" s="1"/>
  <c r="AA60" i="17"/>
  <c r="AA61" i="17" s="1"/>
  <c r="AA62" i="17" s="1"/>
  <c r="AA63" i="17" s="1"/>
  <c r="Z60" i="17"/>
  <c r="Z61" i="17" s="1"/>
  <c r="Z62" i="17" s="1"/>
  <c r="Z63" i="17" s="1"/>
  <c r="Y60" i="17"/>
  <c r="Y61" i="17" s="1"/>
  <c r="Y62" i="17" s="1"/>
  <c r="Y63" i="17" s="1"/>
  <c r="X60" i="17"/>
  <c r="X61" i="17" s="1"/>
  <c r="X62" i="17" s="1"/>
  <c r="X63" i="17" s="1"/>
  <c r="W60" i="17"/>
  <c r="W61" i="17" s="1"/>
  <c r="W62" i="17" s="1"/>
  <c r="W63" i="17" s="1"/>
  <c r="V60" i="17"/>
  <c r="V61" i="17" s="1"/>
  <c r="V62" i="17" s="1"/>
  <c r="V63" i="17" s="1"/>
  <c r="U60" i="17"/>
  <c r="U61" i="17" s="1"/>
  <c r="U62" i="17" s="1"/>
  <c r="U63" i="17" s="1"/>
  <c r="T60" i="17"/>
  <c r="T61" i="17" s="1"/>
  <c r="T62" i="17" s="1"/>
  <c r="T63" i="17" s="1"/>
  <c r="S60" i="17"/>
  <c r="S61" i="17" s="1"/>
  <c r="S62" i="17" s="1"/>
  <c r="S63" i="17" s="1"/>
  <c r="R60" i="17"/>
  <c r="R61" i="17" s="1"/>
  <c r="R62" i="17" s="1"/>
  <c r="R63" i="17" s="1"/>
  <c r="Q60" i="17"/>
  <c r="Q61" i="17" s="1"/>
  <c r="Q62" i="17" s="1"/>
  <c r="Q63" i="17" s="1"/>
  <c r="P60" i="17"/>
  <c r="P61" i="17" s="1"/>
  <c r="P62" i="17" s="1"/>
  <c r="P63" i="17" s="1"/>
  <c r="O60" i="17"/>
  <c r="O61" i="17" s="1"/>
  <c r="O62" i="17" s="1"/>
  <c r="O63" i="17" s="1"/>
  <c r="N60" i="17"/>
  <c r="N61" i="17" s="1"/>
  <c r="N62" i="17" s="1"/>
  <c r="N63" i="17" s="1"/>
  <c r="M60" i="17"/>
  <c r="M61" i="17" s="1"/>
  <c r="M62" i="17" s="1"/>
  <c r="M63" i="17" s="1"/>
  <c r="L60" i="17"/>
  <c r="L61" i="17" s="1"/>
  <c r="L62" i="17" s="1"/>
  <c r="L63" i="17" s="1"/>
  <c r="K60" i="17"/>
  <c r="K61" i="17" s="1"/>
  <c r="K62" i="17" s="1"/>
  <c r="K63" i="17" s="1"/>
  <c r="J60" i="17"/>
  <c r="J61" i="17" s="1"/>
  <c r="J62" i="17" s="1"/>
  <c r="J63" i="17" s="1"/>
  <c r="I60" i="17"/>
  <c r="I61" i="17" s="1"/>
  <c r="I62" i="17" s="1"/>
  <c r="I63" i="17" s="1"/>
  <c r="H60" i="17"/>
  <c r="H61" i="17" s="1"/>
  <c r="H62" i="17" s="1"/>
  <c r="H63" i="17" s="1"/>
  <c r="G60" i="17"/>
  <c r="G61" i="17" s="1"/>
  <c r="G62" i="17" s="1"/>
  <c r="G63" i="17" s="1"/>
  <c r="F60" i="17"/>
  <c r="F61" i="17" s="1"/>
  <c r="F62" i="17" s="1"/>
  <c r="F63" i="17" s="1"/>
  <c r="E60" i="17"/>
  <c r="E61" i="17" s="1"/>
  <c r="E62" i="17" s="1"/>
  <c r="E63" i="17" s="1"/>
  <c r="D60" i="17"/>
  <c r="D61" i="17" s="1"/>
  <c r="D62" i="17" s="1"/>
  <c r="D63" i="17" s="1"/>
  <c r="AB54" i="17"/>
  <c r="AB55" i="17" s="1"/>
  <c r="AB56" i="17" s="1"/>
  <c r="AB57" i="17" s="1"/>
  <c r="AA54" i="17"/>
  <c r="AA55" i="17" s="1"/>
  <c r="AA56" i="17" s="1"/>
  <c r="AA57" i="17" s="1"/>
  <c r="Z54" i="17"/>
  <c r="Z55" i="17" s="1"/>
  <c r="Z56" i="17" s="1"/>
  <c r="Z57" i="17" s="1"/>
  <c r="Y54" i="17"/>
  <c r="Y55" i="17" s="1"/>
  <c r="Y56" i="17" s="1"/>
  <c r="Y57" i="17" s="1"/>
  <c r="X54" i="17"/>
  <c r="X55" i="17" s="1"/>
  <c r="X56" i="17" s="1"/>
  <c r="X57" i="17" s="1"/>
  <c r="W54" i="17"/>
  <c r="W55" i="17" s="1"/>
  <c r="W56" i="17" s="1"/>
  <c r="W57" i="17" s="1"/>
  <c r="V54" i="17"/>
  <c r="V55" i="17" s="1"/>
  <c r="V56" i="17" s="1"/>
  <c r="V57" i="17" s="1"/>
  <c r="U54" i="17"/>
  <c r="U55" i="17" s="1"/>
  <c r="U56" i="17" s="1"/>
  <c r="U57" i="17" s="1"/>
  <c r="T54" i="17"/>
  <c r="T55" i="17" s="1"/>
  <c r="T56" i="17" s="1"/>
  <c r="T57" i="17" s="1"/>
  <c r="S54" i="17"/>
  <c r="S55" i="17" s="1"/>
  <c r="S56" i="17" s="1"/>
  <c r="S57" i="17" s="1"/>
  <c r="R54" i="17"/>
  <c r="R55" i="17" s="1"/>
  <c r="R56" i="17" s="1"/>
  <c r="R57" i="17" s="1"/>
  <c r="Q54" i="17"/>
  <c r="Q55" i="17" s="1"/>
  <c r="Q56" i="17" s="1"/>
  <c r="Q57" i="17" s="1"/>
  <c r="P54" i="17"/>
  <c r="P55" i="17" s="1"/>
  <c r="P56" i="17" s="1"/>
  <c r="P57" i="17" s="1"/>
  <c r="O54" i="17"/>
  <c r="O55" i="17" s="1"/>
  <c r="O56" i="17" s="1"/>
  <c r="O57" i="17" s="1"/>
  <c r="N54" i="17"/>
  <c r="N55" i="17" s="1"/>
  <c r="N56" i="17" s="1"/>
  <c r="N57" i="17" s="1"/>
  <c r="M54" i="17"/>
  <c r="M55" i="17" s="1"/>
  <c r="M56" i="17" s="1"/>
  <c r="M57" i="17" s="1"/>
  <c r="L54" i="17"/>
  <c r="L55" i="17" s="1"/>
  <c r="L56" i="17" s="1"/>
  <c r="L57" i="17" s="1"/>
  <c r="K54" i="17"/>
  <c r="K55" i="17" s="1"/>
  <c r="K56" i="17" s="1"/>
  <c r="K57" i="17" s="1"/>
  <c r="J54" i="17"/>
  <c r="J55" i="17" s="1"/>
  <c r="J56" i="17" s="1"/>
  <c r="J57" i="17" s="1"/>
  <c r="I54" i="17"/>
  <c r="I55" i="17" s="1"/>
  <c r="I56" i="17" s="1"/>
  <c r="I57" i="17" s="1"/>
  <c r="H54" i="17"/>
  <c r="H55" i="17" s="1"/>
  <c r="H56" i="17" s="1"/>
  <c r="H57" i="17" s="1"/>
  <c r="G54" i="17"/>
  <c r="G55" i="17" s="1"/>
  <c r="G56" i="17" s="1"/>
  <c r="G57" i="17" s="1"/>
  <c r="F54" i="17"/>
  <c r="F55" i="17" s="1"/>
  <c r="F56" i="17" s="1"/>
  <c r="F57" i="17" s="1"/>
  <c r="E54" i="17"/>
  <c r="E55" i="17" s="1"/>
  <c r="E56" i="17" s="1"/>
  <c r="E57" i="17" s="1"/>
  <c r="D54" i="17"/>
  <c r="D55" i="17" s="1"/>
  <c r="D56" i="17" s="1"/>
  <c r="D57" i="17" s="1"/>
  <c r="AB48" i="17"/>
  <c r="AB49" i="17" s="1"/>
  <c r="AB50" i="17" s="1"/>
  <c r="AB51" i="17" s="1"/>
  <c r="AA48" i="17"/>
  <c r="AA49" i="17" s="1"/>
  <c r="AA50" i="17" s="1"/>
  <c r="AA51" i="17" s="1"/>
  <c r="Z48" i="17"/>
  <c r="Z49" i="17" s="1"/>
  <c r="Z50" i="17" s="1"/>
  <c r="Z51" i="17" s="1"/>
  <c r="Y48" i="17"/>
  <c r="Y49" i="17" s="1"/>
  <c r="Y50" i="17" s="1"/>
  <c r="Y51" i="17" s="1"/>
  <c r="X48" i="17"/>
  <c r="X49" i="17" s="1"/>
  <c r="X50" i="17" s="1"/>
  <c r="X51" i="17" s="1"/>
  <c r="W48" i="17"/>
  <c r="W49" i="17" s="1"/>
  <c r="W50" i="17" s="1"/>
  <c r="W51" i="17" s="1"/>
  <c r="V48" i="17"/>
  <c r="V49" i="17" s="1"/>
  <c r="V50" i="17" s="1"/>
  <c r="V51" i="17" s="1"/>
  <c r="U48" i="17"/>
  <c r="U49" i="17" s="1"/>
  <c r="U50" i="17" s="1"/>
  <c r="U51" i="17" s="1"/>
  <c r="T48" i="17"/>
  <c r="T49" i="17" s="1"/>
  <c r="T50" i="17" s="1"/>
  <c r="T51" i="17" s="1"/>
  <c r="S48" i="17"/>
  <c r="S49" i="17" s="1"/>
  <c r="S50" i="17" s="1"/>
  <c r="S51" i="17" s="1"/>
  <c r="R48" i="17"/>
  <c r="R49" i="17" s="1"/>
  <c r="R50" i="17" s="1"/>
  <c r="R51" i="17" s="1"/>
  <c r="Q48" i="17"/>
  <c r="Q49" i="17" s="1"/>
  <c r="Q50" i="17" s="1"/>
  <c r="Q51" i="17" s="1"/>
  <c r="P48" i="17"/>
  <c r="P49" i="17" s="1"/>
  <c r="P50" i="17" s="1"/>
  <c r="P51" i="17" s="1"/>
  <c r="O48" i="17"/>
  <c r="O49" i="17" s="1"/>
  <c r="O50" i="17" s="1"/>
  <c r="O51" i="17" s="1"/>
  <c r="N48" i="17"/>
  <c r="N49" i="17" s="1"/>
  <c r="N50" i="17" s="1"/>
  <c r="N51" i="17" s="1"/>
  <c r="M48" i="17"/>
  <c r="M49" i="17" s="1"/>
  <c r="M50" i="17" s="1"/>
  <c r="M51" i="17" s="1"/>
  <c r="L48" i="17"/>
  <c r="L49" i="17" s="1"/>
  <c r="L50" i="17" s="1"/>
  <c r="L51" i="17" s="1"/>
  <c r="K48" i="17"/>
  <c r="K49" i="17" s="1"/>
  <c r="K50" i="17" s="1"/>
  <c r="K51" i="17" s="1"/>
  <c r="J48" i="17"/>
  <c r="J49" i="17" s="1"/>
  <c r="J50" i="17" s="1"/>
  <c r="J51" i="17" s="1"/>
  <c r="I48" i="17"/>
  <c r="I49" i="17" s="1"/>
  <c r="I50" i="17" s="1"/>
  <c r="I51" i="17" s="1"/>
  <c r="H48" i="17"/>
  <c r="H49" i="17" s="1"/>
  <c r="H50" i="17" s="1"/>
  <c r="H51" i="17" s="1"/>
  <c r="G48" i="17"/>
  <c r="G49" i="17" s="1"/>
  <c r="G50" i="17" s="1"/>
  <c r="G51" i="17" s="1"/>
  <c r="F48" i="17"/>
  <c r="F49" i="17" s="1"/>
  <c r="F50" i="17" s="1"/>
  <c r="F51" i="17" s="1"/>
  <c r="E48" i="17"/>
  <c r="E49" i="17" s="1"/>
  <c r="E50" i="17" s="1"/>
  <c r="E51" i="17" s="1"/>
  <c r="D48" i="17"/>
  <c r="D49" i="17" s="1"/>
  <c r="D50" i="17" s="1"/>
  <c r="D51" i="17" s="1"/>
  <c r="AB42" i="17"/>
  <c r="AB43" i="17" s="1"/>
  <c r="AA42" i="17"/>
  <c r="AA44" i="17" s="1"/>
  <c r="AA45" i="17" s="1"/>
  <c r="Z42" i="17"/>
  <c r="Z44" i="17" s="1"/>
  <c r="Z45" i="17" s="1"/>
  <c r="Y42" i="17"/>
  <c r="Y43" i="17" s="1"/>
  <c r="X42" i="17"/>
  <c r="X43" i="17" s="1"/>
  <c r="W42" i="17"/>
  <c r="W44" i="17" s="1"/>
  <c r="W45" i="17" s="1"/>
  <c r="V42" i="17"/>
  <c r="V44" i="17" s="1"/>
  <c r="V45" i="17" s="1"/>
  <c r="U42" i="17"/>
  <c r="U43" i="17" s="1"/>
  <c r="T42" i="17"/>
  <c r="T43" i="17" s="1"/>
  <c r="S42" i="17"/>
  <c r="S44" i="17" s="1"/>
  <c r="S45" i="17" s="1"/>
  <c r="R42" i="17"/>
  <c r="R44" i="17" s="1"/>
  <c r="R45" i="17" s="1"/>
  <c r="Q42" i="17"/>
  <c r="Q43" i="17" s="1"/>
  <c r="P42" i="17"/>
  <c r="P43" i="17" s="1"/>
  <c r="O42" i="17"/>
  <c r="O44" i="17" s="1"/>
  <c r="O45" i="17" s="1"/>
  <c r="N42" i="17"/>
  <c r="N44" i="17" s="1"/>
  <c r="N45" i="17" s="1"/>
  <c r="M42" i="17"/>
  <c r="M43" i="17" s="1"/>
  <c r="L42" i="17"/>
  <c r="L43" i="17" s="1"/>
  <c r="K42" i="17"/>
  <c r="K44" i="17" s="1"/>
  <c r="K45" i="17" s="1"/>
  <c r="J42" i="17"/>
  <c r="J44" i="17" s="1"/>
  <c r="J45" i="17" s="1"/>
  <c r="I42" i="17"/>
  <c r="I43" i="17" s="1"/>
  <c r="H42" i="17"/>
  <c r="H43" i="17" s="1"/>
  <c r="G42" i="17"/>
  <c r="G44" i="17" s="1"/>
  <c r="G45" i="17" s="1"/>
  <c r="F42" i="17"/>
  <c r="F44" i="17" s="1"/>
  <c r="F45" i="17" s="1"/>
  <c r="E42" i="17"/>
  <c r="E43" i="17" s="1"/>
  <c r="D42" i="17"/>
  <c r="D43" i="17" s="1"/>
  <c r="AB36" i="17"/>
  <c r="AB37" i="17" s="1"/>
  <c r="AB38" i="17" s="1"/>
  <c r="AB39" i="17" s="1"/>
  <c r="AA36" i="17"/>
  <c r="AA37" i="17" s="1"/>
  <c r="AA38" i="17" s="1"/>
  <c r="AA39" i="17" s="1"/>
  <c r="Z36" i="17"/>
  <c r="Z37" i="17" s="1"/>
  <c r="Z38" i="17" s="1"/>
  <c r="Z39" i="17" s="1"/>
  <c r="Y36" i="17"/>
  <c r="Y37" i="17" s="1"/>
  <c r="Y38" i="17" s="1"/>
  <c r="Y39" i="17" s="1"/>
  <c r="X36" i="17"/>
  <c r="X37" i="17" s="1"/>
  <c r="X38" i="17" s="1"/>
  <c r="X39" i="17" s="1"/>
  <c r="W36" i="17"/>
  <c r="W37" i="17" s="1"/>
  <c r="W38" i="17" s="1"/>
  <c r="W39" i="17" s="1"/>
  <c r="V36" i="17"/>
  <c r="V37" i="17" s="1"/>
  <c r="V38" i="17" s="1"/>
  <c r="V39" i="17" s="1"/>
  <c r="U36" i="17"/>
  <c r="U37" i="17" s="1"/>
  <c r="U38" i="17" s="1"/>
  <c r="U39" i="17" s="1"/>
  <c r="T36" i="17"/>
  <c r="T37" i="17" s="1"/>
  <c r="T38" i="17" s="1"/>
  <c r="T39" i="17" s="1"/>
  <c r="S36" i="17"/>
  <c r="S37" i="17" s="1"/>
  <c r="S38" i="17" s="1"/>
  <c r="S39" i="17" s="1"/>
  <c r="R36" i="17"/>
  <c r="R37" i="17" s="1"/>
  <c r="R38" i="17" s="1"/>
  <c r="R39" i="17" s="1"/>
  <c r="Q36" i="17"/>
  <c r="Q37" i="17" s="1"/>
  <c r="Q38" i="17" s="1"/>
  <c r="Q39" i="17" s="1"/>
  <c r="P36" i="17"/>
  <c r="P37" i="17" s="1"/>
  <c r="P38" i="17" s="1"/>
  <c r="P39" i="17" s="1"/>
  <c r="O36" i="17"/>
  <c r="O37" i="17" s="1"/>
  <c r="O38" i="17" s="1"/>
  <c r="O39" i="17" s="1"/>
  <c r="N36" i="17"/>
  <c r="N37" i="17" s="1"/>
  <c r="N38" i="17" s="1"/>
  <c r="N39" i="17" s="1"/>
  <c r="M36" i="17"/>
  <c r="M37" i="17" s="1"/>
  <c r="M38" i="17" s="1"/>
  <c r="M39" i="17" s="1"/>
  <c r="L36" i="17"/>
  <c r="L37" i="17" s="1"/>
  <c r="L38" i="17" s="1"/>
  <c r="L39" i="17" s="1"/>
  <c r="K36" i="17"/>
  <c r="K37" i="17" s="1"/>
  <c r="K38" i="17" s="1"/>
  <c r="K39" i="17" s="1"/>
  <c r="J36" i="17"/>
  <c r="J37" i="17" s="1"/>
  <c r="J38" i="17" s="1"/>
  <c r="J39" i="17" s="1"/>
  <c r="I36" i="17"/>
  <c r="I37" i="17" s="1"/>
  <c r="I38" i="17" s="1"/>
  <c r="I39" i="17" s="1"/>
  <c r="H36" i="17"/>
  <c r="H37" i="17" s="1"/>
  <c r="H38" i="17" s="1"/>
  <c r="H39" i="17" s="1"/>
  <c r="G36" i="17"/>
  <c r="G37" i="17" s="1"/>
  <c r="G38" i="17" s="1"/>
  <c r="G39" i="17" s="1"/>
  <c r="F36" i="17"/>
  <c r="F37" i="17" s="1"/>
  <c r="F38" i="17" s="1"/>
  <c r="F39" i="17" s="1"/>
  <c r="E36" i="17"/>
  <c r="E37" i="17" s="1"/>
  <c r="E38" i="17" s="1"/>
  <c r="E39" i="17" s="1"/>
  <c r="D36" i="17"/>
  <c r="D37" i="17" s="1"/>
  <c r="D38" i="17" s="1"/>
  <c r="D39" i="17" s="1"/>
  <c r="AB30" i="17"/>
  <c r="AB31" i="17" s="1"/>
  <c r="AB32" i="17" s="1"/>
  <c r="AB33" i="17" s="1"/>
  <c r="AA30" i="17"/>
  <c r="AA31" i="17" s="1"/>
  <c r="AA32" i="17" s="1"/>
  <c r="AA33" i="17" s="1"/>
  <c r="Z30" i="17"/>
  <c r="Z31" i="17" s="1"/>
  <c r="Z32" i="17" s="1"/>
  <c r="Z33" i="17" s="1"/>
  <c r="Y30" i="17"/>
  <c r="Y31" i="17" s="1"/>
  <c r="Y32" i="17" s="1"/>
  <c r="Y33" i="17" s="1"/>
  <c r="X30" i="17"/>
  <c r="X31" i="17" s="1"/>
  <c r="X32" i="17" s="1"/>
  <c r="X33" i="17" s="1"/>
  <c r="W30" i="17"/>
  <c r="W31" i="17" s="1"/>
  <c r="W32" i="17" s="1"/>
  <c r="W33" i="17" s="1"/>
  <c r="V30" i="17"/>
  <c r="V31" i="17" s="1"/>
  <c r="V32" i="17" s="1"/>
  <c r="V33" i="17" s="1"/>
  <c r="U30" i="17"/>
  <c r="U31" i="17" s="1"/>
  <c r="U32" i="17" s="1"/>
  <c r="U33" i="17" s="1"/>
  <c r="T30" i="17"/>
  <c r="T31" i="17" s="1"/>
  <c r="T32" i="17" s="1"/>
  <c r="T33" i="17" s="1"/>
  <c r="S30" i="17"/>
  <c r="S31" i="17" s="1"/>
  <c r="S32" i="17" s="1"/>
  <c r="S33" i="17" s="1"/>
  <c r="R30" i="17"/>
  <c r="R31" i="17" s="1"/>
  <c r="R32" i="17" s="1"/>
  <c r="R33" i="17" s="1"/>
  <c r="Q30" i="17"/>
  <c r="Q31" i="17" s="1"/>
  <c r="Q32" i="17" s="1"/>
  <c r="Q33" i="17" s="1"/>
  <c r="P30" i="17"/>
  <c r="P31" i="17" s="1"/>
  <c r="P32" i="17" s="1"/>
  <c r="P33" i="17" s="1"/>
  <c r="O30" i="17"/>
  <c r="O31" i="17" s="1"/>
  <c r="O32" i="17" s="1"/>
  <c r="O33" i="17" s="1"/>
  <c r="N30" i="17"/>
  <c r="N31" i="17" s="1"/>
  <c r="N32" i="17" s="1"/>
  <c r="N33" i="17" s="1"/>
  <c r="M30" i="17"/>
  <c r="M31" i="17" s="1"/>
  <c r="M32" i="17" s="1"/>
  <c r="M33" i="17" s="1"/>
  <c r="L30" i="17"/>
  <c r="L31" i="17" s="1"/>
  <c r="L32" i="17" s="1"/>
  <c r="L33" i="17" s="1"/>
  <c r="K30" i="17"/>
  <c r="K31" i="17" s="1"/>
  <c r="K32" i="17" s="1"/>
  <c r="K33" i="17" s="1"/>
  <c r="J30" i="17"/>
  <c r="J31" i="17" s="1"/>
  <c r="J32" i="17" s="1"/>
  <c r="J33" i="17" s="1"/>
  <c r="I30" i="17"/>
  <c r="I31" i="17" s="1"/>
  <c r="I32" i="17" s="1"/>
  <c r="I33" i="17" s="1"/>
  <c r="H30" i="17"/>
  <c r="H31" i="17" s="1"/>
  <c r="H32" i="17" s="1"/>
  <c r="H33" i="17" s="1"/>
  <c r="G30" i="17"/>
  <c r="G31" i="17" s="1"/>
  <c r="G32" i="17" s="1"/>
  <c r="G33" i="17" s="1"/>
  <c r="F30" i="17"/>
  <c r="F31" i="17" s="1"/>
  <c r="F32" i="17" s="1"/>
  <c r="F33" i="17" s="1"/>
  <c r="E30" i="17"/>
  <c r="E31" i="17" s="1"/>
  <c r="E32" i="17" s="1"/>
  <c r="E33" i="17" s="1"/>
  <c r="D30" i="17"/>
  <c r="D31" i="17" s="1"/>
  <c r="D32" i="17" s="1"/>
  <c r="D33" i="17" s="1"/>
  <c r="AB24" i="17"/>
  <c r="AA24" i="17"/>
  <c r="Z24" i="17"/>
  <c r="Y24" i="17"/>
  <c r="X24" i="17"/>
  <c r="X25" i="17" s="1"/>
  <c r="X26" i="17" s="1"/>
  <c r="X27" i="17" s="1"/>
  <c r="W24" i="17"/>
  <c r="V24" i="17"/>
  <c r="U24" i="17"/>
  <c r="T24" i="17"/>
  <c r="T25" i="17" s="1"/>
  <c r="T26" i="17" s="1"/>
  <c r="T27" i="17" s="1"/>
  <c r="S24" i="17"/>
  <c r="R24" i="17"/>
  <c r="Q24" i="17"/>
  <c r="P24" i="17"/>
  <c r="P25" i="17" s="1"/>
  <c r="P26" i="17" s="1"/>
  <c r="P27" i="17" s="1"/>
  <c r="O24" i="17"/>
  <c r="O25" i="17" s="1"/>
  <c r="O26" i="17" s="1"/>
  <c r="O27" i="17" s="1"/>
  <c r="N24" i="17"/>
  <c r="M24" i="17"/>
  <c r="L24" i="17"/>
  <c r="K24" i="17"/>
  <c r="K25" i="17" s="1"/>
  <c r="K26" i="17" s="1"/>
  <c r="K27" i="17" s="1"/>
  <c r="J24" i="17"/>
  <c r="I24" i="17"/>
  <c r="H24" i="17"/>
  <c r="H25" i="17" s="1"/>
  <c r="H26" i="17" s="1"/>
  <c r="H27" i="17" s="1"/>
  <c r="G24" i="17"/>
  <c r="G25" i="17" s="1"/>
  <c r="G26" i="17" s="1"/>
  <c r="G27" i="17" s="1"/>
  <c r="F24" i="17"/>
  <c r="E24" i="17"/>
  <c r="D25" i="17"/>
  <c r="F36" i="28" l="1"/>
  <c r="F45" i="28" s="1"/>
  <c r="F47" i="28" s="1"/>
  <c r="F51" i="28" s="1"/>
  <c r="F52" i="28" s="1"/>
  <c r="F53" i="28" s="1"/>
  <c r="F59" i="28" s="1"/>
  <c r="C63" i="28" s="1"/>
  <c r="G51" i="26"/>
  <c r="G52" i="26" s="1"/>
  <c r="G58" i="26" s="1"/>
  <c r="E51" i="26"/>
  <c r="E52" i="26" s="1"/>
  <c r="E58" i="26" s="1"/>
  <c r="C62" i="26" s="1"/>
  <c r="C62" i="25"/>
  <c r="D86" i="17"/>
  <c r="D87" i="17" s="1"/>
  <c r="H86" i="17"/>
  <c r="H87" i="17" s="1"/>
  <c r="L86" i="17"/>
  <c r="L87" i="17" s="1"/>
  <c r="P86" i="17"/>
  <c r="P87" i="17" s="1"/>
  <c r="T86" i="17"/>
  <c r="T87" i="17" s="1"/>
  <c r="X86" i="17"/>
  <c r="X87" i="17" s="1"/>
  <c r="E86" i="17"/>
  <c r="E87" i="17" s="1"/>
  <c r="I86" i="17"/>
  <c r="I87" i="17" s="1"/>
  <c r="M86" i="17"/>
  <c r="M87" i="17" s="1"/>
  <c r="Q86" i="17"/>
  <c r="Q87" i="17" s="1"/>
  <c r="U86" i="17"/>
  <c r="U87" i="17" s="1"/>
  <c r="Y86" i="17"/>
  <c r="Y87" i="17" s="1"/>
  <c r="F86" i="17"/>
  <c r="F87" i="17" s="1"/>
  <c r="J86" i="17"/>
  <c r="J87" i="17" s="1"/>
  <c r="N86" i="17"/>
  <c r="N87" i="17" s="1"/>
  <c r="R86" i="17"/>
  <c r="R87" i="17" s="1"/>
  <c r="V86" i="17"/>
  <c r="V87" i="17" s="1"/>
  <c r="Z86" i="17"/>
  <c r="Z87" i="17" s="1"/>
  <c r="G86" i="17"/>
  <c r="G87" i="17" s="1"/>
  <c r="G96" i="17" s="1"/>
  <c r="K86" i="17"/>
  <c r="K87" i="17" s="1"/>
  <c r="K96" i="17" s="1"/>
  <c r="O86" i="17"/>
  <c r="O87" i="17" s="1"/>
  <c r="O96" i="17" s="1"/>
  <c r="S86" i="17"/>
  <c r="S87" i="17" s="1"/>
  <c r="W86" i="17"/>
  <c r="W87" i="17" s="1"/>
  <c r="AA86" i="17"/>
  <c r="AA87" i="17" s="1"/>
  <c r="E12" i="19"/>
  <c r="E13" i="19" s="1"/>
  <c r="F11" i="19"/>
  <c r="D26" i="17"/>
  <c r="D27" i="17" s="1"/>
  <c r="Z43" i="17"/>
  <c r="S95" i="17"/>
  <c r="W95" i="17"/>
  <c r="AA95" i="17"/>
  <c r="F95" i="17"/>
  <c r="J95" i="17"/>
  <c r="N95" i="17"/>
  <c r="R95" i="17"/>
  <c r="V95" i="17"/>
  <c r="Z95" i="17"/>
  <c r="J43" i="17"/>
  <c r="R43" i="17"/>
  <c r="W25" i="17"/>
  <c r="W26" i="17" s="1"/>
  <c r="K43" i="17"/>
  <c r="S43" i="17"/>
  <c r="AA43" i="17"/>
  <c r="S25" i="17"/>
  <c r="S26" i="17" s="1"/>
  <c r="AA25" i="17"/>
  <c r="AA26" i="17" s="1"/>
  <c r="F43" i="17"/>
  <c r="N43" i="17"/>
  <c r="V43" i="17"/>
  <c r="H44" i="17"/>
  <c r="N25" i="17"/>
  <c r="N26" i="17" s="1"/>
  <c r="G43" i="17"/>
  <c r="O43" i="17"/>
  <c r="W43" i="17"/>
  <c r="X44" i="17"/>
  <c r="I95" i="17"/>
  <c r="I25" i="17"/>
  <c r="I26" i="17" s="1"/>
  <c r="I27" i="17" s="1"/>
  <c r="J25" i="17"/>
  <c r="J26" i="17" s="1"/>
  <c r="Z25" i="17"/>
  <c r="Z26" i="17" s="1"/>
  <c r="L44" i="17"/>
  <c r="L45" i="17" s="1"/>
  <c r="AB44" i="17"/>
  <c r="AB45" i="17" s="1"/>
  <c r="E95" i="17"/>
  <c r="E25" i="17"/>
  <c r="E26" i="17" s="1"/>
  <c r="E27" i="17" s="1"/>
  <c r="U95" i="17"/>
  <c r="U25" i="17"/>
  <c r="U26" i="17" s="1"/>
  <c r="U27" i="17" s="1"/>
  <c r="F25" i="17"/>
  <c r="F26" i="17" s="1"/>
  <c r="V25" i="17"/>
  <c r="V26" i="17" s="1"/>
  <c r="P44" i="17"/>
  <c r="M95" i="17"/>
  <c r="M25" i="17"/>
  <c r="M26" i="17" s="1"/>
  <c r="M27" i="17" s="1"/>
  <c r="Q95" i="17"/>
  <c r="Q25" i="17"/>
  <c r="Q26" i="17" s="1"/>
  <c r="Q27" i="17" s="1"/>
  <c r="Y95" i="17"/>
  <c r="Y25" i="17"/>
  <c r="Y26" i="17" s="1"/>
  <c r="Y27" i="17" s="1"/>
  <c r="D95" i="17"/>
  <c r="H95" i="17"/>
  <c r="L95" i="17"/>
  <c r="P95" i="17"/>
  <c r="T95" i="17"/>
  <c r="X95" i="17"/>
  <c r="AB95" i="17"/>
  <c r="L25" i="17"/>
  <c r="L26" i="17" s="1"/>
  <c r="L27" i="17" s="1"/>
  <c r="R25" i="17"/>
  <c r="R26" i="17" s="1"/>
  <c r="AB25" i="17"/>
  <c r="AB26" i="17" s="1"/>
  <c r="AB27" i="17" s="1"/>
  <c r="D44" i="17"/>
  <c r="D45" i="17" s="1"/>
  <c r="T44" i="17"/>
  <c r="E44" i="17"/>
  <c r="E45" i="17" s="1"/>
  <c r="I44" i="17"/>
  <c r="I45" i="17" s="1"/>
  <c r="M44" i="17"/>
  <c r="M45" i="17" s="1"/>
  <c r="Q44" i="17"/>
  <c r="Q45" i="17" s="1"/>
  <c r="U44" i="17"/>
  <c r="U45" i="17" s="1"/>
  <c r="Y44" i="17"/>
  <c r="Y45" i="17" s="1"/>
  <c r="G95" i="17"/>
  <c r="K95" i="17"/>
  <c r="O95" i="17"/>
  <c r="F12" i="19" l="1"/>
  <c r="F13" i="19" s="1"/>
  <c r="G11" i="19"/>
  <c r="P45" i="17"/>
  <c r="P96" i="17" s="1"/>
  <c r="T45" i="17"/>
  <c r="T96" i="17" s="1"/>
  <c r="X45" i="17"/>
  <c r="X96" i="17" s="1"/>
  <c r="H45" i="17"/>
  <c r="H96" i="17" s="1"/>
  <c r="D96" i="17"/>
  <c r="J27" i="17"/>
  <c r="J96" i="17" s="1"/>
  <c r="AA27" i="17"/>
  <c r="AA96" i="17" s="1"/>
  <c r="S27" i="17"/>
  <c r="S96" i="17" s="1"/>
  <c r="W27" i="17"/>
  <c r="W96" i="17" s="1"/>
  <c r="R27" i="17"/>
  <c r="R96" i="17" s="1"/>
  <c r="V27" i="17"/>
  <c r="V96" i="17" s="1"/>
  <c r="F27" i="17"/>
  <c r="F96" i="17" s="1"/>
  <c r="Z27" i="17"/>
  <c r="Z96" i="17" s="1"/>
  <c r="N27" i="17"/>
  <c r="N96" i="17" s="1"/>
  <c r="L96" i="17"/>
  <c r="AB96" i="17"/>
  <c r="U96" i="17"/>
  <c r="Q96" i="17"/>
  <c r="Y96" i="17"/>
  <c r="M96" i="17"/>
  <c r="E96" i="17"/>
  <c r="I96" i="17"/>
  <c r="H11" i="19" l="1"/>
  <c r="H12" i="19" s="1"/>
  <c r="H13" i="19" s="1"/>
  <c r="G12" i="19"/>
  <c r="G13" i="19" s="1"/>
  <c r="C63" i="16"/>
  <c r="C63" i="15"/>
  <c r="E32" i="16"/>
  <c r="G32" i="16"/>
  <c r="V32" i="1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AA21" i="15"/>
  <c r="AB21" i="15"/>
  <c r="S46" i="16"/>
  <c r="AC45" i="16"/>
  <c r="AB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AC44" i="16"/>
  <c r="AB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AC43" i="16"/>
  <c r="AB43" i="16"/>
  <c r="Z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AC42" i="16"/>
  <c r="AB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AC33" i="16"/>
  <c r="AB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AC31" i="16"/>
  <c r="AB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AC28" i="16"/>
  <c r="AB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AC26" i="16"/>
  <c r="AB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S25" i="16"/>
  <c r="AC24" i="16"/>
  <c r="AB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F32" i="16"/>
  <c r="AB46" i="16"/>
  <c r="Y25" i="16"/>
  <c r="W46" i="16"/>
  <c r="U25" i="16"/>
  <c r="Q46" i="16"/>
  <c r="O46" i="16"/>
  <c r="N25" i="16"/>
  <c r="M46" i="16"/>
  <c r="K46" i="16"/>
  <c r="I25" i="16"/>
  <c r="G46" i="16"/>
  <c r="E25" i="16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AA25" i="15"/>
  <c r="S25" i="15"/>
  <c r="O25" i="15"/>
  <c r="N25" i="15"/>
  <c r="K25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F32" i="15"/>
  <c r="E32" i="15"/>
  <c r="AB46" i="15"/>
  <c r="AA46" i="15"/>
  <c r="Z46" i="15"/>
  <c r="X46" i="15"/>
  <c r="W46" i="15"/>
  <c r="V46" i="15"/>
  <c r="T46" i="15"/>
  <c r="S46" i="15"/>
  <c r="R46" i="15"/>
  <c r="P46" i="15"/>
  <c r="O46" i="15"/>
  <c r="N46" i="15"/>
  <c r="L46" i="15"/>
  <c r="K46" i="15"/>
  <c r="J46" i="15"/>
  <c r="H46" i="15"/>
  <c r="G46" i="15"/>
  <c r="F46" i="15"/>
  <c r="D46" i="15"/>
  <c r="D32" i="8"/>
  <c r="D25" i="8"/>
  <c r="C63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D45" i="8"/>
  <c r="D44" i="8"/>
  <c r="D43" i="8"/>
  <c r="D42" i="8"/>
  <c r="AB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D33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D31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E28" i="8"/>
  <c r="D28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E26" i="8"/>
  <c r="D26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E24" i="8"/>
  <c r="D24" i="8"/>
  <c r="G32" i="8"/>
  <c r="F32" i="8"/>
  <c r="E32" i="8"/>
  <c r="D46" i="8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4" i="7"/>
  <c r="D4" i="5"/>
  <c r="G6" i="5"/>
  <c r="G7" i="5"/>
  <c r="G8" i="5"/>
  <c r="G10" i="5"/>
  <c r="G11" i="5"/>
  <c r="G12" i="5"/>
  <c r="G13" i="5"/>
  <c r="G14" i="5"/>
  <c r="G15" i="5"/>
  <c r="G16" i="5"/>
  <c r="G17" i="5"/>
  <c r="G18" i="5"/>
  <c r="G19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AB25" i="8"/>
  <c r="AA25" i="8"/>
  <c r="Z25" i="8"/>
  <c r="Y46" i="8"/>
  <c r="X25" i="8"/>
  <c r="W25" i="8"/>
  <c r="V25" i="8"/>
  <c r="U46" i="8"/>
  <c r="T25" i="8"/>
  <c r="S25" i="8"/>
  <c r="R25" i="8"/>
  <c r="Q46" i="8"/>
  <c r="P25" i="8"/>
  <c r="O25" i="8"/>
  <c r="N25" i="8"/>
  <c r="M46" i="8"/>
  <c r="L25" i="8"/>
  <c r="K25" i="8"/>
  <c r="J46" i="8"/>
  <c r="I46" i="8"/>
  <c r="H25" i="8"/>
  <c r="G25" i="8"/>
  <c r="F25" i="8"/>
  <c r="E46" i="8"/>
  <c r="H21" i="8" l="1"/>
  <c r="J21" i="8"/>
  <c r="J32" i="8" s="1"/>
  <c r="K21" i="8"/>
  <c r="E39" i="7"/>
  <c r="I39" i="7"/>
  <c r="M39" i="7"/>
  <c r="Q39" i="7"/>
  <c r="U39" i="7"/>
  <c r="Y39" i="7"/>
  <c r="F39" i="7"/>
  <c r="J39" i="7"/>
  <c r="N39" i="7"/>
  <c r="R39" i="7"/>
  <c r="V39" i="7"/>
  <c r="Z39" i="7"/>
  <c r="G39" i="7"/>
  <c r="K39" i="7"/>
  <c r="O39" i="7"/>
  <c r="S39" i="7"/>
  <c r="W39" i="7"/>
  <c r="AA39" i="7"/>
  <c r="L39" i="7"/>
  <c r="AB39" i="7"/>
  <c r="P39" i="7"/>
  <c r="T39" i="7"/>
  <c r="D39" i="7"/>
  <c r="H39" i="7"/>
  <c r="X39" i="7"/>
  <c r="E35" i="7"/>
  <c r="I35" i="7"/>
  <c r="M35" i="7"/>
  <c r="Q35" i="7"/>
  <c r="U35" i="7"/>
  <c r="Y35" i="7"/>
  <c r="F35" i="7"/>
  <c r="J35" i="7"/>
  <c r="N35" i="7"/>
  <c r="R35" i="7"/>
  <c r="V35" i="7"/>
  <c r="Z35" i="7"/>
  <c r="G35" i="7"/>
  <c r="K35" i="7"/>
  <c r="O35" i="7"/>
  <c r="S35" i="7"/>
  <c r="W35" i="7"/>
  <c r="AA35" i="7"/>
  <c r="H35" i="7"/>
  <c r="L35" i="7"/>
  <c r="P35" i="7"/>
  <c r="T35" i="7"/>
  <c r="X35" i="7"/>
  <c r="AB35" i="7"/>
  <c r="D35" i="7"/>
  <c r="E31" i="7"/>
  <c r="I31" i="7"/>
  <c r="M31" i="7"/>
  <c r="Q31" i="7"/>
  <c r="U31" i="7"/>
  <c r="Y31" i="7"/>
  <c r="F31" i="7"/>
  <c r="J31" i="7"/>
  <c r="N31" i="7"/>
  <c r="R31" i="7"/>
  <c r="V31" i="7"/>
  <c r="Z31" i="7"/>
  <c r="G31" i="7"/>
  <c r="K31" i="7"/>
  <c r="O31" i="7"/>
  <c r="S31" i="7"/>
  <c r="W31" i="7"/>
  <c r="AA31" i="7"/>
  <c r="H31" i="7"/>
  <c r="L31" i="7"/>
  <c r="P31" i="7"/>
  <c r="T31" i="7"/>
  <c r="X31" i="7"/>
  <c r="AB31" i="7"/>
  <c r="D31" i="7"/>
  <c r="E27" i="7"/>
  <c r="I27" i="7"/>
  <c r="M27" i="7"/>
  <c r="Q27" i="7"/>
  <c r="U27" i="7"/>
  <c r="Y27" i="7"/>
  <c r="F27" i="7"/>
  <c r="J27" i="7"/>
  <c r="N27" i="7"/>
  <c r="R27" i="7"/>
  <c r="V27" i="7"/>
  <c r="Z27" i="7"/>
  <c r="G27" i="7"/>
  <c r="K27" i="7"/>
  <c r="O27" i="7"/>
  <c r="S27" i="7"/>
  <c r="W27" i="7"/>
  <c r="AA27" i="7"/>
  <c r="H27" i="7"/>
  <c r="L27" i="7"/>
  <c r="P27" i="7"/>
  <c r="T27" i="7"/>
  <c r="X27" i="7"/>
  <c r="AB27" i="7"/>
  <c r="D27" i="7"/>
  <c r="E26" i="7"/>
  <c r="I26" i="7"/>
  <c r="M26" i="7"/>
  <c r="Q26" i="7"/>
  <c r="U26" i="7"/>
  <c r="Y26" i="7"/>
  <c r="F26" i="7"/>
  <c r="J26" i="7"/>
  <c r="N26" i="7"/>
  <c r="R26" i="7"/>
  <c r="V26" i="7"/>
  <c r="Z26" i="7"/>
  <c r="G26" i="7"/>
  <c r="K26" i="7"/>
  <c r="O26" i="7"/>
  <c r="S26" i="7"/>
  <c r="W26" i="7"/>
  <c r="AA26" i="7"/>
  <c r="H26" i="7"/>
  <c r="L26" i="7"/>
  <c r="P26" i="7"/>
  <c r="T26" i="7"/>
  <c r="X26" i="7"/>
  <c r="AB26" i="7"/>
  <c r="D26" i="7"/>
  <c r="E38" i="7"/>
  <c r="I38" i="7"/>
  <c r="M38" i="7"/>
  <c r="Q38" i="7"/>
  <c r="U38" i="7"/>
  <c r="Y38" i="7"/>
  <c r="F38" i="7"/>
  <c r="J38" i="7"/>
  <c r="N38" i="7"/>
  <c r="R38" i="7"/>
  <c r="V38" i="7"/>
  <c r="Z38" i="7"/>
  <c r="G38" i="7"/>
  <c r="K38" i="7"/>
  <c r="O38" i="7"/>
  <c r="S38" i="7"/>
  <c r="W38" i="7"/>
  <c r="AA38" i="7"/>
  <c r="H38" i="7"/>
  <c r="L38" i="7"/>
  <c r="P38" i="7"/>
  <c r="T38" i="7"/>
  <c r="X38" i="7"/>
  <c r="D38" i="7"/>
  <c r="AB38" i="7"/>
  <c r="E34" i="7"/>
  <c r="I34" i="7"/>
  <c r="M34" i="7"/>
  <c r="Q34" i="7"/>
  <c r="U34" i="7"/>
  <c r="Y34" i="7"/>
  <c r="F34" i="7"/>
  <c r="J34" i="7"/>
  <c r="N34" i="7"/>
  <c r="R34" i="7"/>
  <c r="V34" i="7"/>
  <c r="Z34" i="7"/>
  <c r="G34" i="7"/>
  <c r="K34" i="7"/>
  <c r="O34" i="7"/>
  <c r="S34" i="7"/>
  <c r="W34" i="7"/>
  <c r="AA34" i="7"/>
  <c r="H34" i="7"/>
  <c r="L34" i="7"/>
  <c r="P34" i="7"/>
  <c r="T34" i="7"/>
  <c r="X34" i="7"/>
  <c r="AB34" i="7"/>
  <c r="D34" i="7"/>
  <c r="E30" i="7"/>
  <c r="I30" i="7"/>
  <c r="M30" i="7"/>
  <c r="Q30" i="7"/>
  <c r="U30" i="7"/>
  <c r="Y30" i="7"/>
  <c r="F30" i="7"/>
  <c r="J30" i="7"/>
  <c r="N30" i="7"/>
  <c r="R30" i="7"/>
  <c r="V30" i="7"/>
  <c r="Z30" i="7"/>
  <c r="G30" i="7"/>
  <c r="K30" i="7"/>
  <c r="O30" i="7"/>
  <c r="S30" i="7"/>
  <c r="W30" i="7"/>
  <c r="AA30" i="7"/>
  <c r="H30" i="7"/>
  <c r="L30" i="7"/>
  <c r="P30" i="7"/>
  <c r="T30" i="7"/>
  <c r="X30" i="7"/>
  <c r="AB30" i="7"/>
  <c r="D30" i="7"/>
  <c r="G41" i="7"/>
  <c r="K41" i="7"/>
  <c r="O41" i="7"/>
  <c r="S41" i="7"/>
  <c r="W41" i="7"/>
  <c r="AA41" i="7"/>
  <c r="D41" i="7"/>
  <c r="H41" i="7"/>
  <c r="L41" i="7"/>
  <c r="P41" i="7"/>
  <c r="T41" i="7"/>
  <c r="X41" i="7"/>
  <c r="AB41" i="7"/>
  <c r="E41" i="7"/>
  <c r="I41" i="7"/>
  <c r="M41" i="7"/>
  <c r="Q41" i="7"/>
  <c r="U41" i="7"/>
  <c r="Y41" i="7"/>
  <c r="F41" i="7"/>
  <c r="J41" i="7"/>
  <c r="N41" i="7"/>
  <c r="R41" i="7"/>
  <c r="V41" i="7"/>
  <c r="Z41" i="7"/>
  <c r="E37" i="7"/>
  <c r="I37" i="7"/>
  <c r="M37" i="7"/>
  <c r="Q37" i="7"/>
  <c r="U37" i="7"/>
  <c r="Y37" i="7"/>
  <c r="F37" i="7"/>
  <c r="J37" i="7"/>
  <c r="N37" i="7"/>
  <c r="R37" i="7"/>
  <c r="V37" i="7"/>
  <c r="Z37" i="7"/>
  <c r="G37" i="7"/>
  <c r="K37" i="7"/>
  <c r="O37" i="7"/>
  <c r="S37" i="7"/>
  <c r="W37" i="7"/>
  <c r="AA37" i="7"/>
  <c r="H37" i="7"/>
  <c r="L37" i="7"/>
  <c r="P37" i="7"/>
  <c r="T37" i="7"/>
  <c r="X37" i="7"/>
  <c r="AB37" i="7"/>
  <c r="D37" i="7"/>
  <c r="E33" i="7"/>
  <c r="I33" i="7"/>
  <c r="M33" i="7"/>
  <c r="Q33" i="7"/>
  <c r="U33" i="7"/>
  <c r="Y33" i="7"/>
  <c r="F33" i="7"/>
  <c r="J33" i="7"/>
  <c r="N33" i="7"/>
  <c r="R33" i="7"/>
  <c r="V33" i="7"/>
  <c r="Z33" i="7"/>
  <c r="G33" i="7"/>
  <c r="K33" i="7"/>
  <c r="O33" i="7"/>
  <c r="S33" i="7"/>
  <c r="W33" i="7"/>
  <c r="AA33" i="7"/>
  <c r="H33" i="7"/>
  <c r="L33" i="7"/>
  <c r="P33" i="7"/>
  <c r="T33" i="7"/>
  <c r="X33" i="7"/>
  <c r="AB33" i="7"/>
  <c r="D33" i="7"/>
  <c r="E29" i="7"/>
  <c r="I29" i="7"/>
  <c r="M29" i="7"/>
  <c r="Q29" i="7"/>
  <c r="U29" i="7"/>
  <c r="Y29" i="7"/>
  <c r="F29" i="7"/>
  <c r="J29" i="7"/>
  <c r="N29" i="7"/>
  <c r="R29" i="7"/>
  <c r="V29" i="7"/>
  <c r="Z29" i="7"/>
  <c r="G29" i="7"/>
  <c r="K29" i="7"/>
  <c r="O29" i="7"/>
  <c r="S29" i="7"/>
  <c r="W29" i="7"/>
  <c r="AA29" i="7"/>
  <c r="H29" i="7"/>
  <c r="L29" i="7"/>
  <c r="P29" i="7"/>
  <c r="T29" i="7"/>
  <c r="X29" i="7"/>
  <c r="AB29" i="7"/>
  <c r="D29" i="7"/>
  <c r="E40" i="7"/>
  <c r="F40" i="7"/>
  <c r="G40" i="7"/>
  <c r="K40" i="7"/>
  <c r="O40" i="7"/>
  <c r="S40" i="7"/>
  <c r="W40" i="7"/>
  <c r="AA40" i="7"/>
  <c r="H40" i="7"/>
  <c r="L40" i="7"/>
  <c r="P40" i="7"/>
  <c r="T40" i="7"/>
  <c r="X40" i="7"/>
  <c r="AB40" i="7"/>
  <c r="I40" i="7"/>
  <c r="M40" i="7"/>
  <c r="Q40" i="7"/>
  <c r="U40" i="7"/>
  <c r="Y40" i="7"/>
  <c r="J40" i="7"/>
  <c r="N40" i="7"/>
  <c r="R40" i="7"/>
  <c r="V40" i="7"/>
  <c r="Z40" i="7"/>
  <c r="D40" i="7"/>
  <c r="E36" i="7"/>
  <c r="I36" i="7"/>
  <c r="M36" i="7"/>
  <c r="Q36" i="7"/>
  <c r="U36" i="7"/>
  <c r="Y36" i="7"/>
  <c r="F36" i="7"/>
  <c r="J36" i="7"/>
  <c r="N36" i="7"/>
  <c r="R36" i="7"/>
  <c r="V36" i="7"/>
  <c r="Z36" i="7"/>
  <c r="G36" i="7"/>
  <c r="K36" i="7"/>
  <c r="O36" i="7"/>
  <c r="S36" i="7"/>
  <c r="W36" i="7"/>
  <c r="AA36" i="7"/>
  <c r="H36" i="7"/>
  <c r="L36" i="7"/>
  <c r="P36" i="7"/>
  <c r="T36" i="7"/>
  <c r="X36" i="7"/>
  <c r="AB36" i="7"/>
  <c r="D36" i="7"/>
  <c r="E32" i="7"/>
  <c r="I32" i="7"/>
  <c r="M32" i="7"/>
  <c r="Q32" i="7"/>
  <c r="U32" i="7"/>
  <c r="Y32" i="7"/>
  <c r="F32" i="7"/>
  <c r="J32" i="7"/>
  <c r="N32" i="7"/>
  <c r="R32" i="7"/>
  <c r="V32" i="7"/>
  <c r="Z32" i="7"/>
  <c r="G32" i="7"/>
  <c r="K32" i="7"/>
  <c r="O32" i="7"/>
  <c r="S32" i="7"/>
  <c r="W32" i="7"/>
  <c r="AA32" i="7"/>
  <c r="H32" i="7"/>
  <c r="L32" i="7"/>
  <c r="P32" i="7"/>
  <c r="T32" i="7"/>
  <c r="X32" i="7"/>
  <c r="AB32" i="7"/>
  <c r="D32" i="7"/>
  <c r="E28" i="7"/>
  <c r="I28" i="7"/>
  <c r="M28" i="7"/>
  <c r="Q28" i="7"/>
  <c r="U28" i="7"/>
  <c r="Y28" i="7"/>
  <c r="F28" i="7"/>
  <c r="J28" i="7"/>
  <c r="N28" i="7"/>
  <c r="R28" i="7"/>
  <c r="V28" i="7"/>
  <c r="Z28" i="7"/>
  <c r="G28" i="7"/>
  <c r="K28" i="7"/>
  <c r="O28" i="7"/>
  <c r="S28" i="7"/>
  <c r="W28" i="7"/>
  <c r="AA28" i="7"/>
  <c r="H28" i="7"/>
  <c r="L28" i="7"/>
  <c r="P28" i="7"/>
  <c r="T28" i="7"/>
  <c r="X28" i="7"/>
  <c r="AB28" i="7"/>
  <c r="D28" i="7"/>
  <c r="D31" i="6"/>
  <c r="D30" i="6"/>
  <c r="E31" i="6"/>
  <c r="H38" i="6"/>
  <c r="L38" i="6"/>
  <c r="P38" i="6"/>
  <c r="T38" i="6"/>
  <c r="X38" i="6"/>
  <c r="AB38" i="6"/>
  <c r="F38" i="6"/>
  <c r="J38" i="6"/>
  <c r="N38" i="6"/>
  <c r="R38" i="6"/>
  <c r="V38" i="6"/>
  <c r="Z38" i="6"/>
  <c r="G38" i="6"/>
  <c r="O38" i="6"/>
  <c r="W38" i="6"/>
  <c r="M38" i="6"/>
  <c r="I38" i="6"/>
  <c r="Q38" i="6"/>
  <c r="Y38" i="6"/>
  <c r="D38" i="6"/>
  <c r="E38" i="6"/>
  <c r="K38" i="6"/>
  <c r="S38" i="6"/>
  <c r="AA38" i="6"/>
  <c r="U38" i="6"/>
  <c r="H34" i="6"/>
  <c r="L34" i="6"/>
  <c r="P34" i="6"/>
  <c r="T34" i="6"/>
  <c r="X34" i="6"/>
  <c r="AB34" i="6"/>
  <c r="F34" i="6"/>
  <c r="J34" i="6"/>
  <c r="N34" i="6"/>
  <c r="R34" i="6"/>
  <c r="V34" i="6"/>
  <c r="Z34" i="6"/>
  <c r="G34" i="6"/>
  <c r="O34" i="6"/>
  <c r="W34" i="6"/>
  <c r="E34" i="6"/>
  <c r="I34" i="6"/>
  <c r="Q34" i="6"/>
  <c r="Y34" i="6"/>
  <c r="D34" i="6"/>
  <c r="M34" i="6"/>
  <c r="K34" i="6"/>
  <c r="S34" i="6"/>
  <c r="AA34" i="6"/>
  <c r="U34" i="6"/>
  <c r="H30" i="6"/>
  <c r="L30" i="6"/>
  <c r="P30" i="6"/>
  <c r="T30" i="6"/>
  <c r="X30" i="6"/>
  <c r="AB30" i="6"/>
  <c r="E30" i="6"/>
  <c r="I30" i="6"/>
  <c r="M30" i="6"/>
  <c r="Q30" i="6"/>
  <c r="U30" i="6"/>
  <c r="Y30" i="6"/>
  <c r="F30" i="6"/>
  <c r="J30" i="6"/>
  <c r="N30" i="6"/>
  <c r="R30" i="6"/>
  <c r="V30" i="6"/>
  <c r="Z30" i="6"/>
  <c r="S30" i="6"/>
  <c r="G30" i="6"/>
  <c r="W30" i="6"/>
  <c r="O30" i="6"/>
  <c r="K30" i="6"/>
  <c r="AA30" i="6"/>
  <c r="G41" i="6"/>
  <c r="K41" i="6"/>
  <c r="O41" i="6"/>
  <c r="S41" i="6"/>
  <c r="W41" i="6"/>
  <c r="AA41" i="6"/>
  <c r="D41" i="6"/>
  <c r="F41" i="6"/>
  <c r="V41" i="6"/>
  <c r="H41" i="6"/>
  <c r="L41" i="6"/>
  <c r="P41" i="6"/>
  <c r="T41" i="6"/>
  <c r="X41" i="6"/>
  <c r="AB41" i="6"/>
  <c r="J41" i="6"/>
  <c r="Z41" i="6"/>
  <c r="E41" i="6"/>
  <c r="I41" i="6"/>
  <c r="M41" i="6"/>
  <c r="Q41" i="6"/>
  <c r="U41" i="6"/>
  <c r="Y41" i="6"/>
  <c r="N41" i="6"/>
  <c r="R41" i="6"/>
  <c r="H37" i="6"/>
  <c r="L37" i="6"/>
  <c r="P37" i="6"/>
  <c r="T37" i="6"/>
  <c r="X37" i="6"/>
  <c r="AB37" i="6"/>
  <c r="F37" i="6"/>
  <c r="J37" i="6"/>
  <c r="N37" i="6"/>
  <c r="R37" i="6"/>
  <c r="V37" i="6"/>
  <c r="Z37" i="6"/>
  <c r="G37" i="6"/>
  <c r="O37" i="6"/>
  <c r="W37" i="6"/>
  <c r="D37" i="6"/>
  <c r="M37" i="6"/>
  <c r="I37" i="6"/>
  <c r="Q37" i="6"/>
  <c r="Y37" i="6"/>
  <c r="E37" i="6"/>
  <c r="K37" i="6"/>
  <c r="S37" i="6"/>
  <c r="AA37" i="6"/>
  <c r="U37" i="6"/>
  <c r="H33" i="6"/>
  <c r="L33" i="6"/>
  <c r="P33" i="6"/>
  <c r="T33" i="6"/>
  <c r="X33" i="6"/>
  <c r="AB33" i="6"/>
  <c r="F33" i="6"/>
  <c r="J33" i="6"/>
  <c r="N33" i="6"/>
  <c r="R33" i="6"/>
  <c r="V33" i="6"/>
  <c r="Z33" i="6"/>
  <c r="G33" i="6"/>
  <c r="O33" i="6"/>
  <c r="W33" i="6"/>
  <c r="D33" i="6"/>
  <c r="M33" i="6"/>
  <c r="I33" i="6"/>
  <c r="Q33" i="6"/>
  <c r="Y33" i="6"/>
  <c r="E33" i="6"/>
  <c r="K33" i="6"/>
  <c r="S33" i="6"/>
  <c r="AA33" i="6"/>
  <c r="U33" i="6"/>
  <c r="H29" i="6"/>
  <c r="L29" i="6"/>
  <c r="P29" i="6"/>
  <c r="T29" i="6"/>
  <c r="X29" i="6"/>
  <c r="AB29" i="6"/>
  <c r="E29" i="6"/>
  <c r="I29" i="6"/>
  <c r="M29" i="6"/>
  <c r="Q29" i="6"/>
  <c r="U29" i="6"/>
  <c r="Y29" i="6"/>
  <c r="F29" i="6"/>
  <c r="J29" i="6"/>
  <c r="N29" i="6"/>
  <c r="R29" i="6"/>
  <c r="V29" i="6"/>
  <c r="Z29" i="6"/>
  <c r="K29" i="6"/>
  <c r="AA29" i="6"/>
  <c r="D29" i="6"/>
  <c r="O29" i="6"/>
  <c r="W29" i="6"/>
  <c r="S29" i="6"/>
  <c r="G29" i="6"/>
  <c r="F40" i="6"/>
  <c r="G40" i="6"/>
  <c r="K40" i="6"/>
  <c r="O40" i="6"/>
  <c r="S40" i="6"/>
  <c r="W40" i="6"/>
  <c r="AA40" i="6"/>
  <c r="J40" i="6"/>
  <c r="R40" i="6"/>
  <c r="H40" i="6"/>
  <c r="L40" i="6"/>
  <c r="P40" i="6"/>
  <c r="T40" i="6"/>
  <c r="X40" i="6"/>
  <c r="AB40" i="6"/>
  <c r="E40" i="6"/>
  <c r="V40" i="6"/>
  <c r="I40" i="6"/>
  <c r="M40" i="6"/>
  <c r="Q40" i="6"/>
  <c r="U40" i="6"/>
  <c r="Y40" i="6"/>
  <c r="N40" i="6"/>
  <c r="Z40" i="6"/>
  <c r="D40" i="6"/>
  <c r="H36" i="6"/>
  <c r="L36" i="6"/>
  <c r="P36" i="6"/>
  <c r="T36" i="6"/>
  <c r="X36" i="6"/>
  <c r="AB36" i="6"/>
  <c r="F36" i="6"/>
  <c r="J36" i="6"/>
  <c r="N36" i="6"/>
  <c r="R36" i="6"/>
  <c r="V36" i="6"/>
  <c r="Z36" i="6"/>
  <c r="G36" i="6"/>
  <c r="O36" i="6"/>
  <c r="W36" i="6"/>
  <c r="E36" i="6"/>
  <c r="I36" i="6"/>
  <c r="Q36" i="6"/>
  <c r="Y36" i="6"/>
  <c r="M36" i="6"/>
  <c r="D36" i="6"/>
  <c r="K36" i="6"/>
  <c r="S36" i="6"/>
  <c r="AA36" i="6"/>
  <c r="U36" i="6"/>
  <c r="H32" i="6"/>
  <c r="L32" i="6"/>
  <c r="P32" i="6"/>
  <c r="T32" i="6"/>
  <c r="X32" i="6"/>
  <c r="AB32" i="6"/>
  <c r="E32" i="6"/>
  <c r="I32" i="6"/>
  <c r="F32" i="6"/>
  <c r="J32" i="6"/>
  <c r="N32" i="6"/>
  <c r="R32" i="6"/>
  <c r="V32" i="6"/>
  <c r="Z32" i="6"/>
  <c r="O32" i="6"/>
  <c r="W32" i="6"/>
  <c r="D32" i="6"/>
  <c r="G32" i="6"/>
  <c r="Q32" i="6"/>
  <c r="Y32" i="6"/>
  <c r="M32" i="6"/>
  <c r="K32" i="6"/>
  <c r="S32" i="6"/>
  <c r="AA32" i="6"/>
  <c r="U32" i="6"/>
  <c r="H28" i="6"/>
  <c r="L28" i="6"/>
  <c r="P28" i="6"/>
  <c r="T28" i="6"/>
  <c r="X28" i="6"/>
  <c r="AB28" i="6"/>
  <c r="E28" i="6"/>
  <c r="I28" i="6"/>
  <c r="M28" i="6"/>
  <c r="Q28" i="6"/>
  <c r="U28" i="6"/>
  <c r="Y28" i="6"/>
  <c r="F28" i="6"/>
  <c r="J28" i="6"/>
  <c r="N28" i="6"/>
  <c r="R28" i="6"/>
  <c r="V28" i="6"/>
  <c r="Z28" i="6"/>
  <c r="S28" i="6"/>
  <c r="O28" i="6"/>
  <c r="G28" i="6"/>
  <c r="W28" i="6"/>
  <c r="K28" i="6"/>
  <c r="AA28" i="6"/>
  <c r="D28" i="6"/>
  <c r="H39" i="6"/>
  <c r="L39" i="6"/>
  <c r="P39" i="6"/>
  <c r="T39" i="6"/>
  <c r="X39" i="6"/>
  <c r="AB39" i="6"/>
  <c r="F39" i="6"/>
  <c r="J39" i="6"/>
  <c r="N39" i="6"/>
  <c r="R39" i="6"/>
  <c r="V39" i="6"/>
  <c r="Z39" i="6"/>
  <c r="G39" i="6"/>
  <c r="O39" i="6"/>
  <c r="W39" i="6"/>
  <c r="E39" i="6"/>
  <c r="I39" i="6"/>
  <c r="Q39" i="6"/>
  <c r="Y39" i="6"/>
  <c r="M39" i="6"/>
  <c r="K39" i="6"/>
  <c r="S39" i="6"/>
  <c r="AA39" i="6"/>
  <c r="D39" i="6"/>
  <c r="U39" i="6"/>
  <c r="H35" i="6"/>
  <c r="L35" i="6"/>
  <c r="P35" i="6"/>
  <c r="T35" i="6"/>
  <c r="X35" i="6"/>
  <c r="AB35" i="6"/>
  <c r="F35" i="6"/>
  <c r="J35" i="6"/>
  <c r="N35" i="6"/>
  <c r="R35" i="6"/>
  <c r="V35" i="6"/>
  <c r="Z35" i="6"/>
  <c r="G35" i="6"/>
  <c r="O35" i="6"/>
  <c r="W35" i="6"/>
  <c r="E35" i="6"/>
  <c r="I35" i="6"/>
  <c r="Q35" i="6"/>
  <c r="Y35" i="6"/>
  <c r="M35" i="6"/>
  <c r="K35" i="6"/>
  <c r="S35" i="6"/>
  <c r="AA35" i="6"/>
  <c r="D35" i="6"/>
  <c r="U35" i="6"/>
  <c r="H31" i="6"/>
  <c r="L31" i="6"/>
  <c r="P31" i="6"/>
  <c r="T31" i="6"/>
  <c r="X31" i="6"/>
  <c r="AB31" i="6"/>
  <c r="I31" i="6"/>
  <c r="M31" i="6"/>
  <c r="Q31" i="6"/>
  <c r="U31" i="6"/>
  <c r="Y31" i="6"/>
  <c r="F31" i="6"/>
  <c r="J31" i="6"/>
  <c r="N31" i="6"/>
  <c r="R31" i="6"/>
  <c r="V31" i="6"/>
  <c r="Z31" i="6"/>
  <c r="K31" i="6"/>
  <c r="AA31" i="6"/>
  <c r="W31" i="6"/>
  <c r="O31" i="6"/>
  <c r="S31" i="6"/>
  <c r="G31" i="6"/>
  <c r="H27" i="6"/>
  <c r="L27" i="6"/>
  <c r="P27" i="6"/>
  <c r="T27" i="6"/>
  <c r="X27" i="6"/>
  <c r="AB27" i="6"/>
  <c r="E27" i="6"/>
  <c r="I27" i="6"/>
  <c r="M27" i="6"/>
  <c r="Q27" i="6"/>
  <c r="U27" i="6"/>
  <c r="Y27" i="6"/>
  <c r="F27" i="6"/>
  <c r="J27" i="6"/>
  <c r="N27" i="6"/>
  <c r="R27" i="6"/>
  <c r="V27" i="6"/>
  <c r="Z27" i="6"/>
  <c r="K27" i="6"/>
  <c r="AA27" i="6"/>
  <c r="O27" i="6"/>
  <c r="G27" i="6"/>
  <c r="W27" i="6"/>
  <c r="S27" i="6"/>
  <c r="D27" i="6"/>
  <c r="G26" i="6"/>
  <c r="P26" i="6"/>
  <c r="E26" i="6"/>
  <c r="U26" i="6"/>
  <c r="N26" i="6"/>
  <c r="S26" i="6"/>
  <c r="Q26" i="6"/>
  <c r="O26" i="6"/>
  <c r="W26" i="6"/>
  <c r="T26" i="6"/>
  <c r="I26" i="6"/>
  <c r="Y26" i="6"/>
  <c r="R26" i="6"/>
  <c r="H26" i="6"/>
  <c r="M26" i="6"/>
  <c r="V26" i="6"/>
  <c r="L26" i="6"/>
  <c r="J26" i="6"/>
  <c r="Z26" i="6"/>
  <c r="AA26" i="6"/>
  <c r="X26" i="6"/>
  <c r="F26" i="6"/>
  <c r="K26" i="6"/>
  <c r="AB26" i="6"/>
  <c r="H34" i="5"/>
  <c r="L34" i="5"/>
  <c r="P34" i="5"/>
  <c r="T34" i="5"/>
  <c r="X34" i="5"/>
  <c r="AB34" i="5"/>
  <c r="F34" i="5"/>
  <c r="J34" i="5"/>
  <c r="N34" i="5"/>
  <c r="R34" i="5"/>
  <c r="V34" i="5"/>
  <c r="Z34" i="5"/>
  <c r="I34" i="5"/>
  <c r="Q34" i="5"/>
  <c r="Y34" i="5"/>
  <c r="K34" i="5"/>
  <c r="S34" i="5"/>
  <c r="AA34" i="5"/>
  <c r="E34" i="5"/>
  <c r="M34" i="5"/>
  <c r="U34" i="5"/>
  <c r="G34" i="5"/>
  <c r="O34" i="5"/>
  <c r="W34" i="5"/>
  <c r="D34" i="5"/>
  <c r="H27" i="5"/>
  <c r="L27" i="5"/>
  <c r="P27" i="5"/>
  <c r="T27" i="5"/>
  <c r="X27" i="5"/>
  <c r="AB27" i="5"/>
  <c r="E27" i="5"/>
  <c r="I27" i="5"/>
  <c r="M27" i="5"/>
  <c r="Q27" i="5"/>
  <c r="U27" i="5"/>
  <c r="Y27" i="5"/>
  <c r="F27" i="5"/>
  <c r="J27" i="5"/>
  <c r="N27" i="5"/>
  <c r="R27" i="5"/>
  <c r="V27" i="5"/>
  <c r="Z27" i="5"/>
  <c r="G27" i="5"/>
  <c r="K27" i="5"/>
  <c r="O27" i="5"/>
  <c r="S27" i="5"/>
  <c r="W27" i="5"/>
  <c r="AA27" i="5"/>
  <c r="D27" i="5"/>
  <c r="H37" i="5"/>
  <c r="L37" i="5"/>
  <c r="P37" i="5"/>
  <c r="T37" i="5"/>
  <c r="X37" i="5"/>
  <c r="AB37" i="5"/>
  <c r="F37" i="5"/>
  <c r="J37" i="5"/>
  <c r="N37" i="5"/>
  <c r="R37" i="5"/>
  <c r="V37" i="5"/>
  <c r="Z37" i="5"/>
  <c r="I37" i="5"/>
  <c r="Q37" i="5"/>
  <c r="Y37" i="5"/>
  <c r="K37" i="5"/>
  <c r="S37" i="5"/>
  <c r="AA37" i="5"/>
  <c r="E37" i="5"/>
  <c r="M37" i="5"/>
  <c r="U37" i="5"/>
  <c r="D37" i="5"/>
  <c r="G37" i="5"/>
  <c r="O37" i="5"/>
  <c r="W37" i="5"/>
  <c r="H29" i="5"/>
  <c r="L29" i="5"/>
  <c r="P29" i="5"/>
  <c r="T29" i="5"/>
  <c r="X29" i="5"/>
  <c r="AB29" i="5"/>
  <c r="E29" i="5"/>
  <c r="I29" i="5"/>
  <c r="M29" i="5"/>
  <c r="Q29" i="5"/>
  <c r="U29" i="5"/>
  <c r="Y29" i="5"/>
  <c r="F29" i="5"/>
  <c r="J29" i="5"/>
  <c r="N29" i="5"/>
  <c r="R29" i="5"/>
  <c r="V29" i="5"/>
  <c r="Z29" i="5"/>
  <c r="G29" i="5"/>
  <c r="K29" i="5"/>
  <c r="O29" i="5"/>
  <c r="S29" i="5"/>
  <c r="W29" i="5"/>
  <c r="AA29" i="5"/>
  <c r="D29" i="5"/>
  <c r="H38" i="5"/>
  <c r="L38" i="5"/>
  <c r="P38" i="5"/>
  <c r="T38" i="5"/>
  <c r="X38" i="5"/>
  <c r="AB38" i="5"/>
  <c r="F38" i="5"/>
  <c r="J38" i="5"/>
  <c r="N38" i="5"/>
  <c r="R38" i="5"/>
  <c r="V38" i="5"/>
  <c r="Z38" i="5"/>
  <c r="I38" i="5"/>
  <c r="Q38" i="5"/>
  <c r="Y38" i="5"/>
  <c r="K38" i="5"/>
  <c r="S38" i="5"/>
  <c r="AA38" i="5"/>
  <c r="E38" i="5"/>
  <c r="M38" i="5"/>
  <c r="U38" i="5"/>
  <c r="G38" i="5"/>
  <c r="O38" i="5"/>
  <c r="W38" i="5"/>
  <c r="D38" i="5"/>
  <c r="H30" i="5"/>
  <c r="L30" i="5"/>
  <c r="P30" i="5"/>
  <c r="T30" i="5"/>
  <c r="X30" i="5"/>
  <c r="AB30" i="5"/>
  <c r="E30" i="5"/>
  <c r="I30" i="5"/>
  <c r="M30" i="5"/>
  <c r="Q30" i="5"/>
  <c r="U30" i="5"/>
  <c r="Y30" i="5"/>
  <c r="F30" i="5"/>
  <c r="J30" i="5"/>
  <c r="N30" i="5"/>
  <c r="R30" i="5"/>
  <c r="V30" i="5"/>
  <c r="Z30" i="5"/>
  <c r="G30" i="5"/>
  <c r="K30" i="5"/>
  <c r="O30" i="5"/>
  <c r="S30" i="5"/>
  <c r="W30" i="5"/>
  <c r="AA30" i="5"/>
  <c r="D30" i="5"/>
  <c r="D41" i="5"/>
  <c r="H41" i="5"/>
  <c r="L41" i="5"/>
  <c r="P41" i="5"/>
  <c r="T41" i="5"/>
  <c r="X41" i="5"/>
  <c r="AB41" i="5"/>
  <c r="E41" i="5"/>
  <c r="I41" i="5"/>
  <c r="M41" i="5"/>
  <c r="Q41" i="5"/>
  <c r="U41" i="5"/>
  <c r="Y41" i="5"/>
  <c r="F41" i="5"/>
  <c r="J41" i="5"/>
  <c r="N41" i="5"/>
  <c r="R41" i="5"/>
  <c r="V41" i="5"/>
  <c r="Z41" i="5"/>
  <c r="G41" i="5"/>
  <c r="K41" i="5"/>
  <c r="O41" i="5"/>
  <c r="S41" i="5"/>
  <c r="W41" i="5"/>
  <c r="AA41" i="5"/>
  <c r="H33" i="5"/>
  <c r="L33" i="5"/>
  <c r="P33" i="5"/>
  <c r="T33" i="5"/>
  <c r="X33" i="5"/>
  <c r="AB33" i="5"/>
  <c r="E33" i="5"/>
  <c r="I33" i="5"/>
  <c r="M33" i="5"/>
  <c r="Q33" i="5"/>
  <c r="U33" i="5"/>
  <c r="Y33" i="5"/>
  <c r="F33" i="5"/>
  <c r="J33" i="5"/>
  <c r="N33" i="5"/>
  <c r="R33" i="5"/>
  <c r="V33" i="5"/>
  <c r="Z33" i="5"/>
  <c r="G33" i="5"/>
  <c r="W33" i="5"/>
  <c r="K33" i="5"/>
  <c r="AA33" i="5"/>
  <c r="O33" i="5"/>
  <c r="D33" i="5"/>
  <c r="S33" i="5"/>
  <c r="H40" i="5"/>
  <c r="L40" i="5"/>
  <c r="P40" i="5"/>
  <c r="D40" i="5"/>
  <c r="F40" i="5"/>
  <c r="J40" i="5"/>
  <c r="N40" i="5"/>
  <c r="R40" i="5"/>
  <c r="V40" i="5"/>
  <c r="Z40" i="5"/>
  <c r="I40" i="5"/>
  <c r="Q40" i="5"/>
  <c r="W40" i="5"/>
  <c r="AB40" i="5"/>
  <c r="K40" i="5"/>
  <c r="S40" i="5"/>
  <c r="X40" i="5"/>
  <c r="E40" i="5"/>
  <c r="M40" i="5"/>
  <c r="T40" i="5"/>
  <c r="Y40" i="5"/>
  <c r="G40" i="5"/>
  <c r="O40" i="5"/>
  <c r="U40" i="5"/>
  <c r="AA40" i="5"/>
  <c r="H36" i="5"/>
  <c r="L36" i="5"/>
  <c r="P36" i="5"/>
  <c r="T36" i="5"/>
  <c r="X36" i="5"/>
  <c r="AB36" i="5"/>
  <c r="F36" i="5"/>
  <c r="J36" i="5"/>
  <c r="N36" i="5"/>
  <c r="R36" i="5"/>
  <c r="V36" i="5"/>
  <c r="Z36" i="5"/>
  <c r="I36" i="5"/>
  <c r="Q36" i="5"/>
  <c r="Y36" i="5"/>
  <c r="K36" i="5"/>
  <c r="S36" i="5"/>
  <c r="AA36" i="5"/>
  <c r="D36" i="5"/>
  <c r="E36" i="5"/>
  <c r="M36" i="5"/>
  <c r="U36" i="5"/>
  <c r="G36" i="5"/>
  <c r="O36" i="5"/>
  <c r="W36" i="5"/>
  <c r="H32" i="5"/>
  <c r="L32" i="5"/>
  <c r="P32" i="5"/>
  <c r="T32" i="5"/>
  <c r="X32" i="5"/>
  <c r="AB32" i="5"/>
  <c r="E32" i="5"/>
  <c r="I32" i="5"/>
  <c r="M32" i="5"/>
  <c r="Q32" i="5"/>
  <c r="U32" i="5"/>
  <c r="Y32" i="5"/>
  <c r="F32" i="5"/>
  <c r="J32" i="5"/>
  <c r="N32" i="5"/>
  <c r="R32" i="5"/>
  <c r="V32" i="5"/>
  <c r="Z32" i="5"/>
  <c r="G32" i="5"/>
  <c r="K32" i="5"/>
  <c r="O32" i="5"/>
  <c r="S32" i="5"/>
  <c r="D32" i="5"/>
  <c r="W32" i="5"/>
  <c r="AA32" i="5"/>
  <c r="H28" i="5"/>
  <c r="L28" i="5"/>
  <c r="P28" i="5"/>
  <c r="T28" i="5"/>
  <c r="X28" i="5"/>
  <c r="AB28" i="5"/>
  <c r="E28" i="5"/>
  <c r="I28" i="5"/>
  <c r="M28" i="5"/>
  <c r="Q28" i="5"/>
  <c r="U28" i="5"/>
  <c r="Y28" i="5"/>
  <c r="F28" i="5"/>
  <c r="J28" i="5"/>
  <c r="N28" i="5"/>
  <c r="R28" i="5"/>
  <c r="V28" i="5"/>
  <c r="Z28" i="5"/>
  <c r="G28" i="5"/>
  <c r="K28" i="5"/>
  <c r="O28" i="5"/>
  <c r="S28" i="5"/>
  <c r="W28" i="5"/>
  <c r="AA28" i="5"/>
  <c r="D28" i="5"/>
  <c r="D42" i="5"/>
  <c r="H42" i="5"/>
  <c r="L42" i="5"/>
  <c r="P42" i="5"/>
  <c r="T42" i="5"/>
  <c r="X42" i="5"/>
  <c r="AB42" i="5"/>
  <c r="E42" i="5"/>
  <c r="I42" i="5"/>
  <c r="M42" i="5"/>
  <c r="Q42" i="5"/>
  <c r="U42" i="5"/>
  <c r="Y42" i="5"/>
  <c r="F42" i="5"/>
  <c r="J42" i="5"/>
  <c r="N42" i="5"/>
  <c r="R42" i="5"/>
  <c r="V42" i="5"/>
  <c r="Z42" i="5"/>
  <c r="G42" i="5"/>
  <c r="K42" i="5"/>
  <c r="O42" i="5"/>
  <c r="S42" i="5"/>
  <c r="W42" i="5"/>
  <c r="AA42" i="5"/>
  <c r="H39" i="5"/>
  <c r="L39" i="5"/>
  <c r="P39" i="5"/>
  <c r="T39" i="5"/>
  <c r="X39" i="5"/>
  <c r="AB39" i="5"/>
  <c r="D39" i="5"/>
  <c r="F39" i="5"/>
  <c r="J39" i="5"/>
  <c r="N39" i="5"/>
  <c r="R39" i="5"/>
  <c r="V39" i="5"/>
  <c r="Z39" i="5"/>
  <c r="I39" i="5"/>
  <c r="Q39" i="5"/>
  <c r="Y39" i="5"/>
  <c r="K39" i="5"/>
  <c r="S39" i="5"/>
  <c r="AA39" i="5"/>
  <c r="E39" i="5"/>
  <c r="M39" i="5"/>
  <c r="U39" i="5"/>
  <c r="G39" i="5"/>
  <c r="O39" i="5"/>
  <c r="W39" i="5"/>
  <c r="H35" i="5"/>
  <c r="L35" i="5"/>
  <c r="P35" i="5"/>
  <c r="T35" i="5"/>
  <c r="X35" i="5"/>
  <c r="AB35" i="5"/>
  <c r="F35" i="5"/>
  <c r="J35" i="5"/>
  <c r="N35" i="5"/>
  <c r="R35" i="5"/>
  <c r="V35" i="5"/>
  <c r="Z35" i="5"/>
  <c r="I35" i="5"/>
  <c r="Q35" i="5"/>
  <c r="Y35" i="5"/>
  <c r="D35" i="5"/>
  <c r="K35" i="5"/>
  <c r="S35" i="5"/>
  <c r="AA35" i="5"/>
  <c r="E35" i="5"/>
  <c r="M35" i="5"/>
  <c r="U35" i="5"/>
  <c r="G35" i="5"/>
  <c r="O35" i="5"/>
  <c r="W35" i="5"/>
  <c r="H31" i="5"/>
  <c r="L31" i="5"/>
  <c r="P31" i="5"/>
  <c r="T31" i="5"/>
  <c r="X31" i="5"/>
  <c r="AB31" i="5"/>
  <c r="E31" i="5"/>
  <c r="I31" i="5"/>
  <c r="M31" i="5"/>
  <c r="Q31" i="5"/>
  <c r="U31" i="5"/>
  <c r="Y31" i="5"/>
  <c r="F31" i="5"/>
  <c r="J31" i="5"/>
  <c r="N31" i="5"/>
  <c r="R31" i="5"/>
  <c r="V31" i="5"/>
  <c r="Z31" i="5"/>
  <c r="G31" i="5"/>
  <c r="K31" i="5"/>
  <c r="O31" i="5"/>
  <c r="S31" i="5"/>
  <c r="W31" i="5"/>
  <c r="AA31" i="5"/>
  <c r="D31" i="5"/>
  <c r="D53" i="15"/>
  <c r="AC23" i="16"/>
  <c r="AC22" i="16"/>
  <c r="X23" i="16"/>
  <c r="X22" i="16"/>
  <c r="T23" i="16"/>
  <c r="T22" i="16"/>
  <c r="P23" i="16"/>
  <c r="P22" i="16"/>
  <c r="L23" i="16"/>
  <c r="L22" i="16"/>
  <c r="H23" i="16"/>
  <c r="H22" i="16"/>
  <c r="AB23" i="16"/>
  <c r="AB22" i="16"/>
  <c r="W23" i="16"/>
  <c r="W22" i="16"/>
  <c r="S23" i="16"/>
  <c r="S22" i="16"/>
  <c r="O23" i="16"/>
  <c r="O22" i="16"/>
  <c r="K23" i="16"/>
  <c r="K22" i="16"/>
  <c r="G23" i="16"/>
  <c r="G22" i="16"/>
  <c r="Z23" i="16"/>
  <c r="Z22" i="16"/>
  <c r="V23" i="16"/>
  <c r="V22" i="16"/>
  <c r="R23" i="16"/>
  <c r="R22" i="16"/>
  <c r="N23" i="16"/>
  <c r="N22" i="16"/>
  <c r="J23" i="16"/>
  <c r="J22" i="16"/>
  <c r="F23" i="16"/>
  <c r="F22" i="16"/>
  <c r="Y23" i="16"/>
  <c r="Y22" i="16"/>
  <c r="U23" i="16"/>
  <c r="U22" i="16"/>
  <c r="Q23" i="16"/>
  <c r="Q22" i="16"/>
  <c r="M23" i="16"/>
  <c r="M22" i="16"/>
  <c r="I23" i="16"/>
  <c r="I22" i="16"/>
  <c r="E23" i="16"/>
  <c r="E22" i="16"/>
  <c r="Z23" i="8"/>
  <c r="Z22" i="8"/>
  <c r="V23" i="8"/>
  <c r="V22" i="8"/>
  <c r="R23" i="8"/>
  <c r="R22" i="8"/>
  <c r="N23" i="8"/>
  <c r="N22" i="8"/>
  <c r="J23" i="8"/>
  <c r="J22" i="8"/>
  <c r="F23" i="8"/>
  <c r="F22" i="8"/>
  <c r="W23" i="8"/>
  <c r="W22" i="8"/>
  <c r="O23" i="8"/>
  <c r="O22" i="8"/>
  <c r="K23" i="8"/>
  <c r="K22" i="8"/>
  <c r="D23" i="8"/>
  <c r="D22" i="8"/>
  <c r="Y23" i="8"/>
  <c r="Y22" i="8"/>
  <c r="U23" i="8"/>
  <c r="U22" i="8"/>
  <c r="Q23" i="8"/>
  <c r="Q22" i="8"/>
  <c r="M23" i="8"/>
  <c r="M22" i="8"/>
  <c r="I23" i="8"/>
  <c r="I22" i="8"/>
  <c r="E23" i="8"/>
  <c r="E22" i="8"/>
  <c r="AA23" i="8"/>
  <c r="AA22" i="8"/>
  <c r="S23" i="8"/>
  <c r="S22" i="8"/>
  <c r="G23" i="8"/>
  <c r="G22" i="8"/>
  <c r="AB23" i="8"/>
  <c r="AB22" i="8"/>
  <c r="X23" i="8"/>
  <c r="X22" i="8"/>
  <c r="T23" i="8"/>
  <c r="T22" i="8"/>
  <c r="P23" i="8"/>
  <c r="P22" i="8"/>
  <c r="L23" i="8"/>
  <c r="L22" i="8"/>
  <c r="H23" i="8"/>
  <c r="H22" i="8"/>
  <c r="D53" i="16"/>
  <c r="D60" i="16" s="1"/>
  <c r="D53" i="8"/>
  <c r="D60" i="8" s="1"/>
  <c r="Y21" i="8"/>
  <c r="Y32" i="8" s="1"/>
  <c r="H32" i="8"/>
  <c r="Z23" i="15"/>
  <c r="Z22" i="15"/>
  <c r="V23" i="15"/>
  <c r="V22" i="15"/>
  <c r="R23" i="15"/>
  <c r="R22" i="15"/>
  <c r="N23" i="15"/>
  <c r="N22" i="15"/>
  <c r="J23" i="15"/>
  <c r="J22" i="15"/>
  <c r="F23" i="15"/>
  <c r="F22" i="15"/>
  <c r="D23" i="15"/>
  <c r="D22" i="15"/>
  <c r="Y23" i="15"/>
  <c r="Y22" i="15"/>
  <c r="U23" i="15"/>
  <c r="U22" i="15"/>
  <c r="Q23" i="15"/>
  <c r="Q22" i="15"/>
  <c r="M23" i="15"/>
  <c r="M22" i="15"/>
  <c r="I23" i="15"/>
  <c r="I22" i="15"/>
  <c r="E23" i="15"/>
  <c r="E22" i="15"/>
  <c r="AB23" i="15"/>
  <c r="AB22" i="15"/>
  <c r="X23" i="15"/>
  <c r="X22" i="15"/>
  <c r="T23" i="15"/>
  <c r="T22" i="15"/>
  <c r="P23" i="15"/>
  <c r="P22" i="15"/>
  <c r="L23" i="15"/>
  <c r="L22" i="15"/>
  <c r="H23" i="15"/>
  <c r="H22" i="15"/>
  <c r="AA23" i="15"/>
  <c r="AA22" i="15"/>
  <c r="W23" i="15"/>
  <c r="W22" i="15"/>
  <c r="S23" i="15"/>
  <c r="S22" i="15"/>
  <c r="O23" i="15"/>
  <c r="O22" i="15"/>
  <c r="K23" i="15"/>
  <c r="K22" i="15"/>
  <c r="G23" i="15"/>
  <c r="G22" i="15"/>
  <c r="V21" i="8"/>
  <c r="V32" i="8" s="1"/>
  <c r="AB21" i="8"/>
  <c r="AB32" i="8" s="1"/>
  <c r="G25" i="16"/>
  <c r="W25" i="16"/>
  <c r="Y46" i="16"/>
  <c r="Y47" i="16" s="1"/>
  <c r="K25" i="16"/>
  <c r="AB25" i="16"/>
  <c r="O25" i="16"/>
  <c r="I46" i="16"/>
  <c r="I47" i="16" s="1"/>
  <c r="W21" i="8"/>
  <c r="W32" i="8" s="1"/>
  <c r="X21" i="8"/>
  <c r="X32" i="8" s="1"/>
  <c r="Z21" i="8"/>
  <c r="Z32" i="8" s="1"/>
  <c r="AA21" i="8"/>
  <c r="AA32" i="8" s="1"/>
  <c r="D47" i="8"/>
  <c r="R47" i="15"/>
  <c r="G47" i="15"/>
  <c r="O47" i="15"/>
  <c r="S47" i="15"/>
  <c r="W47" i="15"/>
  <c r="R32" i="15"/>
  <c r="V32" i="15"/>
  <c r="J32" i="15"/>
  <c r="Z32" i="15"/>
  <c r="N32" i="15"/>
  <c r="D46" i="16"/>
  <c r="D47" i="16" s="1"/>
  <c r="D25" i="16"/>
  <c r="H46" i="16"/>
  <c r="H47" i="16" s="1"/>
  <c r="H25" i="16"/>
  <c r="L46" i="16"/>
  <c r="L47" i="16" s="1"/>
  <c r="L25" i="16"/>
  <c r="P46" i="16"/>
  <c r="P47" i="16" s="1"/>
  <c r="P25" i="16"/>
  <c r="T46" i="16"/>
  <c r="T47" i="16" s="1"/>
  <c r="T25" i="16"/>
  <c r="X46" i="16"/>
  <c r="X47" i="16" s="1"/>
  <c r="X25" i="16"/>
  <c r="AC46" i="16"/>
  <c r="AC47" i="16" s="1"/>
  <c r="AC25" i="16"/>
  <c r="R32" i="16"/>
  <c r="G47" i="16"/>
  <c r="K47" i="16"/>
  <c r="O47" i="16"/>
  <c r="S47" i="16"/>
  <c r="W47" i="16"/>
  <c r="AB47" i="16"/>
  <c r="N32" i="16"/>
  <c r="D32" i="16"/>
  <c r="H32" i="16"/>
  <c r="F25" i="16"/>
  <c r="F46" i="16"/>
  <c r="F47" i="16" s="1"/>
  <c r="J25" i="16"/>
  <c r="J46" i="16"/>
  <c r="J47" i="16" s="1"/>
  <c r="R46" i="16"/>
  <c r="R47" i="16" s="1"/>
  <c r="R25" i="16"/>
  <c r="V25" i="16"/>
  <c r="V46" i="16"/>
  <c r="V47" i="16" s="1"/>
  <c r="Z25" i="16"/>
  <c r="Z46" i="16"/>
  <c r="Z47" i="16" s="1"/>
  <c r="M47" i="16"/>
  <c r="Q47" i="16"/>
  <c r="N46" i="16"/>
  <c r="N47" i="16" s="1"/>
  <c r="E46" i="16"/>
  <c r="E47" i="16" s="1"/>
  <c r="U46" i="16"/>
  <c r="U47" i="16" s="1"/>
  <c r="M25" i="16"/>
  <c r="Q25" i="16"/>
  <c r="Y32" i="15"/>
  <c r="E46" i="15"/>
  <c r="E25" i="15"/>
  <c r="I46" i="15"/>
  <c r="I47" i="15" s="1"/>
  <c r="I25" i="15"/>
  <c r="M46" i="15"/>
  <c r="M47" i="15" s="1"/>
  <c r="M25" i="15"/>
  <c r="Q46" i="15"/>
  <c r="Q47" i="15" s="1"/>
  <c r="Q25" i="15"/>
  <c r="U46" i="15"/>
  <c r="U47" i="15" s="1"/>
  <c r="U25" i="15"/>
  <c r="Y46" i="15"/>
  <c r="Y47" i="15" s="1"/>
  <c r="Y25" i="15"/>
  <c r="D25" i="15"/>
  <c r="J25" i="15"/>
  <c r="T25" i="15"/>
  <c r="Z25" i="15"/>
  <c r="G32" i="15"/>
  <c r="F25" i="15"/>
  <c r="P25" i="15"/>
  <c r="V25" i="15"/>
  <c r="E47" i="15"/>
  <c r="H25" i="15"/>
  <c r="X25" i="15"/>
  <c r="K47" i="15"/>
  <c r="AA47" i="15"/>
  <c r="G25" i="15"/>
  <c r="L25" i="15"/>
  <c r="R25" i="15"/>
  <c r="W25" i="15"/>
  <c r="AB25" i="15"/>
  <c r="D32" i="15"/>
  <c r="F47" i="15"/>
  <c r="J47" i="15"/>
  <c r="N47" i="15"/>
  <c r="V47" i="15"/>
  <c r="Z47" i="15"/>
  <c r="D47" i="15"/>
  <c r="H47" i="15"/>
  <c r="L47" i="15"/>
  <c r="P47" i="15"/>
  <c r="T47" i="15"/>
  <c r="X47" i="15"/>
  <c r="AB47" i="15"/>
  <c r="H46" i="8"/>
  <c r="H47" i="8" s="1"/>
  <c r="X46" i="8"/>
  <c r="X47" i="8" s="1"/>
  <c r="T46" i="8"/>
  <c r="T47" i="8" s="1"/>
  <c r="E25" i="8"/>
  <c r="M25" i="8"/>
  <c r="P46" i="8"/>
  <c r="P47" i="8" s="1"/>
  <c r="U25" i="8"/>
  <c r="Q25" i="8"/>
  <c r="Y25" i="8"/>
  <c r="I25" i="8"/>
  <c r="AB46" i="8"/>
  <c r="AB47" i="8" s="1"/>
  <c r="L46" i="8"/>
  <c r="L47" i="8" s="1"/>
  <c r="J25" i="8"/>
  <c r="Z46" i="8"/>
  <c r="Z47" i="8" s="1"/>
  <c r="V46" i="8"/>
  <c r="V47" i="8" s="1"/>
  <c r="R46" i="8"/>
  <c r="R47" i="8" s="1"/>
  <c r="N46" i="8"/>
  <c r="N47" i="8" s="1"/>
  <c r="F46" i="8"/>
  <c r="F47" i="8" s="1"/>
  <c r="AA46" i="8"/>
  <c r="AA47" i="8" s="1"/>
  <c r="W46" i="8"/>
  <c r="W47" i="8" s="1"/>
  <c r="S46" i="8"/>
  <c r="S47" i="8" s="1"/>
  <c r="O46" i="8"/>
  <c r="O47" i="8" s="1"/>
  <c r="K46" i="8"/>
  <c r="K47" i="8" s="1"/>
  <c r="G46" i="8"/>
  <c r="G47" i="8" s="1"/>
  <c r="R21" i="8"/>
  <c r="R32" i="8" s="1"/>
  <c r="S21" i="8"/>
  <c r="S32" i="8" s="1"/>
  <c r="Q21" i="8"/>
  <c r="Q32" i="8" s="1"/>
  <c r="K32" i="8"/>
  <c r="P21" i="8"/>
  <c r="P32" i="8" s="1"/>
  <c r="M21" i="8"/>
  <c r="M32" i="8" s="1"/>
  <c r="L21" i="8"/>
  <c r="L32" i="8" s="1"/>
  <c r="U21" i="8"/>
  <c r="U32" i="8" s="1"/>
  <c r="O21" i="8"/>
  <c r="O32" i="8" s="1"/>
  <c r="I21" i="8"/>
  <c r="I32" i="8" s="1"/>
  <c r="T21" i="8"/>
  <c r="T32" i="8" s="1"/>
  <c r="N21" i="8"/>
  <c r="N32" i="8" s="1"/>
  <c r="M47" i="8"/>
  <c r="Q47" i="8"/>
  <c r="E47" i="8"/>
  <c r="U47" i="8"/>
  <c r="I47" i="8"/>
  <c r="Y47" i="8"/>
  <c r="J47" i="8"/>
  <c r="D43" i="6" l="1"/>
  <c r="L43" i="6"/>
  <c r="T43" i="6"/>
  <c r="T27" i="8" s="1"/>
  <c r="D44" i="5"/>
  <c r="E53" i="16"/>
  <c r="F53" i="16" s="1"/>
  <c r="D60" i="15"/>
  <c r="E53" i="15"/>
  <c r="H43" i="6"/>
  <c r="H27" i="8" s="1"/>
  <c r="E53" i="8"/>
  <c r="S43" i="6"/>
  <c r="S29" i="8" s="1"/>
  <c r="P43" i="6"/>
  <c r="P27" i="8" s="1"/>
  <c r="R43" i="6"/>
  <c r="O43" i="6"/>
  <c r="O27" i="8" s="1"/>
  <c r="AA43" i="6"/>
  <c r="AA27" i="8" s="1"/>
  <c r="G43" i="6"/>
  <c r="G29" i="8" s="1"/>
  <c r="W43" i="6"/>
  <c r="W29" i="8" s="1"/>
  <c r="K43" i="6"/>
  <c r="K27" i="8" s="1"/>
  <c r="AB43" i="6"/>
  <c r="J43" i="6"/>
  <c r="J29" i="8" s="1"/>
  <c r="Z43" i="6"/>
  <c r="Z29" i="8" s="1"/>
  <c r="Q43" i="6"/>
  <c r="E43" i="6"/>
  <c r="X43" i="6"/>
  <c r="X27" i="8" s="1"/>
  <c r="F43" i="6"/>
  <c r="F27" i="8" s="1"/>
  <c r="V43" i="6"/>
  <c r="V30" i="8" s="1"/>
  <c r="M43" i="6"/>
  <c r="I43" i="6"/>
  <c r="I29" i="8" s="1"/>
  <c r="Y43" i="6"/>
  <c r="Y29" i="8" s="1"/>
  <c r="U43" i="6"/>
  <c r="U29" i="8" s="1"/>
  <c r="N43" i="6"/>
  <c r="N29" i="8" s="1"/>
  <c r="V29" i="8"/>
  <c r="F30" i="8"/>
  <c r="O30" i="8"/>
  <c r="G27" i="8"/>
  <c r="F29" i="8"/>
  <c r="Q30" i="8"/>
  <c r="Q27" i="8"/>
  <c r="Q29" i="8"/>
  <c r="V27" i="8"/>
  <c r="M30" i="8"/>
  <c r="M27" i="8"/>
  <c r="P30" i="8"/>
  <c r="P29" i="8"/>
  <c r="J30" i="8"/>
  <c r="Z30" i="8"/>
  <c r="S27" i="8"/>
  <c r="O29" i="8"/>
  <c r="S30" i="8"/>
  <c r="Z27" i="8"/>
  <c r="AB30" i="8"/>
  <c r="AB29" i="8"/>
  <c r="N30" i="8"/>
  <c r="W27" i="8"/>
  <c r="G30" i="8"/>
  <c r="W30" i="8"/>
  <c r="K29" i="8"/>
  <c r="J27" i="8"/>
  <c r="T30" i="8"/>
  <c r="T29" i="8"/>
  <c r="R27" i="8"/>
  <c r="Y27" i="8"/>
  <c r="Y30" i="8"/>
  <c r="I27" i="8"/>
  <c r="I30" i="8"/>
  <c r="L30" i="8"/>
  <c r="L29" i="8"/>
  <c r="N27" i="8"/>
  <c r="U30" i="8"/>
  <c r="U27" i="8"/>
  <c r="E27" i="8"/>
  <c r="E30" i="8"/>
  <c r="X30" i="8"/>
  <c r="X29" i="8"/>
  <c r="H29" i="8"/>
  <c r="H30" i="8"/>
  <c r="R30" i="8"/>
  <c r="M29" i="8"/>
  <c r="E29" i="8"/>
  <c r="K30" i="8"/>
  <c r="AA30" i="8"/>
  <c r="R29" i="8"/>
  <c r="L27" i="8"/>
  <c r="AB27" i="8"/>
  <c r="AA29" i="8"/>
  <c r="D30" i="8"/>
  <c r="D27" i="8"/>
  <c r="K32" i="16"/>
  <c r="AB32" i="16"/>
  <c r="X32" i="16"/>
  <c r="Q32" i="16"/>
  <c r="O32" i="16"/>
  <c r="L32" i="16"/>
  <c r="AC32" i="16"/>
  <c r="U32" i="16"/>
  <c r="Z32" i="16"/>
  <c r="S32" i="16"/>
  <c r="P32" i="16"/>
  <c r="I32" i="16"/>
  <c r="Y32" i="16"/>
  <c r="J32" i="16"/>
  <c r="W32" i="16"/>
  <c r="T32" i="16"/>
  <c r="M32" i="16"/>
  <c r="K32" i="15"/>
  <c r="U32" i="15"/>
  <c r="AB32" i="15"/>
  <c r="L32" i="15"/>
  <c r="W32" i="15"/>
  <c r="I32" i="15"/>
  <c r="P32" i="15"/>
  <c r="AA32" i="15"/>
  <c r="Q32" i="15"/>
  <c r="X32" i="15"/>
  <c r="H32" i="15"/>
  <c r="S32" i="15"/>
  <c r="M32" i="15"/>
  <c r="T32" i="15"/>
  <c r="O32" i="15"/>
  <c r="R44" i="5"/>
  <c r="M44" i="5"/>
  <c r="F44" i="5"/>
  <c r="E44" i="5"/>
  <c r="N44" i="5"/>
  <c r="V44" i="5"/>
  <c r="G43" i="7"/>
  <c r="G44" i="5"/>
  <c r="Y44" i="5"/>
  <c r="W44" i="5"/>
  <c r="I44" i="5"/>
  <c r="AB44" i="5"/>
  <c r="U44" i="5"/>
  <c r="Q44" i="5"/>
  <c r="Z44" i="5"/>
  <c r="K44" i="5"/>
  <c r="J44" i="5"/>
  <c r="E43" i="7"/>
  <c r="I43" i="7"/>
  <c r="Z43" i="7"/>
  <c r="N43" i="7"/>
  <c r="W43" i="7"/>
  <c r="U43" i="7"/>
  <c r="Y43" i="7"/>
  <c r="P43" i="7"/>
  <c r="D43" i="7"/>
  <c r="L43" i="7"/>
  <c r="Q43" i="7"/>
  <c r="V43" i="7"/>
  <c r="F43" i="7"/>
  <c r="O43" i="7"/>
  <c r="AA43" i="7"/>
  <c r="S43" i="7"/>
  <c r="X43" i="7"/>
  <c r="K43" i="7"/>
  <c r="AB43" i="7"/>
  <c r="H43" i="7"/>
  <c r="J43" i="7"/>
  <c r="T43" i="7"/>
  <c r="M43" i="7"/>
  <c r="R43" i="7"/>
  <c r="H44" i="5"/>
  <c r="S44" i="5"/>
  <c r="X44" i="5"/>
  <c r="T44" i="5"/>
  <c r="O44" i="5"/>
  <c r="P44" i="5"/>
  <c r="AA44" i="5"/>
  <c r="L44" i="5"/>
  <c r="E60" i="16" l="1"/>
  <c r="D29" i="8"/>
  <c r="G53" i="16"/>
  <c r="H53" i="16" s="1"/>
  <c r="F60" i="16"/>
  <c r="F53" i="15"/>
  <c r="E60" i="15"/>
  <c r="E60" i="8"/>
  <c r="F53" i="8"/>
  <c r="L30" i="15"/>
  <c r="L18" i="15"/>
  <c r="L27" i="15"/>
  <c r="L29" i="15"/>
  <c r="H29" i="15"/>
  <c r="H27" i="15"/>
  <c r="H18" i="15"/>
  <c r="H30" i="15"/>
  <c r="Q30" i="15"/>
  <c r="Q18" i="15"/>
  <c r="Q29" i="15"/>
  <c r="Q27" i="15"/>
  <c r="W18" i="15"/>
  <c r="W30" i="15"/>
  <c r="W29" i="15"/>
  <c r="W27" i="15"/>
  <c r="V27" i="15"/>
  <c r="V30" i="15"/>
  <c r="V29" i="15"/>
  <c r="V18" i="15"/>
  <c r="M30" i="15"/>
  <c r="M27" i="15"/>
  <c r="M29" i="15"/>
  <c r="M18" i="15"/>
  <c r="AA30" i="15"/>
  <c r="AA18" i="15"/>
  <c r="AA27" i="15"/>
  <c r="AA29" i="15"/>
  <c r="T29" i="15"/>
  <c r="T27" i="15"/>
  <c r="T30" i="15"/>
  <c r="T18" i="15"/>
  <c r="J30" i="15"/>
  <c r="J27" i="15"/>
  <c r="J29" i="15"/>
  <c r="J18" i="15"/>
  <c r="U29" i="15"/>
  <c r="U27" i="15"/>
  <c r="U30" i="15"/>
  <c r="U18" i="15"/>
  <c r="Y18" i="15"/>
  <c r="Y27" i="15"/>
  <c r="Y29" i="15"/>
  <c r="Y30" i="15"/>
  <c r="N29" i="15"/>
  <c r="N30" i="15"/>
  <c r="N27" i="15"/>
  <c r="N18" i="15"/>
  <c r="R27" i="15"/>
  <c r="R30" i="15"/>
  <c r="R18" i="15"/>
  <c r="R29" i="15"/>
  <c r="P29" i="15"/>
  <c r="P27" i="15"/>
  <c r="P18" i="15"/>
  <c r="P30" i="15"/>
  <c r="X27" i="15"/>
  <c r="X29" i="15"/>
  <c r="X18" i="15"/>
  <c r="X30" i="15"/>
  <c r="K30" i="15"/>
  <c r="K18" i="15"/>
  <c r="K29" i="15"/>
  <c r="K27" i="15"/>
  <c r="AB30" i="15"/>
  <c r="AB18" i="15"/>
  <c r="AB62" i="15" s="1"/>
  <c r="AB27" i="15"/>
  <c r="AB29" i="15"/>
  <c r="G18" i="15"/>
  <c r="G27" i="15"/>
  <c r="G29" i="15"/>
  <c r="G30" i="15"/>
  <c r="E30" i="15"/>
  <c r="E18" i="15"/>
  <c r="E29" i="15"/>
  <c r="E27" i="15"/>
  <c r="O29" i="15"/>
  <c r="O30" i="15"/>
  <c r="O18" i="15"/>
  <c r="O27" i="15"/>
  <c r="S29" i="15"/>
  <c r="S18" i="15"/>
  <c r="S27" i="15"/>
  <c r="S30" i="15"/>
  <c r="Z30" i="15"/>
  <c r="Z27" i="15"/>
  <c r="Z18" i="15"/>
  <c r="Z29" i="15"/>
  <c r="I18" i="15"/>
  <c r="I27" i="15"/>
  <c r="I29" i="15"/>
  <c r="I30" i="15"/>
  <c r="F30" i="15"/>
  <c r="F18" i="15"/>
  <c r="F27" i="15"/>
  <c r="F29" i="15"/>
  <c r="D29" i="15"/>
  <c r="D18" i="15"/>
  <c r="D30" i="15"/>
  <c r="D27" i="15"/>
  <c r="J30" i="16"/>
  <c r="J18" i="16"/>
  <c r="J29" i="16"/>
  <c r="J27" i="16"/>
  <c r="H29" i="16"/>
  <c r="H30" i="16"/>
  <c r="H27" i="16"/>
  <c r="H18" i="16"/>
  <c r="V30" i="16"/>
  <c r="V29" i="16"/>
  <c r="V18" i="16"/>
  <c r="V27" i="16"/>
  <c r="P29" i="16"/>
  <c r="P30" i="16"/>
  <c r="P18" i="16"/>
  <c r="P27" i="16"/>
  <c r="M27" i="16"/>
  <c r="M29" i="16"/>
  <c r="M30" i="16"/>
  <c r="M18" i="16"/>
  <c r="AC30" i="16"/>
  <c r="AC29" i="16"/>
  <c r="AC27" i="16"/>
  <c r="AC18" i="16"/>
  <c r="AC62" i="16" s="1"/>
  <c r="AB29" i="16"/>
  <c r="AB18" i="16"/>
  <c r="AB30" i="16"/>
  <c r="AB27" i="16"/>
  <c r="Q18" i="16"/>
  <c r="Q27" i="16"/>
  <c r="Q29" i="16"/>
  <c r="Q30" i="16"/>
  <c r="Y18" i="16"/>
  <c r="Y27" i="16"/>
  <c r="Y29" i="16"/>
  <c r="Y30" i="16"/>
  <c r="Z18" i="16"/>
  <c r="Z27" i="16"/>
  <c r="Z29" i="16"/>
  <c r="Z30" i="16"/>
  <c r="T30" i="16"/>
  <c r="T29" i="16"/>
  <c r="T18" i="16"/>
  <c r="T27" i="16"/>
  <c r="K29" i="16"/>
  <c r="K18" i="16"/>
  <c r="K27" i="16"/>
  <c r="K30" i="16"/>
  <c r="O29" i="16"/>
  <c r="O18" i="16"/>
  <c r="O30" i="16"/>
  <c r="O27" i="16"/>
  <c r="L30" i="16"/>
  <c r="L29" i="16"/>
  <c r="L27" i="16"/>
  <c r="L18" i="16"/>
  <c r="L62" i="16" s="1"/>
  <c r="U27" i="16"/>
  <c r="U30" i="16"/>
  <c r="U29" i="16"/>
  <c r="U18" i="16"/>
  <c r="I18" i="16"/>
  <c r="I30" i="16"/>
  <c r="I29" i="16"/>
  <c r="I27" i="16"/>
  <c r="G29" i="16"/>
  <c r="G18" i="16"/>
  <c r="G30" i="16"/>
  <c r="G27" i="16"/>
  <c r="X30" i="16"/>
  <c r="X29" i="16"/>
  <c r="X27" i="16"/>
  <c r="X18" i="16"/>
  <c r="F27" i="16"/>
  <c r="F30" i="16"/>
  <c r="F18" i="16"/>
  <c r="F29" i="16"/>
  <c r="W29" i="16"/>
  <c r="W30" i="16"/>
  <c r="W18" i="16"/>
  <c r="W27" i="16"/>
  <c r="E27" i="16"/>
  <c r="E18" i="16"/>
  <c r="E29" i="16"/>
  <c r="E30" i="16"/>
  <c r="R30" i="16"/>
  <c r="R29" i="16"/>
  <c r="R18" i="16"/>
  <c r="R27" i="16"/>
  <c r="S29" i="16"/>
  <c r="S18" i="16"/>
  <c r="S27" i="16"/>
  <c r="S30" i="16"/>
  <c r="N29" i="16"/>
  <c r="N18" i="16"/>
  <c r="N62" i="16" s="1"/>
  <c r="N27" i="16"/>
  <c r="N30" i="16"/>
  <c r="D30" i="16"/>
  <c r="D29" i="16"/>
  <c r="D27" i="16"/>
  <c r="D18" i="16"/>
  <c r="M18" i="8"/>
  <c r="D18" i="8"/>
  <c r="R18" i="8"/>
  <c r="Z18" i="8"/>
  <c r="AA18" i="8"/>
  <c r="U18" i="8"/>
  <c r="T18" i="8"/>
  <c r="O18" i="8"/>
  <c r="V18" i="8"/>
  <c r="Y18" i="8"/>
  <c r="X18" i="8"/>
  <c r="S18" i="8"/>
  <c r="AB18" i="8"/>
  <c r="AB62" i="8" s="1"/>
  <c r="W18" i="8"/>
  <c r="J18" i="8"/>
  <c r="Q18" i="8"/>
  <c r="P18" i="8"/>
  <c r="G18" i="8"/>
  <c r="E18" i="8"/>
  <c r="K18" i="8"/>
  <c r="F18" i="8"/>
  <c r="L18" i="8"/>
  <c r="I18" i="8"/>
  <c r="H18" i="8"/>
  <c r="N18" i="8"/>
  <c r="I62" i="8" l="1"/>
  <c r="I62" i="16"/>
  <c r="U62" i="16"/>
  <c r="R62" i="16"/>
  <c r="F62" i="16"/>
  <c r="Z62" i="16"/>
  <c r="M62" i="16"/>
  <c r="L62" i="8"/>
  <c r="O62" i="8"/>
  <c r="Z62" i="8"/>
  <c r="X62" i="16"/>
  <c r="H62" i="16"/>
  <c r="I53" i="16"/>
  <c r="J53" i="16" s="1"/>
  <c r="K53" i="16" s="1"/>
  <c r="D34" i="16"/>
  <c r="P62" i="16"/>
  <c r="F60" i="15"/>
  <c r="G53" i="15"/>
  <c r="G60" i="15" s="1"/>
  <c r="E62" i="8"/>
  <c r="N62" i="8"/>
  <c r="K62" i="8"/>
  <c r="J62" i="8"/>
  <c r="X62" i="8"/>
  <c r="T62" i="8"/>
  <c r="R62" i="8"/>
  <c r="F62" i="8"/>
  <c r="V62" i="8"/>
  <c r="Z62" i="15"/>
  <c r="W62" i="16"/>
  <c r="T62" i="16"/>
  <c r="V62" i="16"/>
  <c r="S62" i="16"/>
  <c r="E62" i="16"/>
  <c r="G62" i="16"/>
  <c r="O62" i="16"/>
  <c r="K62" i="16"/>
  <c r="AB62" i="16"/>
  <c r="J62" i="16"/>
  <c r="D62" i="16"/>
  <c r="C62" i="16"/>
  <c r="C65" i="16" s="1"/>
  <c r="Y62" i="16"/>
  <c r="Q62" i="16"/>
  <c r="G62" i="8"/>
  <c r="W62" i="8"/>
  <c r="Y62" i="8"/>
  <c r="U62" i="8"/>
  <c r="D35" i="8"/>
  <c r="D38" i="8" s="1"/>
  <c r="C62" i="8"/>
  <c r="C65" i="8" s="1"/>
  <c r="D62" i="8"/>
  <c r="P62" i="8"/>
  <c r="AA62" i="8"/>
  <c r="M62" i="8"/>
  <c r="H62" i="8"/>
  <c r="Q62" i="8"/>
  <c r="S62" i="8"/>
  <c r="F60" i="8"/>
  <c r="G53" i="8"/>
  <c r="H53" i="8" s="1"/>
  <c r="V62" i="15"/>
  <c r="Q34" i="15"/>
  <c r="D62" i="15"/>
  <c r="C62" i="15"/>
  <c r="C65" i="15" s="1"/>
  <c r="E62" i="15"/>
  <c r="P62" i="15"/>
  <c r="T62" i="15"/>
  <c r="AA62" i="15"/>
  <c r="F62" i="15"/>
  <c r="K62" i="15"/>
  <c r="R62" i="15"/>
  <c r="N62" i="15"/>
  <c r="W62" i="15"/>
  <c r="H62" i="15"/>
  <c r="X62" i="15"/>
  <c r="J62" i="15"/>
  <c r="O62" i="15"/>
  <c r="I62" i="15"/>
  <c r="Y62" i="15"/>
  <c r="L62" i="15"/>
  <c r="S62" i="15"/>
  <c r="G62" i="15"/>
  <c r="U62" i="15"/>
  <c r="M62" i="15"/>
  <c r="Q62" i="15"/>
  <c r="T34" i="15"/>
  <c r="AA35" i="15"/>
  <c r="AA38" i="15" s="1"/>
  <c r="M34" i="15"/>
  <c r="V35" i="15"/>
  <c r="V38" i="15" s="1"/>
  <c r="L34" i="15"/>
  <c r="H34" i="15"/>
  <c r="W34" i="15"/>
  <c r="Q35" i="15"/>
  <c r="Q37" i="15" s="1"/>
  <c r="K35" i="15"/>
  <c r="K37" i="15" s="1"/>
  <c r="X35" i="15"/>
  <c r="X38" i="15" s="1"/>
  <c r="P35" i="15"/>
  <c r="P37" i="15" s="1"/>
  <c r="P34" i="15"/>
  <c r="AA34" i="15"/>
  <c r="X34" i="15"/>
  <c r="W35" i="15"/>
  <c r="W37" i="15" s="1"/>
  <c r="AB34" i="15"/>
  <c r="U35" i="15"/>
  <c r="U37" i="15" s="1"/>
  <c r="T35" i="15"/>
  <c r="T37" i="15" s="1"/>
  <c r="M35" i="15"/>
  <c r="M37" i="15" s="1"/>
  <c r="F34" i="15"/>
  <c r="I34" i="15"/>
  <c r="S35" i="15"/>
  <c r="S37" i="15" s="1"/>
  <c r="O34" i="15"/>
  <c r="K34" i="15"/>
  <c r="U34" i="15"/>
  <c r="I35" i="15"/>
  <c r="I37" i="15" s="1"/>
  <c r="O35" i="15"/>
  <c r="O37" i="15" s="1"/>
  <c r="N34" i="15"/>
  <c r="V34" i="15"/>
  <c r="Z34" i="15"/>
  <c r="S34" i="15"/>
  <c r="N35" i="15"/>
  <c r="J35" i="15"/>
  <c r="F35" i="15"/>
  <c r="Y35" i="15"/>
  <c r="G35" i="15"/>
  <c r="R35" i="15"/>
  <c r="L35" i="15"/>
  <c r="D34" i="15"/>
  <c r="E35" i="15"/>
  <c r="AB35" i="15"/>
  <c r="Z35" i="15"/>
  <c r="E34" i="15"/>
  <c r="G34" i="15"/>
  <c r="R34" i="15"/>
  <c r="Y34" i="15"/>
  <c r="J34" i="15"/>
  <c r="H35" i="15"/>
  <c r="D35" i="15"/>
  <c r="P34" i="16"/>
  <c r="J34" i="16"/>
  <c r="M35" i="16"/>
  <c r="M38" i="16" s="1"/>
  <c r="W34" i="16"/>
  <c r="K34" i="16"/>
  <c r="M34" i="16"/>
  <c r="L34" i="16"/>
  <c r="K35" i="16"/>
  <c r="K37" i="16" s="1"/>
  <c r="Z35" i="16"/>
  <c r="Z37" i="16" s="1"/>
  <c r="Q34" i="16"/>
  <c r="AC34" i="16"/>
  <c r="H35" i="16"/>
  <c r="H37" i="16" s="1"/>
  <c r="J35" i="16"/>
  <c r="J37" i="16" s="1"/>
  <c r="S34" i="16"/>
  <c r="P35" i="16"/>
  <c r="P38" i="16" s="1"/>
  <c r="W35" i="16"/>
  <c r="W38" i="16" s="1"/>
  <c r="X34" i="16"/>
  <c r="G34" i="16"/>
  <c r="I35" i="16"/>
  <c r="I37" i="16" s="1"/>
  <c r="U35" i="16"/>
  <c r="U37" i="16" s="1"/>
  <c r="L35" i="16"/>
  <c r="L38" i="16" s="1"/>
  <c r="O35" i="16"/>
  <c r="O37" i="16" s="1"/>
  <c r="T34" i="16"/>
  <c r="Y35" i="16"/>
  <c r="Y38" i="16" s="1"/>
  <c r="AB34" i="16"/>
  <c r="AC35" i="16"/>
  <c r="AC38" i="16" s="1"/>
  <c r="S35" i="16"/>
  <c r="S37" i="16" s="1"/>
  <c r="U34" i="16"/>
  <c r="T35" i="16"/>
  <c r="T38" i="16" s="1"/>
  <c r="Z34" i="16"/>
  <c r="N35" i="16"/>
  <c r="R34" i="16"/>
  <c r="O34" i="16"/>
  <c r="E34" i="16"/>
  <c r="X35" i="16"/>
  <c r="V35" i="16"/>
  <c r="N34" i="16"/>
  <c r="E35" i="16"/>
  <c r="F34" i="16"/>
  <c r="G35" i="16"/>
  <c r="Y34" i="16"/>
  <c r="Q35" i="16"/>
  <c r="H34" i="16"/>
  <c r="AB35" i="16"/>
  <c r="V34" i="16"/>
  <c r="R35" i="16"/>
  <c r="F35" i="16"/>
  <c r="I34" i="16"/>
  <c r="D35" i="16"/>
  <c r="G60" i="16"/>
  <c r="N34" i="8"/>
  <c r="I34" i="8"/>
  <c r="E34" i="8"/>
  <c r="G34" i="8"/>
  <c r="H35" i="8"/>
  <c r="L34" i="8"/>
  <c r="F34" i="8"/>
  <c r="J35" i="8"/>
  <c r="I35" i="8"/>
  <c r="L35" i="8"/>
  <c r="F35" i="8"/>
  <c r="G35" i="8"/>
  <c r="D34" i="8"/>
  <c r="M35" i="8"/>
  <c r="H34" i="8"/>
  <c r="K35" i="8"/>
  <c r="K34" i="8"/>
  <c r="E35" i="8"/>
  <c r="J34" i="8"/>
  <c r="M34" i="8"/>
  <c r="D37" i="8" l="1"/>
  <c r="L53" i="16"/>
  <c r="H53" i="15"/>
  <c r="G60" i="8"/>
  <c r="V37" i="15"/>
  <c r="V39" i="15" s="1"/>
  <c r="V49" i="15" s="1"/>
  <c r="V51" i="15" s="1"/>
  <c r="I53" i="8"/>
  <c r="I38" i="15"/>
  <c r="I39" i="15" s="1"/>
  <c r="I49" i="15" s="1"/>
  <c r="I51" i="15" s="1"/>
  <c r="W38" i="15"/>
  <c r="W39" i="15" s="1"/>
  <c r="W49" i="15" s="1"/>
  <c r="W51" i="15" s="1"/>
  <c r="Q38" i="15"/>
  <c r="Q39" i="15" s="1"/>
  <c r="Q49" i="15" s="1"/>
  <c r="Q51" i="15" s="1"/>
  <c r="S38" i="15"/>
  <c r="S39" i="15" s="1"/>
  <c r="S49" i="15" s="1"/>
  <c r="S51" i="15" s="1"/>
  <c r="T38" i="15"/>
  <c r="T39" i="15" s="1"/>
  <c r="T49" i="15" s="1"/>
  <c r="T51" i="15" s="1"/>
  <c r="P38" i="15"/>
  <c r="P39" i="15" s="1"/>
  <c r="P49" i="15" s="1"/>
  <c r="P51" i="15" s="1"/>
  <c r="AA37" i="15"/>
  <c r="AA39" i="15" s="1"/>
  <c r="AA49" i="15" s="1"/>
  <c r="AA51" i="15" s="1"/>
  <c r="K38" i="15"/>
  <c r="K39" i="15" s="1"/>
  <c r="K49" i="15" s="1"/>
  <c r="K51" i="15" s="1"/>
  <c r="X37" i="15"/>
  <c r="X39" i="15" s="1"/>
  <c r="X49" i="15" s="1"/>
  <c r="X51" i="15" s="1"/>
  <c r="M38" i="15"/>
  <c r="M39" i="15" s="1"/>
  <c r="M49" i="15" s="1"/>
  <c r="M51" i="15" s="1"/>
  <c r="U38" i="15"/>
  <c r="U39" i="15" s="1"/>
  <c r="U49" i="15" s="1"/>
  <c r="U51" i="15" s="1"/>
  <c r="O38" i="15"/>
  <c r="O39" i="15" s="1"/>
  <c r="O49" i="15" s="1"/>
  <c r="O51" i="15" s="1"/>
  <c r="J38" i="15"/>
  <c r="J37" i="15"/>
  <c r="N37" i="15"/>
  <c r="N38" i="15"/>
  <c r="AB38" i="15"/>
  <c r="AB37" i="15"/>
  <c r="R38" i="15"/>
  <c r="R37" i="15"/>
  <c r="H38" i="15"/>
  <c r="H37" i="15"/>
  <c r="E37" i="15"/>
  <c r="E38" i="15"/>
  <c r="G37" i="15"/>
  <c r="G38" i="15"/>
  <c r="Y38" i="15"/>
  <c r="Y37" i="15"/>
  <c r="Z37" i="15"/>
  <c r="Z38" i="15"/>
  <c r="L38" i="15"/>
  <c r="L37" i="15"/>
  <c r="F38" i="15"/>
  <c r="F37" i="15"/>
  <c r="D37" i="15"/>
  <c r="D38" i="15"/>
  <c r="W37" i="16"/>
  <c r="W39" i="16" s="1"/>
  <c r="W49" i="16" s="1"/>
  <c r="W51" i="16" s="1"/>
  <c r="M37" i="16"/>
  <c r="M39" i="16" s="1"/>
  <c r="M49" i="16" s="1"/>
  <c r="M51" i="16" s="1"/>
  <c r="U38" i="16"/>
  <c r="U39" i="16" s="1"/>
  <c r="U49" i="16" s="1"/>
  <c r="U51" i="16" s="1"/>
  <c r="Y37" i="16"/>
  <c r="Y39" i="16" s="1"/>
  <c r="Y49" i="16" s="1"/>
  <c r="Y51" i="16" s="1"/>
  <c r="J38" i="16"/>
  <c r="J39" i="16" s="1"/>
  <c r="J49" i="16" s="1"/>
  <c r="J51" i="16" s="1"/>
  <c r="J56" i="16" s="1"/>
  <c r="Z38" i="16"/>
  <c r="Z39" i="16" s="1"/>
  <c r="Z49" i="16" s="1"/>
  <c r="Z51" i="16" s="1"/>
  <c r="T37" i="16"/>
  <c r="T39" i="16" s="1"/>
  <c r="T49" i="16" s="1"/>
  <c r="T51" i="16" s="1"/>
  <c r="K38" i="16"/>
  <c r="K39" i="16" s="1"/>
  <c r="K49" i="16" s="1"/>
  <c r="K51" i="16" s="1"/>
  <c r="K56" i="16" s="1"/>
  <c r="L37" i="16"/>
  <c r="L39" i="16" s="1"/>
  <c r="L49" i="16" s="1"/>
  <c r="L51" i="16" s="1"/>
  <c r="S38" i="16"/>
  <c r="S39" i="16" s="1"/>
  <c r="S49" i="16" s="1"/>
  <c r="S51" i="16" s="1"/>
  <c r="H38" i="16"/>
  <c r="H39" i="16" s="1"/>
  <c r="H49" i="16" s="1"/>
  <c r="H51" i="16" s="1"/>
  <c r="H56" i="16" s="1"/>
  <c r="P37" i="16"/>
  <c r="P39" i="16" s="1"/>
  <c r="P49" i="16" s="1"/>
  <c r="P51" i="16" s="1"/>
  <c r="O38" i="16"/>
  <c r="O39" i="16" s="1"/>
  <c r="O49" i="16" s="1"/>
  <c r="O51" i="16" s="1"/>
  <c r="AC37" i="16"/>
  <c r="AC39" i="16" s="1"/>
  <c r="AC49" i="16" s="1"/>
  <c r="AC51" i="16" s="1"/>
  <c r="I38" i="16"/>
  <c r="I39" i="16" s="1"/>
  <c r="I49" i="16" s="1"/>
  <c r="I51" i="16" s="1"/>
  <c r="I56" i="16" s="1"/>
  <c r="F38" i="16"/>
  <c r="F37" i="16"/>
  <c r="AB38" i="16"/>
  <c r="AB37" i="16"/>
  <c r="G37" i="16"/>
  <c r="G38" i="16"/>
  <c r="V38" i="16"/>
  <c r="V37" i="16"/>
  <c r="R37" i="16"/>
  <c r="R38" i="16"/>
  <c r="X38" i="16"/>
  <c r="X37" i="16"/>
  <c r="N37" i="16"/>
  <c r="N38" i="16"/>
  <c r="Q38" i="16"/>
  <c r="Q37" i="16"/>
  <c r="E38" i="16"/>
  <c r="E37" i="16"/>
  <c r="D38" i="16"/>
  <c r="D37" i="16"/>
  <c r="H60" i="16"/>
  <c r="L38" i="8"/>
  <c r="L37" i="8"/>
  <c r="K38" i="8"/>
  <c r="K37" i="8"/>
  <c r="I38" i="8"/>
  <c r="I37" i="8"/>
  <c r="H38" i="8"/>
  <c r="H37" i="8"/>
  <c r="G38" i="8"/>
  <c r="G37" i="8"/>
  <c r="J38" i="8"/>
  <c r="J37" i="8"/>
  <c r="E38" i="8"/>
  <c r="E37" i="8"/>
  <c r="M38" i="8"/>
  <c r="M37" i="8"/>
  <c r="F37" i="8"/>
  <c r="F38" i="8"/>
  <c r="N35" i="8"/>
  <c r="H60" i="8"/>
  <c r="L56" i="16" l="1"/>
  <c r="M53" i="16"/>
  <c r="H60" i="15"/>
  <c r="I53" i="15"/>
  <c r="J53" i="8"/>
  <c r="F39" i="15"/>
  <c r="F49" i="15" s="1"/>
  <c r="F51" i="15" s="1"/>
  <c r="H39" i="15"/>
  <c r="H49" i="15" s="1"/>
  <c r="H51" i="15" s="1"/>
  <c r="H56" i="15" s="1"/>
  <c r="AB39" i="15"/>
  <c r="AB49" i="15" s="1"/>
  <c r="AB51" i="15" s="1"/>
  <c r="J39" i="15"/>
  <c r="J49" i="15" s="1"/>
  <c r="J51" i="15" s="1"/>
  <c r="N39" i="15"/>
  <c r="N49" i="15" s="1"/>
  <c r="N51" i="15" s="1"/>
  <c r="L39" i="15"/>
  <c r="L49" i="15" s="1"/>
  <c r="L51" i="15" s="1"/>
  <c r="Y39" i="15"/>
  <c r="Y49" i="15" s="1"/>
  <c r="Y51" i="15" s="1"/>
  <c r="R39" i="15"/>
  <c r="R49" i="15" s="1"/>
  <c r="R51" i="15" s="1"/>
  <c r="D39" i="15"/>
  <c r="E39" i="15"/>
  <c r="E49" i="15" s="1"/>
  <c r="E51" i="15" s="1"/>
  <c r="Z39" i="15"/>
  <c r="Z49" i="15" s="1"/>
  <c r="Z51" i="15" s="1"/>
  <c r="G39" i="15"/>
  <c r="G49" i="15" s="1"/>
  <c r="G51" i="15" s="1"/>
  <c r="X39" i="16"/>
  <c r="X49" i="16" s="1"/>
  <c r="X51" i="16" s="1"/>
  <c r="AB39" i="16"/>
  <c r="AB49" i="16" s="1"/>
  <c r="AB51" i="16" s="1"/>
  <c r="N39" i="16"/>
  <c r="N49" i="16" s="1"/>
  <c r="N51" i="16" s="1"/>
  <c r="R39" i="16"/>
  <c r="R49" i="16" s="1"/>
  <c r="R51" i="16" s="1"/>
  <c r="G39" i="16"/>
  <c r="G49" i="16" s="1"/>
  <c r="G51" i="16" s="1"/>
  <c r="V39" i="16"/>
  <c r="V49" i="16" s="1"/>
  <c r="V51" i="16" s="1"/>
  <c r="Q39" i="16"/>
  <c r="Q49" i="16" s="1"/>
  <c r="Q51" i="16" s="1"/>
  <c r="E39" i="16"/>
  <c r="E49" i="16" s="1"/>
  <c r="E51" i="16" s="1"/>
  <c r="D39" i="16"/>
  <c r="D49" i="16" s="1"/>
  <c r="D51" i="16" s="1"/>
  <c r="F39" i="16"/>
  <c r="F49" i="16" s="1"/>
  <c r="F51" i="16" s="1"/>
  <c r="N38" i="8"/>
  <c r="N37" i="8"/>
  <c r="P34" i="8"/>
  <c r="O35" i="8"/>
  <c r="O34" i="8"/>
  <c r="I39" i="8"/>
  <c r="I49" i="8" s="1"/>
  <c r="I51" i="8" s="1"/>
  <c r="I56" i="8" s="1"/>
  <c r="E39" i="8"/>
  <c r="E49" i="8" s="1"/>
  <c r="E51" i="8" s="1"/>
  <c r="E56" i="8" s="1"/>
  <c r="M39" i="8"/>
  <c r="M49" i="8" s="1"/>
  <c r="M51" i="8" s="1"/>
  <c r="L39" i="8"/>
  <c r="L49" i="8" s="1"/>
  <c r="L51" i="8" s="1"/>
  <c r="G39" i="8"/>
  <c r="G49" i="8" s="1"/>
  <c r="G51" i="8" s="1"/>
  <c r="K39" i="8"/>
  <c r="K49" i="8" s="1"/>
  <c r="K51" i="8" s="1"/>
  <c r="H39" i="8"/>
  <c r="H49" i="8" s="1"/>
  <c r="H51" i="8" s="1"/>
  <c r="D39" i="8"/>
  <c r="D49" i="8" s="1"/>
  <c r="D51" i="8" s="1"/>
  <c r="D56" i="8" s="1"/>
  <c r="F39" i="8"/>
  <c r="F49" i="8" s="1"/>
  <c r="F51" i="8" s="1"/>
  <c r="J39" i="8"/>
  <c r="J49" i="8" s="1"/>
  <c r="J51" i="8" s="1"/>
  <c r="J56" i="8" l="1"/>
  <c r="E56" i="16"/>
  <c r="E57" i="16" s="1"/>
  <c r="E58" i="16" s="1"/>
  <c r="E65" i="16" s="1"/>
  <c r="F56" i="16"/>
  <c r="F57" i="16" s="1"/>
  <c r="F58" i="16" s="1"/>
  <c r="F65" i="16" s="1"/>
  <c r="D56" i="16"/>
  <c r="D57" i="16" s="1"/>
  <c r="D58" i="16" s="1"/>
  <c r="D65" i="16" s="1"/>
  <c r="G56" i="16"/>
  <c r="G57" i="16" s="1"/>
  <c r="G58" i="16" s="1"/>
  <c r="G65" i="16" s="1"/>
  <c r="E56" i="15"/>
  <c r="E57" i="15" s="1"/>
  <c r="E58" i="15" s="1"/>
  <c r="E65" i="15" s="1"/>
  <c r="D49" i="15"/>
  <c r="D51" i="15" s="1"/>
  <c r="F56" i="15"/>
  <c r="F57" i="15" s="1"/>
  <c r="F58" i="15" s="1"/>
  <c r="F65" i="15" s="1"/>
  <c r="G56" i="15"/>
  <c r="G57" i="15" s="1"/>
  <c r="G58" i="15" s="1"/>
  <c r="G65" i="15" s="1"/>
  <c r="H57" i="15"/>
  <c r="H58" i="15" s="1"/>
  <c r="H65" i="15" s="1"/>
  <c r="N53" i="16"/>
  <c r="M56" i="16"/>
  <c r="I56" i="15"/>
  <c r="J53" i="15"/>
  <c r="J56" i="15" s="1"/>
  <c r="G56" i="8"/>
  <c r="G57" i="8" s="1"/>
  <c r="F56" i="8"/>
  <c r="F57" i="8" s="1"/>
  <c r="F58" i="8" s="1"/>
  <c r="F65" i="8" s="1"/>
  <c r="H56" i="8"/>
  <c r="H57" i="8" s="1"/>
  <c r="H58" i="8" s="1"/>
  <c r="H65" i="8" s="1"/>
  <c r="K53" i="8"/>
  <c r="K56" i="8" s="1"/>
  <c r="H57" i="16"/>
  <c r="H58" i="16" s="1"/>
  <c r="H65" i="16" s="1"/>
  <c r="I60" i="15"/>
  <c r="N39" i="8"/>
  <c r="N49" i="8" s="1"/>
  <c r="N51" i="8" s="1"/>
  <c r="D57" i="8"/>
  <c r="D58" i="8" s="1"/>
  <c r="E57" i="8"/>
  <c r="E58" i="8" s="1"/>
  <c r="E65" i="8" s="1"/>
  <c r="O38" i="8"/>
  <c r="O37" i="8"/>
  <c r="P35" i="8"/>
  <c r="Q34" i="8"/>
  <c r="D56" i="15" l="1"/>
  <c r="D57" i="15" s="1"/>
  <c r="D58" i="15" s="1"/>
  <c r="D65" i="15" s="1"/>
  <c r="K53" i="15"/>
  <c r="K56" i="15" s="1"/>
  <c r="O53" i="16"/>
  <c r="O56" i="16" s="1"/>
  <c r="N56" i="16"/>
  <c r="G58" i="8"/>
  <c r="G65" i="8" s="1"/>
  <c r="D65" i="8"/>
  <c r="L53" i="8"/>
  <c r="I60" i="16"/>
  <c r="I57" i="15"/>
  <c r="I58" i="15" s="1"/>
  <c r="I65" i="15" s="1"/>
  <c r="P38" i="8"/>
  <c r="P37" i="8"/>
  <c r="Q35" i="8"/>
  <c r="R35" i="8"/>
  <c r="O39" i="8"/>
  <c r="O49" i="8" s="1"/>
  <c r="O51" i="8" s="1"/>
  <c r="I60" i="8"/>
  <c r="I57" i="8"/>
  <c r="L53" i="15" l="1"/>
  <c r="M53" i="15" s="1"/>
  <c r="P53" i="16"/>
  <c r="P56" i="16" s="1"/>
  <c r="M53" i="8"/>
  <c r="L56" i="8"/>
  <c r="I57" i="16"/>
  <c r="I58" i="16" s="1"/>
  <c r="I65" i="16" s="1"/>
  <c r="J60" i="15"/>
  <c r="R38" i="8"/>
  <c r="R37" i="8"/>
  <c r="Q38" i="8"/>
  <c r="Q37" i="8"/>
  <c r="R34" i="8"/>
  <c r="S34" i="8"/>
  <c r="P39" i="8"/>
  <c r="P49" i="8" s="1"/>
  <c r="P51" i="8" s="1"/>
  <c r="I58" i="8"/>
  <c r="I65" i="8" s="1"/>
  <c r="L56" i="15" l="1"/>
  <c r="Q53" i="16"/>
  <c r="M56" i="15"/>
  <c r="N53" i="15"/>
  <c r="N53" i="8"/>
  <c r="M56" i="8"/>
  <c r="J60" i="16"/>
  <c r="J57" i="15"/>
  <c r="J58" i="15" s="1"/>
  <c r="J65" i="15" s="1"/>
  <c r="Q39" i="8"/>
  <c r="Q49" i="8" s="1"/>
  <c r="Q51" i="8" s="1"/>
  <c r="S35" i="8"/>
  <c r="T35" i="8"/>
  <c r="R39" i="8"/>
  <c r="R49" i="8" s="1"/>
  <c r="R51" i="8" s="1"/>
  <c r="J60" i="8"/>
  <c r="J57" i="8"/>
  <c r="R53" i="16" l="1"/>
  <c r="Q56" i="16"/>
  <c r="N56" i="15"/>
  <c r="O53" i="15"/>
  <c r="O53" i="8"/>
  <c r="N56" i="8"/>
  <c r="J57" i="16"/>
  <c r="J58" i="16" s="1"/>
  <c r="J65" i="16" s="1"/>
  <c r="K60" i="15"/>
  <c r="T38" i="8"/>
  <c r="T37" i="8"/>
  <c r="S38" i="8"/>
  <c r="S37" i="8"/>
  <c r="T34" i="8"/>
  <c r="U34" i="8"/>
  <c r="K60" i="8"/>
  <c r="K57" i="8"/>
  <c r="J58" i="8"/>
  <c r="J65" i="8" s="1"/>
  <c r="S53" i="16" l="1"/>
  <c r="R56" i="16"/>
  <c r="O56" i="15"/>
  <c r="P53" i="15"/>
  <c r="P53" i="8"/>
  <c r="O56" i="8"/>
  <c r="K60" i="16"/>
  <c r="K57" i="15"/>
  <c r="K58" i="15" s="1"/>
  <c r="K65" i="15" s="1"/>
  <c r="S39" i="8"/>
  <c r="S49" i="8" s="1"/>
  <c r="S51" i="8" s="1"/>
  <c r="U35" i="8"/>
  <c r="V34" i="8"/>
  <c r="T39" i="8"/>
  <c r="T49" i="8" s="1"/>
  <c r="T51" i="8" s="1"/>
  <c r="K58" i="8"/>
  <c r="K65" i="8" s="1"/>
  <c r="T53" i="16" l="1"/>
  <c r="S56" i="16"/>
  <c r="Q53" i="15"/>
  <c r="P56" i="15"/>
  <c r="Q53" i="8"/>
  <c r="P56" i="8"/>
  <c r="K57" i="16"/>
  <c r="K58" i="16" s="1"/>
  <c r="K65" i="16" s="1"/>
  <c r="L60" i="16"/>
  <c r="L60" i="15"/>
  <c r="U38" i="8"/>
  <c r="U37" i="8"/>
  <c r="V35" i="8"/>
  <c r="W34" i="8"/>
  <c r="L60" i="8"/>
  <c r="L57" i="8"/>
  <c r="U53" i="16" l="1"/>
  <c r="T56" i="16"/>
  <c r="R53" i="15"/>
  <c r="Q56" i="15"/>
  <c r="R53" i="8"/>
  <c r="Q56" i="8"/>
  <c r="L57" i="16"/>
  <c r="L58" i="16" s="1"/>
  <c r="L65" i="16" s="1"/>
  <c r="L57" i="15"/>
  <c r="L58" i="15" s="1"/>
  <c r="L65" i="15" s="1"/>
  <c r="U39" i="8"/>
  <c r="U49" i="8" s="1"/>
  <c r="U51" i="8" s="1"/>
  <c r="V38" i="8"/>
  <c r="V37" i="8"/>
  <c r="W35" i="8"/>
  <c r="X35" i="8"/>
  <c r="L58" i="8"/>
  <c r="L65" i="8" s="1"/>
  <c r="V53" i="16" l="1"/>
  <c r="U56" i="16"/>
  <c r="R56" i="15"/>
  <c r="S53" i="15"/>
  <c r="S53" i="8"/>
  <c r="R56" i="8"/>
  <c r="M60" i="16"/>
  <c r="M60" i="15"/>
  <c r="V39" i="8"/>
  <c r="V49" i="8" s="1"/>
  <c r="V51" i="8" s="1"/>
  <c r="W38" i="8"/>
  <c r="W37" i="8"/>
  <c r="X38" i="8"/>
  <c r="X37" i="8"/>
  <c r="X34" i="8"/>
  <c r="Y35" i="8"/>
  <c r="M60" i="8"/>
  <c r="M57" i="8"/>
  <c r="W53" i="16" l="1"/>
  <c r="V56" i="16"/>
  <c r="T53" i="15"/>
  <c r="S56" i="15"/>
  <c r="T53" i="8"/>
  <c r="S56" i="8"/>
  <c r="N60" i="16"/>
  <c r="M57" i="16"/>
  <c r="M58" i="16" s="1"/>
  <c r="M65" i="16" s="1"/>
  <c r="M57" i="15"/>
  <c r="M58" i="15" s="1"/>
  <c r="M65" i="15" s="1"/>
  <c r="N60" i="15"/>
  <c r="Y38" i="8"/>
  <c r="Y37" i="8"/>
  <c r="W39" i="8"/>
  <c r="W49" i="8" s="1"/>
  <c r="W51" i="8" s="1"/>
  <c r="X39" i="8"/>
  <c r="X49" i="8" s="1"/>
  <c r="X51" i="8" s="1"/>
  <c r="Y34" i="8"/>
  <c r="Z35" i="8"/>
  <c r="N60" i="8"/>
  <c r="N57" i="8"/>
  <c r="M58" i="8"/>
  <c r="M65" i="8" s="1"/>
  <c r="X53" i="16" l="1"/>
  <c r="W56" i="16"/>
  <c r="U53" i="15"/>
  <c r="T56" i="15"/>
  <c r="U53" i="8"/>
  <c r="T56" i="8"/>
  <c r="N57" i="16"/>
  <c r="N58" i="16" s="1"/>
  <c r="N65" i="16" s="1"/>
  <c r="N57" i="15"/>
  <c r="N58" i="15" s="1"/>
  <c r="N65" i="15" s="1"/>
  <c r="Z38" i="8"/>
  <c r="Z37" i="8"/>
  <c r="Y39" i="8"/>
  <c r="Y49" i="8" s="1"/>
  <c r="Y51" i="8" s="1"/>
  <c r="Z34" i="8"/>
  <c r="AA34" i="8"/>
  <c r="N58" i="8"/>
  <c r="N65" i="8" s="1"/>
  <c r="Y53" i="16" l="1"/>
  <c r="X56" i="16"/>
  <c r="V53" i="15"/>
  <c r="U56" i="15"/>
  <c r="V53" i="8"/>
  <c r="U56" i="8"/>
  <c r="O60" i="16"/>
  <c r="O60" i="15"/>
  <c r="AA35" i="8"/>
  <c r="AB34" i="8"/>
  <c r="Z39" i="8"/>
  <c r="Z49" i="8" s="1"/>
  <c r="Z51" i="8" s="1"/>
  <c r="O60" i="8"/>
  <c r="O57" i="8"/>
  <c r="Z53" i="16" l="1"/>
  <c r="Y56" i="16"/>
  <c r="V56" i="15"/>
  <c r="W53" i="15"/>
  <c r="W53" i="8"/>
  <c r="V56" i="8"/>
  <c r="O57" i="16"/>
  <c r="O58" i="16" s="1"/>
  <c r="O65" i="16" s="1"/>
  <c r="P60" i="16"/>
  <c r="O57" i="15"/>
  <c r="O58" i="15" s="1"/>
  <c r="O65" i="15" s="1"/>
  <c r="P60" i="15"/>
  <c r="AA38" i="8"/>
  <c r="AA37" i="8"/>
  <c r="AB35" i="8"/>
  <c r="O58" i="8"/>
  <c r="O65" i="8" s="1"/>
  <c r="AB53" i="16" l="1"/>
  <c r="AC53" i="16" s="1"/>
  <c r="AC54" i="16" s="1"/>
  <c r="AC61" i="16" s="1"/>
  <c r="Z56" i="16"/>
  <c r="X53" i="15"/>
  <c r="W56" i="15"/>
  <c r="X53" i="8"/>
  <c r="W56" i="8"/>
  <c r="AA39" i="8"/>
  <c r="AA49" i="8" s="1"/>
  <c r="AA51" i="8" s="1"/>
  <c r="P57" i="16"/>
  <c r="P58" i="16" s="1"/>
  <c r="P65" i="16" s="1"/>
  <c r="P57" i="15"/>
  <c r="P58" i="15" s="1"/>
  <c r="P65" i="15" s="1"/>
  <c r="Q60" i="15"/>
  <c r="AB38" i="8"/>
  <c r="AB37" i="8"/>
  <c r="P60" i="8"/>
  <c r="P57" i="8"/>
  <c r="AC56" i="16" l="1"/>
  <c r="AB56" i="16"/>
  <c r="Y53" i="15"/>
  <c r="X56" i="15"/>
  <c r="Y53" i="8"/>
  <c r="X56" i="8"/>
  <c r="Q60" i="16"/>
  <c r="R60" i="15"/>
  <c r="Q57" i="15"/>
  <c r="Q58" i="15" s="1"/>
  <c r="Q65" i="15" s="1"/>
  <c r="AB39" i="8"/>
  <c r="AB49" i="8" s="1"/>
  <c r="AB51" i="8" s="1"/>
  <c r="P58" i="8"/>
  <c r="P65" i="8" s="1"/>
  <c r="Z53" i="15" l="1"/>
  <c r="Y56" i="15"/>
  <c r="Z53" i="8"/>
  <c r="Y56" i="8"/>
  <c r="Q57" i="16"/>
  <c r="Q58" i="16" s="1"/>
  <c r="Q65" i="16" s="1"/>
  <c r="R60" i="16"/>
  <c r="R57" i="15"/>
  <c r="R58" i="15" s="1"/>
  <c r="R65" i="15" s="1"/>
  <c r="Q60" i="8"/>
  <c r="Q57" i="8"/>
  <c r="AA53" i="15" l="1"/>
  <c r="Z56" i="15"/>
  <c r="AA53" i="8"/>
  <c r="Z56" i="8"/>
  <c r="R57" i="16"/>
  <c r="R58" i="16" s="1"/>
  <c r="R65" i="16" s="1"/>
  <c r="S60" i="15"/>
  <c r="Q58" i="8"/>
  <c r="Q65" i="8" s="1"/>
  <c r="AA56" i="15" l="1"/>
  <c r="AB53" i="15"/>
  <c r="AB53" i="8"/>
  <c r="AA56" i="8"/>
  <c r="S60" i="16"/>
  <c r="S57" i="15"/>
  <c r="S58" i="15" s="1"/>
  <c r="S65" i="15" s="1"/>
  <c r="T60" i="15"/>
  <c r="R60" i="8"/>
  <c r="R57" i="8"/>
  <c r="AB54" i="15" l="1"/>
  <c r="AB54" i="8"/>
  <c r="AB61" i="8" s="1"/>
  <c r="S57" i="16"/>
  <c r="S58" i="16" s="1"/>
  <c r="S65" i="16" s="1"/>
  <c r="T60" i="16"/>
  <c r="T57" i="15"/>
  <c r="T58" i="15" s="1"/>
  <c r="T65" i="15" s="1"/>
  <c r="R58" i="8"/>
  <c r="R65" i="8" s="1"/>
  <c r="AB56" i="8" l="1"/>
  <c r="AB56" i="15"/>
  <c r="AB61" i="15"/>
  <c r="T57" i="16"/>
  <c r="T58" i="16" s="1"/>
  <c r="T65" i="16" s="1"/>
  <c r="U60" i="15"/>
  <c r="S60" i="8"/>
  <c r="S57" i="8"/>
  <c r="U60" i="16" l="1"/>
  <c r="U57" i="15"/>
  <c r="U58" i="15" s="1"/>
  <c r="U65" i="15" s="1"/>
  <c r="S58" i="8"/>
  <c r="S65" i="8" s="1"/>
  <c r="U57" i="16" l="1"/>
  <c r="U58" i="16" s="1"/>
  <c r="U65" i="16" s="1"/>
  <c r="V60" i="16"/>
  <c r="V60" i="15"/>
  <c r="T60" i="8"/>
  <c r="T57" i="8"/>
  <c r="V57" i="16" l="1"/>
  <c r="V58" i="16" s="1"/>
  <c r="V65" i="16" s="1"/>
  <c r="V57" i="15"/>
  <c r="V58" i="15" s="1"/>
  <c r="V65" i="15" s="1"/>
  <c r="W60" i="15"/>
  <c r="T58" i="8"/>
  <c r="T65" i="8" s="1"/>
  <c r="W60" i="16" l="1"/>
  <c r="W57" i="15"/>
  <c r="W58" i="15" s="1"/>
  <c r="W65" i="15" s="1"/>
  <c r="U60" i="8"/>
  <c r="U57" i="8"/>
  <c r="W57" i="16" l="1"/>
  <c r="W58" i="16" s="1"/>
  <c r="W65" i="16" s="1"/>
  <c r="X60" i="16"/>
  <c r="X60" i="15"/>
  <c r="V60" i="8"/>
  <c r="V57" i="8"/>
  <c r="U58" i="8"/>
  <c r="U65" i="8" s="1"/>
  <c r="X57" i="16" l="1"/>
  <c r="X58" i="16" s="1"/>
  <c r="X65" i="16" s="1"/>
  <c r="Y60" i="15"/>
  <c r="X57" i="15"/>
  <c r="X58" i="15" s="1"/>
  <c r="X65" i="15" s="1"/>
  <c r="V58" i="8"/>
  <c r="V65" i="8" s="1"/>
  <c r="Y60" i="16" l="1"/>
  <c r="Y57" i="15"/>
  <c r="Y58" i="15" s="1"/>
  <c r="Y65" i="15" s="1"/>
  <c r="Z60" i="15"/>
  <c r="W60" i="8"/>
  <c r="W57" i="8"/>
  <c r="Y57" i="16" l="1"/>
  <c r="Y58" i="16" s="1"/>
  <c r="Y65" i="16" s="1"/>
  <c r="Z60" i="16"/>
  <c r="Z57" i="15"/>
  <c r="Z58" i="15" s="1"/>
  <c r="Z65" i="15" s="1"/>
  <c r="AA60" i="15"/>
  <c r="W58" i="8"/>
  <c r="W65" i="8" s="1"/>
  <c r="Z57" i="16" l="1"/>
  <c r="Z58" i="16" s="1"/>
  <c r="Z65" i="16" s="1"/>
  <c r="AB60" i="15"/>
  <c r="AA57" i="15"/>
  <c r="AA58" i="15" s="1"/>
  <c r="AA65" i="15" s="1"/>
  <c r="X60" i="8"/>
  <c r="X57" i="8"/>
  <c r="AB60" i="16" l="1"/>
  <c r="AB57" i="15"/>
  <c r="X58" i="8"/>
  <c r="X65" i="8" s="1"/>
  <c r="Y60" i="8"/>
  <c r="Y57" i="8"/>
  <c r="AB58" i="15" l="1"/>
  <c r="AB65" i="15" s="1"/>
  <c r="AB57" i="16"/>
  <c r="AB58" i="16" s="1"/>
  <c r="AB65" i="16" s="1"/>
  <c r="AC60" i="16"/>
  <c r="Y58" i="8"/>
  <c r="Y65" i="8" s="1"/>
  <c r="Z60" i="8"/>
  <c r="Z57" i="8"/>
  <c r="C69" i="15" l="1"/>
  <c r="C68" i="15"/>
  <c r="AC57" i="16"/>
  <c r="AC58" i="16" s="1"/>
  <c r="AC65" i="16" s="1"/>
  <c r="C68" i="16" s="1"/>
  <c r="Z58" i="8"/>
  <c r="Z65" i="8" s="1"/>
  <c r="AA60" i="8"/>
  <c r="AA57" i="8"/>
  <c r="C69" i="16" l="1"/>
  <c r="AA58" i="8"/>
  <c r="AA65" i="8" s="1"/>
  <c r="AB60" i="8" l="1"/>
  <c r="AB57" i="8"/>
  <c r="AB58" i="8" l="1"/>
  <c r="AB65" i="8" s="1"/>
  <c r="C68" i="8" s="1"/>
  <c r="C69" i="8" l="1"/>
</calcChain>
</file>

<file path=xl/sharedStrings.xml><?xml version="1.0" encoding="utf-8"?>
<sst xmlns="http://schemas.openxmlformats.org/spreadsheetml/2006/main" count="839" uniqueCount="189">
  <si>
    <t>Satser</t>
  </si>
  <si>
    <t>Faste beløp</t>
  </si>
  <si>
    <t>Inflasjon</t>
  </si>
  <si>
    <t>Pakkeforsikring</t>
  </si>
  <si>
    <t>WACC</t>
  </si>
  <si>
    <t>Prod. Av. Ensilert</t>
  </si>
  <si>
    <t>Smøreolje pr dag</t>
  </si>
  <si>
    <t>Vekst i fiskepris</t>
  </si>
  <si>
    <t>Fangsforsikring</t>
  </si>
  <si>
    <t>Proviant per person</t>
  </si>
  <si>
    <t>NOx-avgift</t>
  </si>
  <si>
    <t>Driftsdøgn</t>
  </si>
  <si>
    <t>Reduktan Urea</t>
  </si>
  <si>
    <t>Mannskap</t>
  </si>
  <si>
    <t>Forsikring</t>
  </si>
  <si>
    <t>Prod og andre avgifter</t>
  </si>
  <si>
    <t>Garantilønn</t>
  </si>
  <si>
    <t>Reiseutgift pr person</t>
  </si>
  <si>
    <t>Investering</t>
  </si>
  <si>
    <t>Økning bunkerskostnad til 2025</t>
  </si>
  <si>
    <t>Mannskapslot</t>
  </si>
  <si>
    <t>Bunkerskostnad før 2026</t>
  </si>
  <si>
    <t>Rep. Fartøy</t>
  </si>
  <si>
    <t>Fellesutgiter ensilasje</t>
  </si>
  <si>
    <t>Kostnader restråstff</t>
  </si>
  <si>
    <t>Bunkerskostnad f.o.m 2026</t>
  </si>
  <si>
    <t>Rep. Fabrikk/frys</t>
  </si>
  <si>
    <t>Lagsavgift</t>
  </si>
  <si>
    <t>Skatt</t>
  </si>
  <si>
    <t>Bunkerskostnad f.o.m 2030</t>
  </si>
  <si>
    <t>Rep. Maskin/el</t>
  </si>
  <si>
    <t>Avskrivningssats fartøy</t>
  </si>
  <si>
    <t>Fellesutgifter-basis</t>
  </si>
  <si>
    <t>Liter bunkers per døgn</t>
  </si>
  <si>
    <t>Arbeidskapital</t>
  </si>
  <si>
    <t>Vekst Nox-avgift</t>
  </si>
  <si>
    <t>Alle beløp i hele tall</t>
  </si>
  <si>
    <t>År</t>
  </si>
  <si>
    <t>Fangstinntekt</t>
  </si>
  <si>
    <t>Restråstoff</t>
  </si>
  <si>
    <t>Netto driftsinntekter</t>
  </si>
  <si>
    <t>Felleskostnader</t>
  </si>
  <si>
    <t>Bunkers</t>
  </si>
  <si>
    <t>Prod. og andre avgifter</t>
  </si>
  <si>
    <t>Prod. avg. ensilert</t>
  </si>
  <si>
    <t>Fellesutgifter ensilasje</t>
  </si>
  <si>
    <t>Proviant</t>
  </si>
  <si>
    <t>Fellesutgifter</t>
  </si>
  <si>
    <t>Reiseutgift</t>
  </si>
  <si>
    <t>Fangstforsikring</t>
  </si>
  <si>
    <t>Smøreolje</t>
  </si>
  <si>
    <t>Sum felleskostnader</t>
  </si>
  <si>
    <t>Netto driftsinntekter etter felleskostnader</t>
  </si>
  <si>
    <t>Garantilønn (4%)</t>
  </si>
  <si>
    <t>Mannskapslott (36%)</t>
  </si>
  <si>
    <t>Sum lønnskostnader</t>
  </si>
  <si>
    <t>Andre driftskostnader</t>
  </si>
  <si>
    <t>Rep. og vedlikeh. fartøy</t>
  </si>
  <si>
    <t>Rep. og vedlikeh. fabrikk og frys</t>
  </si>
  <si>
    <t>Rep. og vedlikeh. maskin/elektrisk</t>
  </si>
  <si>
    <t>Kostnader restråstoff</t>
  </si>
  <si>
    <t>Sum andre driftskostnader</t>
  </si>
  <si>
    <t>Driftskostnader (OPEX)</t>
  </si>
  <si>
    <t>Driftsresultat (EBITDA)</t>
  </si>
  <si>
    <t>Avskrivninger</t>
  </si>
  <si>
    <t>Salg av anleggsmidler</t>
  </si>
  <si>
    <t>Resultat før skatt</t>
  </si>
  <si>
    <t>Skatt (22%)</t>
  </si>
  <si>
    <t>Resultat etter skatt</t>
  </si>
  <si>
    <t>Tap ved salg av anleggsmidler</t>
  </si>
  <si>
    <t>Endring i arbeidskapital</t>
  </si>
  <si>
    <t>Investering (CAPEX)</t>
  </si>
  <si>
    <t>Kontantstrøm til totalkapitalen (FCFF)</t>
  </si>
  <si>
    <t>NNV totalkapital</t>
  </si>
  <si>
    <t>MODIR totalkapital</t>
  </si>
  <si>
    <t>...</t>
  </si>
  <si>
    <t>Reparasjon og vedlikehold</t>
  </si>
  <si>
    <t>NOX-avgift</t>
  </si>
  <si>
    <t>Økning vedlikehold</t>
  </si>
  <si>
    <t>Fagsforsikrig</t>
  </si>
  <si>
    <t>Rep. Fabrikk og frys</t>
  </si>
  <si>
    <t>Vekst i Nox-avgift</t>
  </si>
  <si>
    <t>Reduktan urea</t>
  </si>
  <si>
    <t>Rep. Maskin/elektrisk</t>
  </si>
  <si>
    <t>Prod og andre avg.</t>
  </si>
  <si>
    <t>Dieselpris før 2026</t>
  </si>
  <si>
    <t>KG per døgn</t>
  </si>
  <si>
    <t>Vekst i dieselpris frem til 2025</t>
  </si>
  <si>
    <t>Diselpris f.o.m 2026</t>
  </si>
  <si>
    <t>KG per år</t>
  </si>
  <si>
    <t>Avskrivningssats</t>
  </si>
  <si>
    <t>Skattesats</t>
  </si>
  <si>
    <t>Liter pr driftsdøgn</t>
  </si>
  <si>
    <t>Pris pr KG</t>
  </si>
  <si>
    <t>Sats felleutgifter</t>
  </si>
  <si>
    <t>Fangstinntekter</t>
  </si>
  <si>
    <t>Driftsinntekter etter felleskostnader</t>
  </si>
  <si>
    <t>Mannskapskostnader</t>
  </si>
  <si>
    <t>Sum lønnskostader</t>
  </si>
  <si>
    <t>Endring arbeidskapital</t>
  </si>
  <si>
    <t>Kontantstrøm til totalkapitalen</t>
  </si>
  <si>
    <t>Avkastningsrav</t>
  </si>
  <si>
    <t>NNV</t>
  </si>
  <si>
    <t>Vekst i diselpris frem til 2025</t>
  </si>
  <si>
    <t>Fangsinntekter</t>
  </si>
  <si>
    <t>Avkastningskrav</t>
  </si>
  <si>
    <t>Scenario 4</t>
  </si>
  <si>
    <t>Scenario</t>
  </si>
  <si>
    <t>Sansynlighet</t>
  </si>
  <si>
    <t>Tonn per døgn</t>
  </si>
  <si>
    <t>Pris/kg</t>
  </si>
  <si>
    <t>Pr</t>
  </si>
  <si>
    <t>E(NPV)</t>
  </si>
  <si>
    <t>Scenario 1</t>
  </si>
  <si>
    <t>Scenario 2</t>
  </si>
  <si>
    <t>Scenario 3</t>
  </si>
  <si>
    <t>Sum</t>
  </si>
  <si>
    <t>Opsjonsmodellen</t>
  </si>
  <si>
    <t>TP 0</t>
  </si>
  <si>
    <t>TP 1</t>
  </si>
  <si>
    <t>Best case</t>
  </si>
  <si>
    <t>Base case</t>
  </si>
  <si>
    <t>Pr=0,05</t>
  </si>
  <si>
    <t>Worst case</t>
  </si>
  <si>
    <t>Pr=0,15</t>
  </si>
  <si>
    <t>Pris pr kg</t>
  </si>
  <si>
    <t>Pr=0,40</t>
  </si>
  <si>
    <t>Fiskeslag</t>
  </si>
  <si>
    <t>Kvantum</t>
  </si>
  <si>
    <t>Fiskepris</t>
  </si>
  <si>
    <t>Øvre kvantum</t>
  </si>
  <si>
    <t>Øvre justert</t>
  </si>
  <si>
    <t>Nedre kvantum</t>
  </si>
  <si>
    <t>Øvre pris</t>
  </si>
  <si>
    <t>Nedre pris</t>
  </si>
  <si>
    <t>Sei</t>
  </si>
  <si>
    <t>Torsk</t>
  </si>
  <si>
    <t>Hyse</t>
  </si>
  <si>
    <t>Lyr</t>
  </si>
  <si>
    <t>Snabeluer</t>
  </si>
  <si>
    <t>Uer</t>
  </si>
  <si>
    <t>Lange</t>
  </si>
  <si>
    <t>Flekksteinbit</t>
  </si>
  <si>
    <t>Kveite</t>
  </si>
  <si>
    <t>Blåkveite</t>
  </si>
  <si>
    <t>Gråsteinbit</t>
  </si>
  <si>
    <t>Vassild</t>
  </si>
  <si>
    <t>Breiflabb</t>
  </si>
  <si>
    <t>Lysing</t>
  </si>
  <si>
    <t>Brosme</t>
  </si>
  <si>
    <t>Div fisk</t>
  </si>
  <si>
    <t>Øvre grense</t>
  </si>
  <si>
    <t>Fast sum</t>
  </si>
  <si>
    <t>Justert øvre</t>
  </si>
  <si>
    <t>Justert nedre</t>
  </si>
  <si>
    <t>Nedr./Øvre gr.</t>
  </si>
  <si>
    <t>Nedre just.</t>
  </si>
  <si>
    <t>Nedre grense</t>
  </si>
  <si>
    <t>Kvantum restråstoff</t>
  </si>
  <si>
    <t>Pris restråstoff</t>
  </si>
  <si>
    <t>Restråstoff satser</t>
  </si>
  <si>
    <t>Pelagisk</t>
  </si>
  <si>
    <t>Hvitfisk</t>
  </si>
  <si>
    <t>Havbruk</t>
  </si>
  <si>
    <t>Pris restr.st.</t>
  </si>
  <si>
    <t>Prisvekst</t>
  </si>
  <si>
    <t>Total fangst</t>
  </si>
  <si>
    <t>Rundvekt</t>
  </si>
  <si>
    <t>Inntekter</t>
  </si>
  <si>
    <t>Inntektr</t>
  </si>
  <si>
    <t>Restråstof</t>
  </si>
  <si>
    <t>Tot kvantum levert</t>
  </si>
  <si>
    <t xml:space="preserve">Inntekter </t>
  </si>
  <si>
    <t>Parametere</t>
  </si>
  <si>
    <t>Dagens CO2 avgift</t>
  </si>
  <si>
    <t>Dagens bunkerskostnad</t>
  </si>
  <si>
    <t>Dagens gj.sn. kompensasjon</t>
  </si>
  <si>
    <t>Bunkerskostnad i 2025</t>
  </si>
  <si>
    <t>Gradvis nedfasing</t>
  </si>
  <si>
    <t>CO2avgift</t>
  </si>
  <si>
    <t>Kompensasjon</t>
  </si>
  <si>
    <t>Betalt kompensasjon</t>
  </si>
  <si>
    <t>Bunkerskostnad</t>
  </si>
  <si>
    <t>Kostnad i dag</t>
  </si>
  <si>
    <t>Økning</t>
  </si>
  <si>
    <t>Bunkerskostnad f.o.m. 2026</t>
  </si>
  <si>
    <t>Bunkerskostnad 2029</t>
  </si>
  <si>
    <t>Avgift per liter (2030)</t>
  </si>
  <si>
    <t>Bunkerskostnad f.o.m.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</si>
</sst>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0.00000000\ %"/>
    <numFmt numFmtId="165" formatCode="_-* #,##0_-;\-* #,##0_-;_-* &quot;-&quot;??_-;_-@_-"/>
    <numFmt numFmtId="166" formatCode="#,##0.000"/>
    <numFmt numFmtId="167" formatCode="0.000%"/>
    <numFmt numFmtId="168" formatCode="&quot;NOK&quot;\ #,##0.00"/>
    <numFmt numFmtId="169" formatCode="#,##0.00000"/>
    <numFmt numFmtId="170" formatCode="0.0%"/>
    <numFmt numFmtId="171" formatCode="0.000"/>
    <numFmt numFmtId="172" formatCode="#,##0.00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3">
    <xf numFmtId="0" fontId="0" fillId="0" borderId="0" xfId="0"/>
    <xf numFmtId="0" fontId="0" fillId="3" borderId="0" xfId="0" applyFill="1"/>
    <xf numFmtId="0" fontId="0" fillId="0" borderId="0" xfId="0" applyFill="1" applyBorder="1"/>
    <xf numFmtId="3" fontId="0" fillId="3" borderId="0" xfId="0" applyNumberFormat="1" applyFill="1"/>
    <xf numFmtId="0" fontId="1" fillId="3" borderId="0" xfId="0" applyFont="1" applyFill="1" applyBorder="1"/>
    <xf numFmtId="0" fontId="0" fillId="3" borderId="0" xfId="0" applyFill="1" applyBorder="1"/>
    <xf numFmtId="4" fontId="0" fillId="3" borderId="0" xfId="0" applyNumberFormat="1" applyFill="1"/>
    <xf numFmtId="4" fontId="1" fillId="3" borderId="0" xfId="0" applyNumberFormat="1" applyFont="1" applyFill="1"/>
    <xf numFmtId="9" fontId="0" fillId="3" borderId="0" xfId="0" applyNumberFormat="1" applyFill="1" applyBorder="1"/>
    <xf numFmtId="10" fontId="0" fillId="3" borderId="0" xfId="0" applyNumberFormat="1" applyFill="1"/>
    <xf numFmtId="167" fontId="0" fillId="3" borderId="0" xfId="0" applyNumberFormat="1" applyFill="1"/>
    <xf numFmtId="10" fontId="0" fillId="3" borderId="0" xfId="2" applyNumberFormat="1" applyFont="1" applyFill="1"/>
    <xf numFmtId="9" fontId="0" fillId="3" borderId="0" xfId="0" applyNumberFormat="1" applyFill="1"/>
    <xf numFmtId="4" fontId="0" fillId="3" borderId="0" xfId="0" applyNumberFormat="1" applyFill="1" applyBorder="1"/>
    <xf numFmtId="10" fontId="0" fillId="3" borderId="0" xfId="2" applyNumberFormat="1" applyFont="1" applyFill="1" applyBorder="1"/>
    <xf numFmtId="10" fontId="0" fillId="3" borderId="0" xfId="0" applyNumberFormat="1" applyFill="1" applyBorder="1"/>
    <xf numFmtId="44" fontId="0" fillId="3" borderId="0" xfId="3" applyFont="1" applyFill="1" applyBorder="1"/>
    <xf numFmtId="44" fontId="0" fillId="3" borderId="0" xfId="0" applyNumberFormat="1" applyFill="1" applyBorder="1"/>
    <xf numFmtId="9" fontId="0" fillId="3" borderId="0" xfId="2" applyFont="1" applyFill="1"/>
    <xf numFmtId="167" fontId="0" fillId="3" borderId="0" xfId="0" applyNumberFormat="1" applyFill="1" applyBorder="1"/>
    <xf numFmtId="3" fontId="0" fillId="3" borderId="0" xfId="0" applyNumberFormat="1" applyFill="1" applyBorder="1"/>
    <xf numFmtId="4" fontId="1" fillId="3" borderId="0" xfId="0" applyNumberFormat="1" applyFont="1" applyFill="1" applyBorder="1"/>
    <xf numFmtId="9" fontId="0" fillId="3" borderId="0" xfId="2" applyFont="1" applyFill="1" applyBorder="1"/>
    <xf numFmtId="0" fontId="0" fillId="4" borderId="0" xfId="0" applyFill="1"/>
    <xf numFmtId="0" fontId="1" fillId="4" borderId="0" xfId="0" applyFont="1" applyFill="1"/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1" fillId="4" borderId="0" xfId="0" applyFont="1" applyFill="1" applyAlignment="1">
      <alignment horizontal="left" indent="1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" fillId="4" borderId="10" xfId="0" applyFont="1" applyFill="1" applyBorder="1"/>
    <xf numFmtId="4" fontId="0" fillId="5" borderId="0" xfId="0" applyNumberFormat="1" applyFill="1"/>
    <xf numFmtId="0" fontId="0" fillId="5" borderId="0" xfId="0" applyFill="1" applyBorder="1"/>
    <xf numFmtId="0" fontId="1" fillId="5" borderId="0" xfId="0" applyFont="1" applyFill="1" applyBorder="1"/>
    <xf numFmtId="0" fontId="0" fillId="5" borderId="0" xfId="0" applyFill="1"/>
    <xf numFmtId="4" fontId="1" fillId="5" borderId="0" xfId="0" applyNumberFormat="1" applyFont="1" applyFill="1"/>
    <xf numFmtId="9" fontId="0" fillId="5" borderId="0" xfId="0" applyNumberFormat="1" applyFill="1" applyBorder="1"/>
    <xf numFmtId="10" fontId="0" fillId="5" borderId="0" xfId="0" applyNumberFormat="1" applyFill="1"/>
    <xf numFmtId="10" fontId="0" fillId="5" borderId="0" xfId="2" applyNumberFormat="1" applyFont="1" applyFill="1"/>
    <xf numFmtId="3" fontId="0" fillId="5" borderId="0" xfId="0" applyNumberFormat="1" applyFill="1"/>
    <xf numFmtId="167" fontId="0" fillId="5" borderId="0" xfId="0" applyNumberFormat="1" applyFill="1"/>
    <xf numFmtId="9" fontId="0" fillId="5" borderId="0" xfId="0" applyNumberFormat="1" applyFill="1"/>
    <xf numFmtId="4" fontId="0" fillId="5" borderId="0" xfId="0" applyNumberFormat="1" applyFill="1" applyBorder="1"/>
    <xf numFmtId="10" fontId="0" fillId="5" borderId="0" xfId="2" applyNumberFormat="1" applyFont="1" applyFill="1" applyBorder="1"/>
    <xf numFmtId="44" fontId="0" fillId="5" borderId="0" xfId="3" applyFont="1" applyFill="1" applyBorder="1"/>
    <xf numFmtId="10" fontId="0" fillId="5" borderId="0" xfId="0" applyNumberFormat="1" applyFill="1" applyBorder="1"/>
    <xf numFmtId="44" fontId="0" fillId="5" borderId="0" xfId="0" applyNumberFormat="1" applyFill="1" applyBorder="1"/>
    <xf numFmtId="9" fontId="0" fillId="5" borderId="0" xfId="2" applyFont="1" applyFill="1"/>
    <xf numFmtId="0" fontId="4" fillId="5" borderId="0" xfId="0" applyFont="1" applyFill="1"/>
    <xf numFmtId="43" fontId="0" fillId="5" borderId="0" xfId="0" applyNumberFormat="1" applyFill="1"/>
    <xf numFmtId="0" fontId="0" fillId="5" borderId="0" xfId="0" applyFill="1" applyAlignment="1">
      <alignment horizontal="right"/>
    </xf>
    <xf numFmtId="3" fontId="0" fillId="5" borderId="0" xfId="0" applyNumberFormat="1" applyFill="1" applyAlignment="1">
      <alignment horizontal="right"/>
    </xf>
    <xf numFmtId="0" fontId="1" fillId="5" borderId="0" xfId="0" applyFont="1" applyFill="1"/>
    <xf numFmtId="0" fontId="0" fillId="5" borderId="0" xfId="0" applyFill="1" applyAlignment="1">
      <alignment horizontal="left" indent="1"/>
    </xf>
    <xf numFmtId="0" fontId="1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3" fontId="5" fillId="5" borderId="0" xfId="0" applyNumberFormat="1" applyFont="1" applyFill="1" applyAlignment="1">
      <alignment horizontal="right"/>
    </xf>
    <xf numFmtId="3" fontId="0" fillId="5" borderId="10" xfId="0" applyNumberFormat="1" applyFill="1" applyBorder="1" applyAlignment="1">
      <alignment horizontal="right"/>
    </xf>
    <xf numFmtId="164" fontId="0" fillId="5" borderId="0" xfId="0" applyNumberFormat="1" applyFill="1"/>
    <xf numFmtId="0" fontId="0" fillId="5" borderId="0" xfId="0" applyFill="1" applyBorder="1" applyAlignment="1">
      <alignment horizontal="left"/>
    </xf>
    <xf numFmtId="3" fontId="0" fillId="5" borderId="0" xfId="0" applyNumberFormat="1" applyFill="1" applyBorder="1"/>
    <xf numFmtId="0" fontId="0" fillId="6" borderId="1" xfId="0" applyFill="1" applyBorder="1"/>
    <xf numFmtId="10" fontId="0" fillId="6" borderId="2" xfId="0" applyNumberFormat="1" applyFill="1" applyBorder="1"/>
    <xf numFmtId="0" fontId="0" fillId="6" borderId="3" xfId="0" applyFill="1" applyBorder="1"/>
    <xf numFmtId="3" fontId="0" fillId="6" borderId="4" xfId="0" applyNumberFormat="1" applyFill="1" applyBorder="1"/>
    <xf numFmtId="0" fontId="0" fillId="6" borderId="5" xfId="0" applyFill="1" applyBorder="1"/>
    <xf numFmtId="10" fontId="0" fillId="6" borderId="6" xfId="0" applyNumberFormat="1" applyFill="1" applyBorder="1"/>
    <xf numFmtId="0" fontId="0" fillId="2" borderId="0" xfId="0" applyFill="1" applyAlignment="1">
      <alignment horizontal="right"/>
    </xf>
    <xf numFmtId="3" fontId="1" fillId="5" borderId="0" xfId="0" applyNumberFormat="1" applyFont="1" applyFill="1"/>
    <xf numFmtId="3" fontId="4" fillId="5" borderId="0" xfId="0" applyNumberFormat="1" applyFont="1" applyFill="1"/>
    <xf numFmtId="166" fontId="0" fillId="5" borderId="0" xfId="0" applyNumberFormat="1" applyFill="1"/>
    <xf numFmtId="166" fontId="4" fillId="5" borderId="0" xfId="0" applyNumberFormat="1" applyFont="1" applyFill="1"/>
    <xf numFmtId="3" fontId="0" fillId="2" borderId="0" xfId="0" applyNumberFormat="1" applyFill="1"/>
    <xf numFmtId="3" fontId="0" fillId="4" borderId="0" xfId="0" applyNumberFormat="1" applyFill="1"/>
    <xf numFmtId="3" fontId="1" fillId="2" borderId="0" xfId="0" applyNumberFormat="1" applyFont="1" applyFill="1"/>
    <xf numFmtId="3" fontId="4" fillId="4" borderId="0" xfId="0" applyNumberFormat="1" applyFont="1" applyFill="1"/>
    <xf numFmtId="9" fontId="0" fillId="5" borderId="0" xfId="0" applyNumberFormat="1" applyFont="1" applyFill="1"/>
    <xf numFmtId="3" fontId="1" fillId="4" borderId="0" xfId="0" applyNumberFormat="1" applyFont="1" applyFill="1"/>
    <xf numFmtId="3" fontId="0" fillId="4" borderId="0" xfId="0" applyNumberFormat="1" applyFont="1" applyFill="1"/>
    <xf numFmtId="3" fontId="0" fillId="4" borderId="0" xfId="0" applyNumberFormat="1" applyFill="1" applyBorder="1"/>
    <xf numFmtId="3" fontId="5" fillId="5" borderId="0" xfId="0" applyNumberFormat="1" applyFont="1" applyFill="1"/>
    <xf numFmtId="3" fontId="0" fillId="5" borderId="10" xfId="0" applyNumberFormat="1" applyFill="1" applyBorder="1"/>
    <xf numFmtId="0" fontId="3" fillId="5" borderId="0" xfId="0" applyFont="1" applyFill="1" applyBorder="1" applyAlignment="1">
      <alignment horizontal="left"/>
    </xf>
    <xf numFmtId="165" fontId="0" fillId="5" borderId="0" xfId="1" applyNumberFormat="1" applyFont="1" applyFill="1"/>
    <xf numFmtId="0" fontId="0" fillId="2" borderId="0" xfId="0" applyFill="1"/>
    <xf numFmtId="3" fontId="0" fillId="4" borderId="0" xfId="0" applyNumberFormat="1" applyFill="1" applyAlignment="1">
      <alignment horizontal="left" indent="1"/>
    </xf>
    <xf numFmtId="9" fontId="0" fillId="5" borderId="0" xfId="2" applyFont="1" applyFill="1" applyBorder="1"/>
    <xf numFmtId="168" fontId="0" fillId="5" borderId="0" xfId="0" applyNumberFormat="1" applyFill="1" applyBorder="1"/>
    <xf numFmtId="169" fontId="0" fillId="5" borderId="0" xfId="0" applyNumberFormat="1" applyFill="1"/>
    <xf numFmtId="3" fontId="0" fillId="4" borderId="0" xfId="0" applyNumberFormat="1" applyFill="1" applyBorder="1" applyAlignment="1">
      <alignment horizontal="left" indent="1"/>
    </xf>
    <xf numFmtId="0" fontId="1" fillId="6" borderId="1" xfId="0" applyFont="1" applyFill="1" applyBorder="1"/>
    <xf numFmtId="0" fontId="1" fillId="6" borderId="5" xfId="0" applyFont="1" applyFill="1" applyBorder="1"/>
    <xf numFmtId="3" fontId="0" fillId="6" borderId="6" xfId="0" applyNumberFormat="1" applyFill="1" applyBorder="1"/>
    <xf numFmtId="43" fontId="0" fillId="5" borderId="0" xfId="1" applyFont="1" applyFill="1" applyBorder="1"/>
    <xf numFmtId="43" fontId="0" fillId="5" borderId="0" xfId="1" applyFont="1" applyFill="1"/>
    <xf numFmtId="3" fontId="1" fillId="3" borderId="0" xfId="0" applyNumberFormat="1" applyFont="1" applyFill="1"/>
    <xf numFmtId="0" fontId="1" fillId="3" borderId="0" xfId="0" applyFont="1" applyFill="1"/>
    <xf numFmtId="4" fontId="0" fillId="3" borderId="0" xfId="1" applyNumberFormat="1" applyFont="1" applyFill="1" applyBorder="1"/>
    <xf numFmtId="43" fontId="0" fillId="3" borderId="0" xfId="0" applyNumberFormat="1" applyFill="1" applyAlignment="1">
      <alignment horizontal="left"/>
    </xf>
    <xf numFmtId="167" fontId="0" fillId="3" borderId="0" xfId="2" applyNumberFormat="1" applyFont="1" applyFill="1" applyBorder="1"/>
    <xf numFmtId="43" fontId="0" fillId="3" borderId="0" xfId="1" applyFont="1" applyFill="1" applyBorder="1"/>
    <xf numFmtId="1" fontId="0" fillId="3" borderId="0" xfId="0" applyNumberFormat="1" applyFill="1"/>
    <xf numFmtId="0" fontId="1" fillId="4" borderId="10" xfId="0" applyFont="1" applyFill="1" applyBorder="1" applyAlignment="1">
      <alignment horizontal="left"/>
    </xf>
    <xf numFmtId="3" fontId="1" fillId="5" borderId="10" xfId="0" applyNumberFormat="1" applyFont="1" applyFill="1" applyBorder="1"/>
    <xf numFmtId="2" fontId="0" fillId="3" borderId="0" xfId="0" applyNumberFormat="1" applyFill="1" applyBorder="1"/>
    <xf numFmtId="168" fontId="0" fillId="5" borderId="0" xfId="0" applyNumberFormat="1" applyFill="1"/>
    <xf numFmtId="170" fontId="0" fillId="5" borderId="0" xfId="2" applyNumberFormat="1" applyFont="1" applyFill="1"/>
    <xf numFmtId="2" fontId="0" fillId="5" borderId="0" xfId="0" applyNumberFormat="1" applyFill="1"/>
    <xf numFmtId="171" fontId="0" fillId="5" borderId="0" xfId="0" applyNumberFormat="1" applyFill="1"/>
    <xf numFmtId="0" fontId="0" fillId="2" borderId="0" xfId="0" applyFill="1" applyAlignment="1">
      <alignment horizontal="left"/>
    </xf>
    <xf numFmtId="10" fontId="0" fillId="6" borderId="2" xfId="2" applyNumberFormat="1" applyFont="1" applyFill="1" applyBorder="1"/>
    <xf numFmtId="2" fontId="0" fillId="3" borderId="0" xfId="0" applyNumberFormat="1" applyFill="1"/>
    <xf numFmtId="3" fontId="0" fillId="5" borderId="0" xfId="0" applyNumberFormat="1" applyFill="1" applyAlignment="1">
      <alignment horizontal="center"/>
    </xf>
    <xf numFmtId="3" fontId="0" fillId="5" borderId="11" xfId="0" applyNumberFormat="1" applyFill="1" applyBorder="1" applyAlignment="1">
      <alignment horizontal="center"/>
    </xf>
    <xf numFmtId="172" fontId="0" fillId="5" borderId="0" xfId="0" applyNumberFormat="1" applyFill="1"/>
    <xf numFmtId="172" fontId="5" fillId="7" borderId="0" xfId="0" applyNumberFormat="1" applyFont="1" applyFill="1"/>
    <xf numFmtId="0" fontId="7" fillId="5" borderId="0" xfId="0" applyFont="1" applyFill="1"/>
    <xf numFmtId="4" fontId="7" fillId="5" borderId="0" xfId="0" applyNumberFormat="1" applyFont="1" applyFill="1"/>
    <xf numFmtId="4" fontId="8" fillId="5" borderId="0" xfId="0" applyNumberFormat="1" applyFont="1" applyFill="1"/>
    <xf numFmtId="4" fontId="1" fillId="5" borderId="0" xfId="0" applyNumberFormat="1" applyFont="1" applyFill="1" applyBorder="1"/>
    <xf numFmtId="3" fontId="7" fillId="5" borderId="15" xfId="0" applyNumberFormat="1" applyFont="1" applyFill="1" applyBorder="1" applyAlignment="1">
      <alignment horizontal="center"/>
    </xf>
    <xf numFmtId="3" fontId="7" fillId="5" borderId="14" xfId="0" applyNumberFormat="1" applyFont="1" applyFill="1" applyBorder="1" applyAlignment="1">
      <alignment horizontal="center"/>
    </xf>
    <xf numFmtId="3" fontId="7" fillId="5" borderId="13" xfId="0" applyNumberFormat="1" applyFont="1" applyFill="1" applyBorder="1" applyAlignment="1">
      <alignment horizontal="center"/>
    </xf>
    <xf numFmtId="3" fontId="7" fillId="5" borderId="11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3" fontId="6" fillId="8" borderId="0" xfId="0" applyNumberFormat="1" applyFont="1" applyFill="1" applyBorder="1" applyAlignment="1">
      <alignment horizontal="center"/>
    </xf>
    <xf numFmtId="3" fontId="6" fillId="8" borderId="15" xfId="0" applyNumberFormat="1" applyFont="1" applyFill="1" applyBorder="1" applyAlignment="1">
      <alignment horizontal="center"/>
    </xf>
    <xf numFmtId="3" fontId="0" fillId="5" borderId="7" xfId="0" applyNumberFormat="1" applyFill="1" applyBorder="1" applyAlignment="1">
      <alignment horizontal="center"/>
    </xf>
    <xf numFmtId="3" fontId="7" fillId="5" borderId="0" xfId="0" applyNumberFormat="1" applyFont="1" applyFill="1" applyBorder="1" applyAlignment="1">
      <alignment horizontal="center"/>
    </xf>
    <xf numFmtId="4" fontId="10" fillId="5" borderId="0" xfId="0" applyNumberFormat="1" applyFont="1" applyFill="1" applyBorder="1" applyAlignment="1">
      <alignment horizontal="center"/>
    </xf>
    <xf numFmtId="3" fontId="10" fillId="5" borderId="0" xfId="0" applyNumberFormat="1" applyFont="1" applyFill="1" applyBorder="1" applyAlignment="1">
      <alignment horizontal="center"/>
    </xf>
    <xf numFmtId="3" fontId="1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2" fontId="0" fillId="5" borderId="0" xfId="1" applyNumberFormat="1" applyFont="1" applyFill="1" applyAlignment="1">
      <alignment horizontal="center"/>
    </xf>
    <xf numFmtId="9" fontId="0" fillId="5" borderId="0" xfId="2" applyFont="1" applyFill="1" applyAlignment="1">
      <alignment horizontal="center"/>
    </xf>
    <xf numFmtId="9" fontId="0" fillId="5" borderId="11" xfId="2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left"/>
    </xf>
    <xf numFmtId="0" fontId="0" fillId="9" borderId="0" xfId="0" applyFill="1" applyAlignment="1">
      <alignment horizontal="left"/>
    </xf>
    <xf numFmtId="3" fontId="0" fillId="9" borderId="0" xfId="0" applyNumberFormat="1" applyFill="1" applyAlignment="1">
      <alignment horizontal="left"/>
    </xf>
    <xf numFmtId="10" fontId="0" fillId="5" borderId="9" xfId="2" applyNumberFormat="1" applyFont="1" applyFill="1" applyBorder="1" applyAlignment="1">
      <alignment horizontal="center"/>
    </xf>
    <xf numFmtId="3" fontId="10" fillId="5" borderId="11" xfId="0" applyNumberFormat="1" applyFont="1" applyFill="1" applyBorder="1" applyAlignment="1">
      <alignment horizontal="center"/>
    </xf>
    <xf numFmtId="3" fontId="11" fillId="8" borderId="7" xfId="0" applyNumberFormat="1" applyFont="1" applyFill="1" applyBorder="1" applyAlignment="1">
      <alignment horizontal="center"/>
    </xf>
    <xf numFmtId="3" fontId="11" fillId="8" borderId="8" xfId="0" applyNumberFormat="1" applyFont="1" applyFill="1" applyBorder="1" applyAlignment="1">
      <alignment horizontal="center"/>
    </xf>
    <xf numFmtId="3" fontId="11" fillId="8" borderId="9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3" fontId="9" fillId="0" borderId="7" xfId="0" applyNumberFormat="1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6">
    <cellStyle name="Comma" xfId="1" builtinId="3"/>
    <cellStyle name="Comma 2" xfId="4"/>
    <cellStyle name="Currency" xfId="3" builtinId="4"/>
    <cellStyle name="Currency 2" xfId="5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25400</xdr:colOff>
      <xdr:row>13</xdr:row>
      <xdr:rowOff>139700</xdr:rowOff>
    </xdr:from>
    <xdr:to>
      <xdr:col>15</xdr:col>
      <xdr:colOff>1028700</xdr:colOff>
      <xdr:row>15</xdr:row>
      <xdr:rowOff>139700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6F9660DD-E76F-094B-BA93-80D0F1B6FBD4}"/>
            </a:ext>
          </a:extLst>
        </xdr:cNvPr>
        <xdr:cNvCxnSpPr/>
      </xdr:nvCxnSpPr>
      <xdr:spPr>
        <a:xfrm flipV="1">
          <a:off x="11751733" y="9551811"/>
          <a:ext cx="1003300" cy="39511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24660</xdr:colOff>
      <xdr:row>15</xdr:row>
      <xdr:rowOff>127000</xdr:rowOff>
    </xdr:from>
    <xdr:to>
      <xdr:col>15</xdr:col>
      <xdr:colOff>1016000</xdr:colOff>
      <xdr:row>15</xdr:row>
      <xdr:rowOff>135631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9D551D05-A78F-BE4D-983E-9E713469AC12}"/>
            </a:ext>
          </a:extLst>
        </xdr:cNvPr>
        <xdr:cNvCxnSpPr/>
      </xdr:nvCxnSpPr>
      <xdr:spPr>
        <a:xfrm flipV="1">
          <a:off x="11750993" y="9934222"/>
          <a:ext cx="991340" cy="86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25400</xdr:colOff>
      <xdr:row>15</xdr:row>
      <xdr:rowOff>139700</xdr:rowOff>
    </xdr:from>
    <xdr:to>
      <xdr:col>15</xdr:col>
      <xdr:colOff>1028700</xdr:colOff>
      <xdr:row>17</xdr:row>
      <xdr:rowOff>139700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4856D5EB-7E6F-CC4E-8B34-9DC6F0745E5B}"/>
            </a:ext>
          </a:extLst>
        </xdr:cNvPr>
        <xdr:cNvCxnSpPr/>
      </xdr:nvCxnSpPr>
      <xdr:spPr>
        <a:xfrm>
          <a:off x="11751733" y="9946922"/>
          <a:ext cx="1003300" cy="39511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25400</xdr:colOff>
      <xdr:row>20</xdr:row>
      <xdr:rowOff>139700</xdr:rowOff>
    </xdr:from>
    <xdr:to>
      <xdr:col>15</xdr:col>
      <xdr:colOff>1028700</xdr:colOff>
      <xdr:row>22</xdr:row>
      <xdr:rowOff>139700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206A8B29-CCDC-B349-B5E1-BD481669286F}"/>
            </a:ext>
          </a:extLst>
        </xdr:cNvPr>
        <xdr:cNvCxnSpPr/>
      </xdr:nvCxnSpPr>
      <xdr:spPr>
        <a:xfrm flipV="1">
          <a:off x="5867400" y="16466256"/>
          <a:ext cx="800100" cy="39511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24660</xdr:colOff>
      <xdr:row>22</xdr:row>
      <xdr:rowOff>127000</xdr:rowOff>
    </xdr:from>
    <xdr:to>
      <xdr:col>15</xdr:col>
      <xdr:colOff>1016000</xdr:colOff>
      <xdr:row>22</xdr:row>
      <xdr:rowOff>135631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3DEE0333-03E2-AE48-88BC-B48D36A269B7}"/>
            </a:ext>
          </a:extLst>
        </xdr:cNvPr>
        <xdr:cNvCxnSpPr/>
      </xdr:nvCxnSpPr>
      <xdr:spPr>
        <a:xfrm flipV="1">
          <a:off x="5866660" y="16848667"/>
          <a:ext cx="800840" cy="86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25400</xdr:colOff>
      <xdr:row>22</xdr:row>
      <xdr:rowOff>139700</xdr:rowOff>
    </xdr:from>
    <xdr:to>
      <xdr:col>15</xdr:col>
      <xdr:colOff>1028700</xdr:colOff>
      <xdr:row>24</xdr:row>
      <xdr:rowOff>139700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F63833D7-748E-E240-9C32-ACDBA500E0B6}"/>
            </a:ext>
          </a:extLst>
        </xdr:cNvPr>
        <xdr:cNvCxnSpPr/>
      </xdr:nvCxnSpPr>
      <xdr:spPr>
        <a:xfrm>
          <a:off x="5867400" y="16861367"/>
          <a:ext cx="800100" cy="39511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25400</xdr:colOff>
      <xdr:row>28</xdr:row>
      <xdr:rowOff>139700</xdr:rowOff>
    </xdr:from>
    <xdr:to>
      <xdr:col>15</xdr:col>
      <xdr:colOff>1028700</xdr:colOff>
      <xdr:row>30</xdr:row>
      <xdr:rowOff>139700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38806D20-DD82-BA4A-96C2-BFCE37EC4608}"/>
            </a:ext>
          </a:extLst>
        </xdr:cNvPr>
        <xdr:cNvCxnSpPr/>
      </xdr:nvCxnSpPr>
      <xdr:spPr>
        <a:xfrm flipV="1">
          <a:off x="5867400" y="17849144"/>
          <a:ext cx="800100" cy="39511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24660</xdr:colOff>
      <xdr:row>30</xdr:row>
      <xdr:rowOff>127000</xdr:rowOff>
    </xdr:from>
    <xdr:to>
      <xdr:col>15</xdr:col>
      <xdr:colOff>1016000</xdr:colOff>
      <xdr:row>30</xdr:row>
      <xdr:rowOff>135631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99D1CBA9-2EA7-214D-8855-152BA03EF82C}"/>
            </a:ext>
          </a:extLst>
        </xdr:cNvPr>
        <xdr:cNvCxnSpPr/>
      </xdr:nvCxnSpPr>
      <xdr:spPr>
        <a:xfrm flipV="1">
          <a:off x="5866660" y="18231556"/>
          <a:ext cx="800840" cy="86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25400</xdr:colOff>
      <xdr:row>30</xdr:row>
      <xdr:rowOff>139700</xdr:rowOff>
    </xdr:from>
    <xdr:to>
      <xdr:col>15</xdr:col>
      <xdr:colOff>1028700</xdr:colOff>
      <xdr:row>32</xdr:row>
      <xdr:rowOff>139700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B37A3630-F760-3E4D-AC67-67BDC5028926}"/>
            </a:ext>
          </a:extLst>
        </xdr:cNvPr>
        <xdr:cNvCxnSpPr/>
      </xdr:nvCxnSpPr>
      <xdr:spPr>
        <a:xfrm>
          <a:off x="5867400" y="18244256"/>
          <a:ext cx="800100" cy="39511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25400</xdr:colOff>
      <xdr:row>35</xdr:row>
      <xdr:rowOff>139700</xdr:rowOff>
    </xdr:from>
    <xdr:to>
      <xdr:col>15</xdr:col>
      <xdr:colOff>1028700</xdr:colOff>
      <xdr:row>37</xdr:row>
      <xdr:rowOff>139700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2765639E-9940-C944-9F3A-D78D459BB315}"/>
            </a:ext>
          </a:extLst>
        </xdr:cNvPr>
        <xdr:cNvCxnSpPr/>
      </xdr:nvCxnSpPr>
      <xdr:spPr>
        <a:xfrm flipV="1">
          <a:off x="5867400" y="19429589"/>
          <a:ext cx="800100" cy="39511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24660</xdr:colOff>
      <xdr:row>37</xdr:row>
      <xdr:rowOff>127000</xdr:rowOff>
    </xdr:from>
    <xdr:to>
      <xdr:col>15</xdr:col>
      <xdr:colOff>1016000</xdr:colOff>
      <xdr:row>37</xdr:row>
      <xdr:rowOff>135631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52CE9BB1-4882-854F-BA22-2E813F46B1C6}"/>
            </a:ext>
          </a:extLst>
        </xdr:cNvPr>
        <xdr:cNvCxnSpPr/>
      </xdr:nvCxnSpPr>
      <xdr:spPr>
        <a:xfrm flipV="1">
          <a:off x="5866660" y="19812000"/>
          <a:ext cx="800840" cy="86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25400</xdr:colOff>
      <xdr:row>37</xdr:row>
      <xdr:rowOff>139700</xdr:rowOff>
    </xdr:from>
    <xdr:to>
      <xdr:col>15</xdr:col>
      <xdr:colOff>1028700</xdr:colOff>
      <xdr:row>39</xdr:row>
      <xdr:rowOff>139700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21D4B12-5052-914C-8590-0EAC042EAF90}"/>
            </a:ext>
          </a:extLst>
        </xdr:cNvPr>
        <xdr:cNvCxnSpPr/>
      </xdr:nvCxnSpPr>
      <xdr:spPr>
        <a:xfrm>
          <a:off x="5867400" y="19824700"/>
          <a:ext cx="800100" cy="39511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14111</xdr:colOff>
      <xdr:row>16</xdr:row>
      <xdr:rowOff>56445</xdr:rowOff>
    </xdr:from>
    <xdr:to>
      <xdr:col>13</xdr:col>
      <xdr:colOff>818444</xdr:colOff>
      <xdr:row>26</xdr:row>
      <xdr:rowOff>112889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E7586D08-DF20-6A40-913A-D65DAA8F946F}"/>
            </a:ext>
          </a:extLst>
        </xdr:cNvPr>
        <xdr:cNvCxnSpPr/>
      </xdr:nvCxnSpPr>
      <xdr:spPr>
        <a:xfrm flipV="1">
          <a:off x="1933222" y="16975667"/>
          <a:ext cx="2765778" cy="2032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14111</xdr:colOff>
      <xdr:row>22</xdr:row>
      <xdr:rowOff>183444</xdr:rowOff>
    </xdr:from>
    <xdr:to>
      <xdr:col>13</xdr:col>
      <xdr:colOff>790222</xdr:colOff>
      <xdr:row>26</xdr:row>
      <xdr:rowOff>112889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FE8C6D57-8F65-8C42-BE7F-C7492BFFF6DB}"/>
            </a:ext>
          </a:extLst>
        </xdr:cNvPr>
        <xdr:cNvCxnSpPr/>
      </xdr:nvCxnSpPr>
      <xdr:spPr>
        <a:xfrm flipV="1">
          <a:off x="1933222" y="18288000"/>
          <a:ext cx="2737556" cy="71966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14111</xdr:colOff>
      <xdr:row>26</xdr:row>
      <xdr:rowOff>112889</xdr:rowOff>
    </xdr:from>
    <xdr:to>
      <xdr:col>13</xdr:col>
      <xdr:colOff>733777</xdr:colOff>
      <xdr:row>29</xdr:row>
      <xdr:rowOff>155223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04A8DEF2-4FD5-8D43-95CC-06AE98C1A404}"/>
            </a:ext>
          </a:extLst>
        </xdr:cNvPr>
        <xdr:cNvCxnSpPr/>
      </xdr:nvCxnSpPr>
      <xdr:spPr>
        <a:xfrm>
          <a:off x="1933222" y="19007667"/>
          <a:ext cx="2681111" cy="635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14111</xdr:colOff>
      <xdr:row>26</xdr:row>
      <xdr:rowOff>112889</xdr:rowOff>
    </xdr:from>
    <xdr:to>
      <xdr:col>13</xdr:col>
      <xdr:colOff>719666</xdr:colOff>
      <xdr:row>36</xdr:row>
      <xdr:rowOff>155223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44DD5C48-31CC-8D4B-A97C-6A40486D9EAA}"/>
            </a:ext>
          </a:extLst>
        </xdr:cNvPr>
        <xdr:cNvCxnSpPr/>
      </xdr:nvCxnSpPr>
      <xdr:spPr>
        <a:xfrm>
          <a:off x="1933222" y="19007667"/>
          <a:ext cx="2667000" cy="201788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B121"/>
  <sheetViews>
    <sheetView tabSelected="1" zoomScale="80" zoomScaleNormal="80" workbookViewId="0">
      <selection activeCell="G3" sqref="G3"/>
    </sheetView>
  </sheetViews>
  <sheetFormatPr defaultColWidth="10.640625" defaultRowHeight="15.9" x14ac:dyDescent="0.45"/>
  <cols>
    <col min="1" max="1" width="10.640625" style="34"/>
    <col min="2" max="2" width="37.140625" style="34" customWidth="1"/>
    <col min="3" max="3" width="11.85546875" style="34" bestFit="1" customWidth="1"/>
    <col min="4" max="4" width="17.5" style="34" bestFit="1" customWidth="1"/>
    <col min="5" max="5" width="11.85546875" style="34" customWidth="1"/>
    <col min="6" max="6" width="12.35546875" style="34" customWidth="1"/>
    <col min="7" max="7" width="12.5" style="34" customWidth="1"/>
    <col min="8" max="8" width="22.5" style="34" customWidth="1"/>
    <col min="9" max="9" width="13.35546875" style="34" customWidth="1"/>
    <col min="10" max="10" width="20.140625" style="34" customWidth="1"/>
    <col min="11" max="11" width="15.640625" style="34" customWidth="1"/>
    <col min="12" max="12" width="12.35546875" style="34" customWidth="1"/>
    <col min="13" max="13" width="15.140625" style="34" customWidth="1"/>
    <col min="14" max="20" width="12.35546875" style="34" customWidth="1"/>
    <col min="21" max="26" width="13.140625" style="34" customWidth="1"/>
    <col min="27" max="27" width="11.85546875" style="34" customWidth="1"/>
    <col min="28" max="28" width="12.85546875" style="34" customWidth="1"/>
    <col min="29" max="16384" width="10.640625" style="34"/>
  </cols>
  <sheetData>
    <row r="2" spans="1:28" x14ac:dyDescent="0.45">
      <c r="A2" s="32"/>
      <c r="B2" s="4" t="s">
        <v>0</v>
      </c>
      <c r="C2" s="5"/>
      <c r="D2" s="5"/>
      <c r="E2" s="5"/>
      <c r="F2" s="5"/>
      <c r="G2" s="13"/>
      <c r="H2" s="21" t="s">
        <v>1</v>
      </c>
      <c r="I2" s="13"/>
      <c r="J2" s="13"/>
      <c r="K2" s="13"/>
      <c r="L2" s="42"/>
      <c r="M2" s="119"/>
      <c r="N2" s="42"/>
    </row>
    <row r="3" spans="1:28" x14ac:dyDescent="0.45">
      <c r="A3" s="32"/>
      <c r="B3" s="5" t="s">
        <v>2</v>
      </c>
      <c r="C3" s="8">
        <v>0.02</v>
      </c>
      <c r="D3" s="5" t="s">
        <v>3</v>
      </c>
      <c r="E3" s="15">
        <v>6.7000000000000002E-3</v>
      </c>
      <c r="F3" s="1" t="s">
        <v>4</v>
      </c>
      <c r="G3" s="11">
        <v>8.1726030101192532E-2</v>
      </c>
      <c r="H3" s="5" t="s">
        <v>5</v>
      </c>
      <c r="I3" s="5">
        <v>109802</v>
      </c>
      <c r="J3" s="13" t="s">
        <v>6</v>
      </c>
      <c r="K3" s="13">
        <v>3615</v>
      </c>
      <c r="L3" s="42"/>
      <c r="Q3" s="37"/>
      <c r="R3" s="83"/>
    </row>
    <row r="4" spans="1:28" x14ac:dyDescent="0.45">
      <c r="A4" s="32"/>
      <c r="B4" s="5" t="s">
        <v>7</v>
      </c>
      <c r="C4" s="8">
        <v>0.03</v>
      </c>
      <c r="D4" s="5" t="s">
        <v>8</v>
      </c>
      <c r="E4" s="19">
        <v>9.7000000000000005E-4</v>
      </c>
      <c r="F4" s="5"/>
      <c r="G4" s="13"/>
      <c r="H4" s="5" t="s">
        <v>9</v>
      </c>
      <c r="I4" s="5">
        <v>221.58</v>
      </c>
      <c r="J4" s="13" t="s">
        <v>10</v>
      </c>
      <c r="K4" s="13">
        <v>62686</v>
      </c>
      <c r="L4" s="42"/>
      <c r="Q4" s="37"/>
      <c r="R4" s="83"/>
    </row>
    <row r="5" spans="1:28" x14ac:dyDescent="0.45">
      <c r="A5" s="32"/>
      <c r="B5" s="5" t="s">
        <v>11</v>
      </c>
      <c r="C5" s="5">
        <v>162</v>
      </c>
      <c r="D5" s="5" t="s">
        <v>12</v>
      </c>
      <c r="E5" s="15">
        <v>1.72E-2</v>
      </c>
      <c r="F5" s="5"/>
      <c r="G5" s="13"/>
      <c r="H5" s="5" t="s">
        <v>13</v>
      </c>
      <c r="I5" s="5">
        <v>30</v>
      </c>
      <c r="J5" s="13" t="s">
        <v>14</v>
      </c>
      <c r="K5" s="13">
        <v>1678188</v>
      </c>
      <c r="L5" s="42"/>
      <c r="Q5" s="37"/>
      <c r="R5" s="83"/>
    </row>
    <row r="6" spans="1:28" x14ac:dyDescent="0.45">
      <c r="A6" s="32"/>
      <c r="B6" s="13" t="s">
        <v>15</v>
      </c>
      <c r="C6" s="14">
        <v>3.85E-2</v>
      </c>
      <c r="D6" s="5" t="s">
        <v>16</v>
      </c>
      <c r="E6" s="8">
        <v>0.04</v>
      </c>
      <c r="F6" s="5"/>
      <c r="G6" s="13"/>
      <c r="H6" s="13" t="s">
        <v>17</v>
      </c>
      <c r="I6" s="13">
        <v>9484.6299999999992</v>
      </c>
      <c r="J6" s="13" t="s">
        <v>18</v>
      </c>
      <c r="K6" s="13">
        <v>400000000</v>
      </c>
      <c r="L6" s="42"/>
      <c r="M6" s="42"/>
      <c r="N6" s="42"/>
      <c r="Q6" s="37"/>
      <c r="R6" s="83"/>
    </row>
    <row r="7" spans="1:28" x14ac:dyDescent="0.45">
      <c r="A7" s="32"/>
      <c r="B7" s="5" t="s">
        <v>19</v>
      </c>
      <c r="C7" s="15">
        <v>9.2600000000000002E-2</v>
      </c>
      <c r="D7" s="5" t="s">
        <v>20</v>
      </c>
      <c r="E7" s="8">
        <v>0.36</v>
      </c>
      <c r="F7" s="5"/>
      <c r="G7" s="13"/>
      <c r="H7" s="5" t="s">
        <v>21</v>
      </c>
      <c r="I7" s="16">
        <v>4.42</v>
      </c>
      <c r="J7" s="13" t="s">
        <v>22</v>
      </c>
      <c r="K7" s="20">
        <v>7714</v>
      </c>
      <c r="L7" s="42"/>
      <c r="M7" s="42"/>
      <c r="N7" s="42"/>
      <c r="Q7" s="37"/>
      <c r="R7" s="83"/>
      <c r="S7" s="83"/>
    </row>
    <row r="8" spans="1:28" x14ac:dyDescent="0.45">
      <c r="A8" s="32"/>
      <c r="B8" s="5" t="s">
        <v>23</v>
      </c>
      <c r="C8" s="15">
        <v>0.40210000000000001</v>
      </c>
      <c r="D8" s="5" t="s">
        <v>24</v>
      </c>
      <c r="E8" s="15">
        <v>7.1999999999999995E-2</v>
      </c>
      <c r="F8" s="5"/>
      <c r="G8" s="13"/>
      <c r="H8" s="5" t="s">
        <v>25</v>
      </c>
      <c r="I8" s="104">
        <v>6.3</v>
      </c>
      <c r="J8" s="13" t="s">
        <v>26</v>
      </c>
      <c r="K8" s="20">
        <v>16246</v>
      </c>
      <c r="L8" s="32"/>
      <c r="M8" s="32"/>
      <c r="N8" s="42"/>
    </row>
    <row r="9" spans="1:28" x14ac:dyDescent="0.45">
      <c r="A9" s="32"/>
      <c r="B9" s="5" t="s">
        <v>27</v>
      </c>
      <c r="C9" s="15">
        <v>7.4999999999999997E-3</v>
      </c>
      <c r="D9" s="5" t="s">
        <v>28</v>
      </c>
      <c r="E9" s="8">
        <v>0.22</v>
      </c>
      <c r="F9" s="5"/>
      <c r="G9" s="13"/>
      <c r="H9" s="5" t="s">
        <v>29</v>
      </c>
      <c r="I9" s="17">
        <v>12.14</v>
      </c>
      <c r="J9" s="13" t="s">
        <v>30</v>
      </c>
      <c r="K9" s="20">
        <v>8830</v>
      </c>
      <c r="L9" s="42"/>
      <c r="M9" s="42"/>
      <c r="N9" s="42"/>
    </row>
    <row r="10" spans="1:28" x14ac:dyDescent="0.45">
      <c r="A10" s="32"/>
      <c r="B10" s="5" t="s">
        <v>31</v>
      </c>
      <c r="C10" s="22">
        <v>7.0000000000000007E-2</v>
      </c>
      <c r="D10" s="5" t="s">
        <v>32</v>
      </c>
      <c r="E10" s="15">
        <v>6.5500000000000003E-2</v>
      </c>
      <c r="F10" s="13"/>
      <c r="G10" s="13"/>
      <c r="H10" s="5" t="s">
        <v>33</v>
      </c>
      <c r="I10" s="20">
        <v>10080</v>
      </c>
      <c r="J10" s="5"/>
      <c r="K10" s="5"/>
      <c r="L10" s="42"/>
      <c r="M10" s="42"/>
      <c r="N10" s="42"/>
    </row>
    <row r="11" spans="1:28" x14ac:dyDescent="0.45">
      <c r="A11" s="32"/>
      <c r="B11" s="5" t="s">
        <v>34</v>
      </c>
      <c r="C11" s="8">
        <v>0.1</v>
      </c>
      <c r="D11" s="13" t="s">
        <v>35</v>
      </c>
      <c r="E11" s="14">
        <v>2.29E-2</v>
      </c>
      <c r="F11" s="5"/>
      <c r="G11" s="5"/>
      <c r="H11" s="1"/>
      <c r="I11" s="1"/>
      <c r="J11" s="5"/>
      <c r="K11" s="20"/>
      <c r="L11" s="32"/>
      <c r="M11" s="32"/>
      <c r="N11" s="32"/>
    </row>
    <row r="13" spans="1:28" x14ac:dyDescent="0.45">
      <c r="B13" s="48" t="s">
        <v>36</v>
      </c>
      <c r="G13" s="49"/>
    </row>
    <row r="14" spans="1:28" x14ac:dyDescent="0.45">
      <c r="B14" s="67"/>
      <c r="C14" s="67">
        <v>0</v>
      </c>
      <c r="D14" s="67">
        <v>1</v>
      </c>
      <c r="E14" s="67">
        <v>2</v>
      </c>
      <c r="F14" s="67">
        <v>3</v>
      </c>
      <c r="G14" s="67">
        <v>4</v>
      </c>
      <c r="H14" s="67">
        <v>5</v>
      </c>
      <c r="I14" s="67">
        <v>6</v>
      </c>
      <c r="J14" s="67">
        <v>7</v>
      </c>
      <c r="K14" s="67">
        <v>8</v>
      </c>
      <c r="L14" s="67">
        <v>9</v>
      </c>
      <c r="M14" s="67">
        <v>10</v>
      </c>
      <c r="N14" s="67">
        <v>11</v>
      </c>
      <c r="O14" s="67">
        <v>12</v>
      </c>
      <c r="P14" s="67">
        <v>13</v>
      </c>
      <c r="Q14" s="67">
        <v>14</v>
      </c>
      <c r="R14" s="67">
        <v>15</v>
      </c>
      <c r="S14" s="67">
        <v>16</v>
      </c>
      <c r="T14" s="67">
        <v>17</v>
      </c>
      <c r="U14" s="67">
        <v>18</v>
      </c>
      <c r="V14" s="67">
        <v>19</v>
      </c>
      <c r="W14" s="67">
        <v>20</v>
      </c>
      <c r="X14" s="67">
        <v>21</v>
      </c>
      <c r="Y14" s="67">
        <v>22</v>
      </c>
      <c r="Z14" s="67">
        <v>23</v>
      </c>
      <c r="AA14" s="67">
        <v>24</v>
      </c>
      <c r="AB14" s="67">
        <v>25</v>
      </c>
    </row>
    <row r="15" spans="1:28" x14ac:dyDescent="0.45">
      <c r="B15" s="109" t="s">
        <v>37</v>
      </c>
      <c r="C15" s="67">
        <v>2021</v>
      </c>
      <c r="D15" s="67">
        <v>2022</v>
      </c>
      <c r="E15" s="67">
        <v>2023</v>
      </c>
      <c r="F15" s="67">
        <v>2024</v>
      </c>
      <c r="G15" s="67">
        <v>2025</v>
      </c>
      <c r="H15" s="67">
        <v>2026</v>
      </c>
      <c r="I15" s="67">
        <v>2027</v>
      </c>
      <c r="J15" s="67">
        <v>2028</v>
      </c>
      <c r="K15" s="67">
        <v>2029</v>
      </c>
      <c r="L15" s="67">
        <v>2030</v>
      </c>
      <c r="M15" s="67">
        <v>2031</v>
      </c>
      <c r="N15" s="67">
        <v>2032</v>
      </c>
      <c r="O15" s="67">
        <v>2033</v>
      </c>
      <c r="P15" s="67">
        <v>2034</v>
      </c>
      <c r="Q15" s="67">
        <v>2035</v>
      </c>
      <c r="R15" s="67">
        <v>2036</v>
      </c>
      <c r="S15" s="67">
        <v>2037</v>
      </c>
      <c r="T15" s="67">
        <v>2038</v>
      </c>
      <c r="U15" s="67">
        <v>2039</v>
      </c>
      <c r="V15" s="67">
        <v>2040</v>
      </c>
      <c r="W15" s="67">
        <v>2041</v>
      </c>
      <c r="X15" s="67">
        <v>2042</v>
      </c>
      <c r="Y15" s="67">
        <v>2043</v>
      </c>
      <c r="Z15" s="67">
        <v>2044</v>
      </c>
      <c r="AA15" s="67">
        <v>2045</v>
      </c>
      <c r="AB15" s="67">
        <v>2046</v>
      </c>
    </row>
    <row r="16" spans="1:28" x14ac:dyDescent="0.45">
      <c r="B16" s="23" t="s">
        <v>38</v>
      </c>
      <c r="C16" s="39"/>
      <c r="D16" s="39">
        <f>'Innt. Worst'!D46*(1+$C$4)^D14</f>
        <v>84873304.907000035</v>
      </c>
      <c r="E16" s="39">
        <f>'Innt. Worst'!E46*(1+$C$4)^E14</f>
        <v>68010170.18937999</v>
      </c>
      <c r="F16" s="39">
        <f>'Innt. Worst'!F46*(1+$C$4)^F14</f>
        <v>71498307.318069205</v>
      </c>
      <c r="G16" s="39">
        <f>'Innt. Worst'!G46*(1+$C$4)^G14</f>
        <v>86283151.003541246</v>
      </c>
      <c r="H16" s="39">
        <f>'Innt. Worst'!H46*(1+$C$4)^H14</f>
        <v>98494916.581050962</v>
      </c>
      <c r="I16" s="39">
        <f>'Innt. Worst'!I46*(1+$C$4)^I14</f>
        <v>112473287.10750973</v>
      </c>
      <c r="J16" s="39">
        <f>'Innt. Worst'!J46*(1+$C$4)^J14</f>
        <v>84873090.011707813</v>
      </c>
      <c r="K16" s="39">
        <f>'Innt. Worst'!K46*(1+$C$4)^K14</f>
        <v>79811317.288118213</v>
      </c>
      <c r="L16" s="39">
        <f>'Innt. Worst'!L46*(1+$C$4)^L14</f>
        <v>94894381.725726396</v>
      </c>
      <c r="M16" s="39">
        <f>'Innt. Worst'!M46*(1+$C$4)^M14</f>
        <v>126850991.19927689</v>
      </c>
      <c r="N16" s="39">
        <f>'Innt. Worst'!N46*(1+$C$4)^N14</f>
        <v>132453708.21649459</v>
      </c>
      <c r="O16" s="39">
        <f>'Innt. Worst'!O46*(1+$C$4)^O14</f>
        <v>109689425.09276555</v>
      </c>
      <c r="P16" s="39">
        <f>'Innt. Worst'!P46*(1+$C$4)^P14</f>
        <v>104616444.13639557</v>
      </c>
      <c r="Q16" s="39">
        <f>'Innt. Worst'!Q46*(1+$C$4)^Q14</f>
        <v>106922822.38937873</v>
      </c>
      <c r="R16" s="39">
        <f>'Innt. Worst'!R46*(1+$C$4)^R14</f>
        <v>118375912.38764957</v>
      </c>
      <c r="S16" s="39">
        <f>'Innt. Worst'!S46*(1+$C$4)^S14</f>
        <v>119487360.21392031</v>
      </c>
      <c r="T16" s="39">
        <f>'Innt. Worst'!T46*(1+$C$4)^T14</f>
        <v>122699709.98283657</v>
      </c>
      <c r="U16" s="39">
        <f>'Innt. Worst'!U46*(1+$C$4)^U14</f>
        <v>126883250.85661545</v>
      </c>
      <c r="V16" s="39">
        <f>'Innt. Worst'!V46*(1+$C$4)^V14</f>
        <v>116339717.80949947</v>
      </c>
      <c r="W16" s="39">
        <f>'Innt. Worst'!W46*(1+$C$4)^W14</f>
        <v>167854853.58046359</v>
      </c>
      <c r="X16" s="39">
        <f>'Innt. Worst'!X46*(1+$C$4)^X14</f>
        <v>172765151.53507665</v>
      </c>
      <c r="Y16" s="39">
        <f>'Innt. Worst'!Y46*(1+$C$4)^Y14</f>
        <v>146293823.07828376</v>
      </c>
      <c r="Z16" s="39">
        <f>'Innt. Worst'!Z46*(1+$C$4)^Z14</f>
        <v>181689348.37661707</v>
      </c>
      <c r="AA16" s="39">
        <f>'Innt. Worst'!AA46*(1+$C$4)^AA14</f>
        <v>156566373.61997113</v>
      </c>
      <c r="AB16" s="39">
        <f>'Innt. Worst'!AB46*(1+$C$4)^AB14</f>
        <v>167786328.79822448</v>
      </c>
    </row>
    <row r="17" spans="2:28" x14ac:dyDescent="0.45">
      <c r="B17" s="23" t="s">
        <v>39</v>
      </c>
      <c r="C17" s="39"/>
      <c r="D17" s="39">
        <f>Restråstoff!D97</f>
        <v>2416279.2536400012</v>
      </c>
      <c r="E17" s="39">
        <f>Restråstoff!E97</f>
        <v>3586053.1325547439</v>
      </c>
      <c r="F17" s="39">
        <f>Restråstoff!F97</f>
        <v>3796077.4245001306</v>
      </c>
      <c r="G17" s="39">
        <f>Restråstoff!G97</f>
        <v>4084853.8847148004</v>
      </c>
      <c r="H17" s="39">
        <f>Restråstoff!H97</f>
        <v>4069070.7195509225</v>
      </c>
      <c r="I17" s="39">
        <f>Restråstoff!I97</f>
        <v>4404550.2120037489</v>
      </c>
      <c r="J17" s="39">
        <f>Restråstoff!J97</f>
        <v>3967572.6065032785</v>
      </c>
      <c r="K17" s="39">
        <f>Restråstoff!K97</f>
        <v>3080345.0552473143</v>
      </c>
      <c r="L17" s="39">
        <f>Restråstoff!L97</f>
        <v>3304266.6088580452</v>
      </c>
      <c r="M17" s="39">
        <f>Restråstoff!M97</f>
        <v>2930299.547933626</v>
      </c>
      <c r="N17" s="39">
        <f>Restråstoff!N97</f>
        <v>3481504.0383743537</v>
      </c>
      <c r="O17" s="39">
        <f>Restråstoff!O97</f>
        <v>4341137.582384754</v>
      </c>
      <c r="P17" s="39">
        <f>Restråstoff!P97</f>
        <v>3833301.5103855915</v>
      </c>
      <c r="Q17" s="39">
        <f>Restråstoff!Q97</f>
        <v>4412354.9704282237</v>
      </c>
      <c r="R17" s="39">
        <f>Restråstoff!R97</f>
        <v>4492422.2093972331</v>
      </c>
      <c r="S17" s="39">
        <f>Restråstoff!S97</f>
        <v>3482102.990727935</v>
      </c>
      <c r="T17" s="39">
        <f>Restråstoff!T97</f>
        <v>3118475.1114539588</v>
      </c>
      <c r="U17" s="39">
        <f>Restråstoff!U97</f>
        <v>5407147.1627695877</v>
      </c>
      <c r="V17" s="39">
        <f>Restråstoff!V97</f>
        <v>3806883.1019942765</v>
      </c>
      <c r="W17" s="39">
        <f>Restråstoff!W97</f>
        <v>4992496.907568261</v>
      </c>
      <c r="X17" s="39">
        <f>Restråstoff!X97</f>
        <v>4573608.2614447325</v>
      </c>
      <c r="Y17" s="39">
        <f>Restråstoff!Y97</f>
        <v>5295466.6106445976</v>
      </c>
      <c r="Z17" s="39">
        <f>Restråstoff!Z97</f>
        <v>4121050.2788865855</v>
      </c>
      <c r="AA17" s="39">
        <f>Restråstoff!AA97</f>
        <v>4953089.3021079479</v>
      </c>
      <c r="AB17" s="39">
        <f>Restråstoff!AB97</f>
        <v>5138251.3149418849</v>
      </c>
    </row>
    <row r="18" spans="2:28" x14ac:dyDescent="0.45">
      <c r="B18" s="24" t="s">
        <v>40</v>
      </c>
      <c r="C18" s="39"/>
      <c r="D18" s="39">
        <f t="shared" ref="D18:AB18" si="0">SUM(D16:D17)</f>
        <v>87289584.160640031</v>
      </c>
      <c r="E18" s="39">
        <f t="shared" si="0"/>
        <v>71596223.32193473</v>
      </c>
      <c r="F18" s="39">
        <f t="shared" si="0"/>
        <v>75294384.742569342</v>
      </c>
      <c r="G18" s="39">
        <f t="shared" si="0"/>
        <v>90368004.888256043</v>
      </c>
      <c r="H18" s="39">
        <f t="shared" si="0"/>
        <v>102563987.30060188</v>
      </c>
      <c r="I18" s="39">
        <f t="shared" si="0"/>
        <v>116877837.31951348</v>
      </c>
      <c r="J18" s="39">
        <f t="shared" si="0"/>
        <v>88840662.618211091</v>
      </c>
      <c r="K18" s="39">
        <f t="shared" si="0"/>
        <v>82891662.34336552</v>
      </c>
      <c r="L18" s="39">
        <f t="shared" si="0"/>
        <v>98198648.334584445</v>
      </c>
      <c r="M18" s="39">
        <f t="shared" si="0"/>
        <v>129781290.74721052</v>
      </c>
      <c r="N18" s="39">
        <f t="shared" si="0"/>
        <v>135935212.25486895</v>
      </c>
      <c r="O18" s="39">
        <f t="shared" si="0"/>
        <v>114030562.67515031</v>
      </c>
      <c r="P18" s="39">
        <f t="shared" si="0"/>
        <v>108449745.64678116</v>
      </c>
      <c r="Q18" s="39">
        <f t="shared" si="0"/>
        <v>111335177.35980695</v>
      </c>
      <c r="R18" s="39">
        <f t="shared" si="0"/>
        <v>122868334.59704679</v>
      </c>
      <c r="S18" s="39">
        <f t="shared" si="0"/>
        <v>122969463.20464824</v>
      </c>
      <c r="T18" s="39">
        <f t="shared" si="0"/>
        <v>125818185.09429054</v>
      </c>
      <c r="U18" s="39">
        <f t="shared" si="0"/>
        <v>132290398.01938504</v>
      </c>
      <c r="V18" s="39">
        <f t="shared" si="0"/>
        <v>120146600.91149375</v>
      </c>
      <c r="W18" s="39">
        <f t="shared" si="0"/>
        <v>172847350.48803186</v>
      </c>
      <c r="X18" s="39">
        <f t="shared" si="0"/>
        <v>177338759.79652137</v>
      </c>
      <c r="Y18" s="39">
        <f t="shared" si="0"/>
        <v>151589289.68892837</v>
      </c>
      <c r="Z18" s="39">
        <f t="shared" si="0"/>
        <v>185810398.65550366</v>
      </c>
      <c r="AA18" s="39">
        <f t="shared" si="0"/>
        <v>161519462.92207909</v>
      </c>
      <c r="AB18" s="39">
        <f t="shared" si="0"/>
        <v>172924580.11316636</v>
      </c>
    </row>
    <row r="19" spans="2:28" x14ac:dyDescent="0.45">
      <c r="B19" s="24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</row>
    <row r="20" spans="2:28" x14ac:dyDescent="0.45">
      <c r="B20" s="23" t="s">
        <v>41</v>
      </c>
      <c r="C20" s="39"/>
    </row>
    <row r="21" spans="2:28" x14ac:dyDescent="0.45">
      <c r="B21" s="25" t="s">
        <v>42</v>
      </c>
      <c r="C21" s="39"/>
      <c r="D21" s="39">
        <f>($I$10*$C$5)*(-$I$7*((1+$C$7)^D14))</f>
        <v>-7886040.6643199995</v>
      </c>
      <c r="E21" s="39">
        <f>($I$10*$C$5)*(-$I$7*((1+$C$7)^E14))</f>
        <v>-8616288.0298360325</v>
      </c>
      <c r="F21" s="39">
        <f>($I$10*$C$5)*(-$I$7*((1+$C$7)^F14))</f>
        <v>-9414156.3013988491</v>
      </c>
      <c r="G21" s="39">
        <f>($I$10*$C$5)*(-$I$7*((1+$C$7)^G14))</f>
        <v>-10285907.174908379</v>
      </c>
      <c r="H21" s="39">
        <f>($I$10*$C$5)*(-$I$8*((1+$C$3)^D14))</f>
        <v>-10493400.960000001</v>
      </c>
      <c r="I21" s="39">
        <f>($I$10*$C$5)*(-$I$8*((1+$C$3)^E14))</f>
        <v>-10703268.9792</v>
      </c>
      <c r="J21" s="39">
        <f>($I$10*$C$5)*(-$I$8*((1+$C$3)^F14))</f>
        <v>-10917334.358783998</v>
      </c>
      <c r="K21" s="39">
        <f>($I$10*$C$5)*(-$I$8*((1+$C$3)^G14))</f>
        <v>-11135681.045959679</v>
      </c>
      <c r="L21" s="39">
        <f t="shared" ref="L21:Z21" si="1">($I$10*$C$5)*(-$I$9*(1+$C$3)^D14)</f>
        <v>-20220617.088000003</v>
      </c>
      <c r="M21" s="39">
        <f t="shared" si="1"/>
        <v>-20625029.429760002</v>
      </c>
      <c r="N21" s="39">
        <f t="shared" si="1"/>
        <v>-21037530.018355198</v>
      </c>
      <c r="O21" s="39">
        <f t="shared" si="1"/>
        <v>-21458280.618722305</v>
      </c>
      <c r="P21" s="39">
        <f t="shared" si="1"/>
        <v>-21887446.231096752</v>
      </c>
      <c r="Q21" s="39">
        <f t="shared" si="1"/>
        <v>-22325195.155718688</v>
      </c>
      <c r="R21" s="39">
        <f t="shared" si="1"/>
        <v>-22771699.058833055</v>
      </c>
      <c r="S21" s="39">
        <f t="shared" si="1"/>
        <v>-23227133.040009718</v>
      </c>
      <c r="T21" s="39">
        <f t="shared" si="1"/>
        <v>-23691675.700809911</v>
      </c>
      <c r="U21" s="39">
        <f t="shared" si="1"/>
        <v>-24165509.214826114</v>
      </c>
      <c r="V21" s="39">
        <f t="shared" si="1"/>
        <v>-24648819.399122629</v>
      </c>
      <c r="W21" s="39">
        <f t="shared" si="1"/>
        <v>-25141795.787105087</v>
      </c>
      <c r="X21" s="39">
        <f t="shared" si="1"/>
        <v>-25644631.702847186</v>
      </c>
      <c r="Y21" s="39">
        <f t="shared" si="1"/>
        <v>-26157524.336904138</v>
      </c>
      <c r="Z21" s="39">
        <f t="shared" si="1"/>
        <v>-26680674.823642209</v>
      </c>
      <c r="AA21" s="39">
        <f>($I$10*$C$5)*(-$I$9*(1+$C$3)^S14)</f>
        <v>-27214288.320115056</v>
      </c>
      <c r="AB21" s="39">
        <f>($I$10*$C$5)*(-$I$9*(1+$C$3)^T14)</f>
        <v>-27758574.086517364</v>
      </c>
    </row>
    <row r="22" spans="2:28" x14ac:dyDescent="0.45">
      <c r="B22" s="25" t="s">
        <v>27</v>
      </c>
      <c r="C22" s="39"/>
      <c r="D22" s="39">
        <f t="shared" ref="D22:AB22" si="2">(D16*0.25)*-$C$9</f>
        <v>-159137.44670062506</v>
      </c>
      <c r="E22" s="39">
        <f t="shared" si="2"/>
        <v>-127519.06910508747</v>
      </c>
      <c r="F22" s="39">
        <f t="shared" si="2"/>
        <v>-134059.32622137974</v>
      </c>
      <c r="G22" s="39">
        <f t="shared" si="2"/>
        <v>-161780.90813163982</v>
      </c>
      <c r="H22" s="39">
        <f t="shared" si="2"/>
        <v>-184677.96858947055</v>
      </c>
      <c r="I22" s="39">
        <f t="shared" si="2"/>
        <v>-210887.41332658075</v>
      </c>
      <c r="J22" s="39">
        <f t="shared" si="2"/>
        <v>-159137.04377195213</v>
      </c>
      <c r="K22" s="39">
        <f t="shared" si="2"/>
        <v>-149646.21991522165</v>
      </c>
      <c r="L22" s="39">
        <f t="shared" si="2"/>
        <v>-177926.96573573697</v>
      </c>
      <c r="M22" s="39">
        <f t="shared" si="2"/>
        <v>-237845.60849864417</v>
      </c>
      <c r="N22" s="39">
        <f t="shared" si="2"/>
        <v>-248350.70290592735</v>
      </c>
      <c r="O22" s="39">
        <f t="shared" si="2"/>
        <v>-205667.6720489354</v>
      </c>
      <c r="P22" s="39">
        <f t="shared" si="2"/>
        <v>-196155.83275574169</v>
      </c>
      <c r="Q22" s="39">
        <f t="shared" si="2"/>
        <v>-200480.29198008511</v>
      </c>
      <c r="R22" s="39">
        <f t="shared" si="2"/>
        <v>-221954.83572684292</v>
      </c>
      <c r="S22" s="39">
        <f t="shared" si="2"/>
        <v>-224038.80040110057</v>
      </c>
      <c r="T22" s="39">
        <f t="shared" si="2"/>
        <v>-230061.95621781857</v>
      </c>
      <c r="U22" s="39">
        <f t="shared" si="2"/>
        <v>-237906.09535615396</v>
      </c>
      <c r="V22" s="39">
        <f t="shared" si="2"/>
        <v>-218136.97089281151</v>
      </c>
      <c r="W22" s="39">
        <f t="shared" si="2"/>
        <v>-314727.85046336922</v>
      </c>
      <c r="X22" s="39">
        <f t="shared" si="2"/>
        <v>-323934.65912826871</v>
      </c>
      <c r="Y22" s="39">
        <f t="shared" si="2"/>
        <v>-274300.91827178205</v>
      </c>
      <c r="Z22" s="39">
        <f t="shared" si="2"/>
        <v>-340667.52820615697</v>
      </c>
      <c r="AA22" s="39">
        <f t="shared" si="2"/>
        <v>-293561.95053744584</v>
      </c>
      <c r="AB22" s="39">
        <f t="shared" si="2"/>
        <v>-314599.36649667087</v>
      </c>
    </row>
    <row r="23" spans="2:28" x14ac:dyDescent="0.45">
      <c r="B23" s="25" t="s">
        <v>43</v>
      </c>
      <c r="C23" s="39"/>
      <c r="D23" s="39">
        <f t="shared" ref="D23:AB23" si="3">D16*-$C$6</f>
        <v>-3267622.2389195012</v>
      </c>
      <c r="E23" s="39">
        <f t="shared" si="3"/>
        <v>-2618391.5522911297</v>
      </c>
      <c r="F23" s="39">
        <f t="shared" si="3"/>
        <v>-2752684.8317456641</v>
      </c>
      <c r="G23" s="39">
        <f t="shared" si="3"/>
        <v>-3321901.3136363379</v>
      </c>
      <c r="H23" s="39">
        <f t="shared" si="3"/>
        <v>-3792054.2883704621</v>
      </c>
      <c r="I23" s="39">
        <f t="shared" si="3"/>
        <v>-4330221.5536391251</v>
      </c>
      <c r="J23" s="39">
        <f t="shared" si="3"/>
        <v>-3267613.9654507507</v>
      </c>
      <c r="K23" s="39">
        <f t="shared" si="3"/>
        <v>-3072735.715592551</v>
      </c>
      <c r="L23" s="39">
        <f t="shared" si="3"/>
        <v>-3653433.6964404662</v>
      </c>
      <c r="M23" s="39">
        <f t="shared" si="3"/>
        <v>-4883763.1611721599</v>
      </c>
      <c r="N23" s="39">
        <f t="shared" si="3"/>
        <v>-5099467.7663350413</v>
      </c>
      <c r="O23" s="39">
        <f t="shared" si="3"/>
        <v>-4223042.8660714738</v>
      </c>
      <c r="P23" s="39">
        <f t="shared" si="3"/>
        <v>-4027733.0992512293</v>
      </c>
      <c r="Q23" s="39">
        <f t="shared" si="3"/>
        <v>-4116528.6619910807</v>
      </c>
      <c r="R23" s="39">
        <f t="shared" si="3"/>
        <v>-4557472.6269245083</v>
      </c>
      <c r="S23" s="39">
        <f t="shared" si="3"/>
        <v>-4600263.3682359317</v>
      </c>
      <c r="T23" s="39">
        <f t="shared" si="3"/>
        <v>-4723938.834339208</v>
      </c>
      <c r="U23" s="39">
        <f t="shared" si="3"/>
        <v>-4885005.1579796951</v>
      </c>
      <c r="V23" s="39">
        <f t="shared" si="3"/>
        <v>-4479079.1356657296</v>
      </c>
      <c r="W23" s="39">
        <f t="shared" si="3"/>
        <v>-6462411.8628478479</v>
      </c>
      <c r="X23" s="39">
        <f t="shared" si="3"/>
        <v>-6651458.3341004513</v>
      </c>
      <c r="Y23" s="39">
        <f t="shared" si="3"/>
        <v>-5632312.1885139244</v>
      </c>
      <c r="Z23" s="39">
        <f t="shared" si="3"/>
        <v>-6995039.9124997575</v>
      </c>
      <c r="AA23" s="39">
        <f t="shared" si="3"/>
        <v>-6027805.3843688881</v>
      </c>
      <c r="AB23" s="39">
        <f t="shared" si="3"/>
        <v>-6459773.6587316422</v>
      </c>
    </row>
    <row r="24" spans="2:28" x14ac:dyDescent="0.45">
      <c r="B24" s="25" t="s">
        <v>44</v>
      </c>
      <c r="C24" s="39"/>
      <c r="D24" s="39">
        <f t="shared" ref="D24:AB24" si="4">$I$3*(1+$C$3)^D14*-1</f>
        <v>-111998.04000000001</v>
      </c>
      <c r="E24" s="39">
        <f t="shared" si="4"/>
        <v>-114238.00079999999</v>
      </c>
      <c r="F24" s="39">
        <f t="shared" si="4"/>
        <v>-116522.76081599999</v>
      </c>
      <c r="G24" s="39">
        <f t="shared" si="4"/>
        <v>-118853.21603231999</v>
      </c>
      <c r="H24" s="39">
        <f t="shared" si="4"/>
        <v>-121230.28035296641</v>
      </c>
      <c r="I24" s="39">
        <f t="shared" si="4"/>
        <v>-123654.88596002574</v>
      </c>
      <c r="J24" s="39">
        <f t="shared" si="4"/>
        <v>-126127.98367922622</v>
      </c>
      <c r="K24" s="39">
        <f t="shared" si="4"/>
        <v>-128650.54335281075</v>
      </c>
      <c r="L24" s="39">
        <f t="shared" si="4"/>
        <v>-131223.55421986699</v>
      </c>
      <c r="M24" s="39">
        <f t="shared" si="4"/>
        <v>-133848.02530426433</v>
      </c>
      <c r="N24" s="39">
        <f t="shared" si="4"/>
        <v>-136524.98581034958</v>
      </c>
      <c r="O24" s="39">
        <f t="shared" si="4"/>
        <v>-139255.48552655659</v>
      </c>
      <c r="P24" s="39">
        <f t="shared" si="4"/>
        <v>-142040.59523708772</v>
      </c>
      <c r="Q24" s="39">
        <f t="shared" si="4"/>
        <v>-144881.40714182949</v>
      </c>
      <c r="R24" s="39">
        <f t="shared" si="4"/>
        <v>-147779.03528466602</v>
      </c>
      <c r="S24" s="39">
        <f t="shared" si="4"/>
        <v>-150734.61599035939</v>
      </c>
      <c r="T24" s="39">
        <f t="shared" si="4"/>
        <v>-153749.30831016658</v>
      </c>
      <c r="U24" s="39">
        <f t="shared" si="4"/>
        <v>-156824.29447636989</v>
      </c>
      <c r="V24" s="39">
        <f t="shared" si="4"/>
        <v>-159960.78036589728</v>
      </c>
      <c r="W24" s="39">
        <f t="shared" si="4"/>
        <v>-163159.99597321526</v>
      </c>
      <c r="X24" s="39">
        <f t="shared" si="4"/>
        <v>-166423.19589267953</v>
      </c>
      <c r="Y24" s="39">
        <f t="shared" si="4"/>
        <v>-169751.65981053314</v>
      </c>
      <c r="Z24" s="39">
        <f t="shared" si="4"/>
        <v>-173146.69300674376</v>
      </c>
      <c r="AA24" s="39">
        <f t="shared" si="4"/>
        <v>-176609.62686687865</v>
      </c>
      <c r="AB24" s="39">
        <f t="shared" si="4"/>
        <v>-180141.81940421622</v>
      </c>
    </row>
    <row r="25" spans="2:28" x14ac:dyDescent="0.45">
      <c r="B25" s="25" t="s">
        <v>45</v>
      </c>
      <c r="C25" s="39"/>
      <c r="D25" s="39">
        <f t="shared" ref="D25:AB25" si="5">D17*$C$8*-1</f>
        <v>-971585.88788864447</v>
      </c>
      <c r="E25" s="39">
        <f t="shared" si="5"/>
        <v>-1441951.9646002625</v>
      </c>
      <c r="F25" s="39">
        <f t="shared" si="5"/>
        <v>-1526402.7323915025</v>
      </c>
      <c r="G25" s="39">
        <f t="shared" si="5"/>
        <v>-1642519.7470438213</v>
      </c>
      <c r="H25" s="39">
        <f t="shared" si="5"/>
        <v>-1636173.3363314259</v>
      </c>
      <c r="I25" s="39">
        <f t="shared" si="5"/>
        <v>-1771069.6402467075</v>
      </c>
      <c r="J25" s="39">
        <f t="shared" si="5"/>
        <v>-1595360.9450749683</v>
      </c>
      <c r="K25" s="39">
        <f t="shared" si="5"/>
        <v>-1238606.7467149452</v>
      </c>
      <c r="L25" s="39">
        <f t="shared" si="5"/>
        <v>-1328645.6034218201</v>
      </c>
      <c r="M25" s="39">
        <f t="shared" si="5"/>
        <v>-1178273.448224111</v>
      </c>
      <c r="N25" s="39">
        <f t="shared" si="5"/>
        <v>-1399912.7738303277</v>
      </c>
      <c r="O25" s="39">
        <f t="shared" si="5"/>
        <v>-1745571.4218769097</v>
      </c>
      <c r="P25" s="39">
        <f t="shared" si="5"/>
        <v>-1541370.5373260465</v>
      </c>
      <c r="Q25" s="39">
        <f t="shared" si="5"/>
        <v>-1774207.9336091888</v>
      </c>
      <c r="R25" s="39">
        <f t="shared" si="5"/>
        <v>-1806402.9703986275</v>
      </c>
      <c r="S25" s="39">
        <f t="shared" si="5"/>
        <v>-1400153.6125717028</v>
      </c>
      <c r="T25" s="39">
        <f t="shared" si="5"/>
        <v>-1253938.8423156368</v>
      </c>
      <c r="U25" s="39">
        <f t="shared" si="5"/>
        <v>-2174213.8741496513</v>
      </c>
      <c r="V25" s="39">
        <f t="shared" si="5"/>
        <v>-1530747.6953118986</v>
      </c>
      <c r="W25" s="39">
        <f t="shared" si="5"/>
        <v>-2007483.0065331978</v>
      </c>
      <c r="X25" s="39">
        <f t="shared" si="5"/>
        <v>-1839047.881926927</v>
      </c>
      <c r="Y25" s="39">
        <f t="shared" si="5"/>
        <v>-2129307.1241401928</v>
      </c>
      <c r="Z25" s="39">
        <f t="shared" si="5"/>
        <v>-1657074.3171402961</v>
      </c>
      <c r="AA25" s="39">
        <f t="shared" si="5"/>
        <v>-1991637.208377606</v>
      </c>
      <c r="AB25" s="39">
        <f t="shared" si="5"/>
        <v>-2066090.8537381319</v>
      </c>
    </row>
    <row r="26" spans="2:28" x14ac:dyDescent="0.45">
      <c r="B26" s="25" t="s">
        <v>46</v>
      </c>
      <c r="C26" s="39"/>
      <c r="D26" s="39">
        <f t="shared" ref="D26:AB26" si="6">($I$4*$I$5*$C$5)*-1*(1+$C$3)^D14</f>
        <v>-1098416.3760000002</v>
      </c>
      <c r="E26" s="39">
        <f t="shared" si="6"/>
        <v>-1120384.70352</v>
      </c>
      <c r="F26" s="39">
        <f t="shared" si="6"/>
        <v>-1142792.3975904</v>
      </c>
      <c r="G26" s="39">
        <f t="shared" si="6"/>
        <v>-1165648.245542208</v>
      </c>
      <c r="H26" s="39">
        <f t="shared" si="6"/>
        <v>-1188961.2104530523</v>
      </c>
      <c r="I26" s="39">
        <f t="shared" si="6"/>
        <v>-1212740.4346621134</v>
      </c>
      <c r="J26" s="39">
        <f t="shared" si="6"/>
        <v>-1236995.2433553552</v>
      </c>
      <c r="K26" s="39">
        <f t="shared" si="6"/>
        <v>-1261735.1482224625</v>
      </c>
      <c r="L26" s="39">
        <f t="shared" si="6"/>
        <v>-1286969.8511869118</v>
      </c>
      <c r="M26" s="39">
        <f t="shared" si="6"/>
        <v>-1312709.2482106502</v>
      </c>
      <c r="N26" s="39">
        <f t="shared" si="6"/>
        <v>-1338963.4331748628</v>
      </c>
      <c r="O26" s="39">
        <f t="shared" si="6"/>
        <v>-1365742.7018383604</v>
      </c>
      <c r="P26" s="39">
        <f t="shared" si="6"/>
        <v>-1393057.5558751274</v>
      </c>
      <c r="Q26" s="39">
        <f t="shared" si="6"/>
        <v>-1420918.7069926301</v>
      </c>
      <c r="R26" s="39">
        <f t="shared" si="6"/>
        <v>-1449337.0811324823</v>
      </c>
      <c r="S26" s="39">
        <f t="shared" si="6"/>
        <v>-1478323.8227551323</v>
      </c>
      <c r="T26" s="39">
        <f t="shared" si="6"/>
        <v>-1507890.299210235</v>
      </c>
      <c r="U26" s="39">
        <f t="shared" si="6"/>
        <v>-1538048.1051944396</v>
      </c>
      <c r="V26" s="39">
        <f t="shared" si="6"/>
        <v>-1568809.0672983283</v>
      </c>
      <c r="W26" s="39">
        <f t="shared" si="6"/>
        <v>-1600185.2486442949</v>
      </c>
      <c r="X26" s="39">
        <f t="shared" si="6"/>
        <v>-1632188.9536171807</v>
      </c>
      <c r="Y26" s="39">
        <f t="shared" si="6"/>
        <v>-1664832.7326895245</v>
      </c>
      <c r="Z26" s="39">
        <f t="shared" si="6"/>
        <v>-1698129.3873433147</v>
      </c>
      <c r="AA26" s="39">
        <f t="shared" si="6"/>
        <v>-1732091.975090181</v>
      </c>
      <c r="AB26" s="39">
        <f t="shared" si="6"/>
        <v>-1766733.8145919847</v>
      </c>
    </row>
    <row r="27" spans="2:28" x14ac:dyDescent="0.45">
      <c r="B27" s="25" t="s">
        <v>47</v>
      </c>
      <c r="C27" s="39"/>
      <c r="D27" s="39">
        <f t="shared" ref="D27:AB27" si="7">D16*$E$10*-1</f>
        <v>-5559201.4714085022</v>
      </c>
      <c r="E27" s="39">
        <f t="shared" si="7"/>
        <v>-4454666.1474043895</v>
      </c>
      <c r="F27" s="39">
        <f t="shared" si="7"/>
        <v>-4683139.1293335333</v>
      </c>
      <c r="G27" s="39">
        <f t="shared" si="7"/>
        <v>-5651546.3907319522</v>
      </c>
      <c r="H27" s="39">
        <f t="shared" si="7"/>
        <v>-6451417.0360588385</v>
      </c>
      <c r="I27" s="39">
        <f t="shared" si="7"/>
        <v>-7367000.3055418879</v>
      </c>
      <c r="J27" s="39">
        <f t="shared" si="7"/>
        <v>-5559187.3957668617</v>
      </c>
      <c r="K27" s="39">
        <f t="shared" si="7"/>
        <v>-5227641.2823717436</v>
      </c>
      <c r="L27" s="39">
        <f t="shared" si="7"/>
        <v>-6215582.0030350788</v>
      </c>
      <c r="M27" s="39">
        <f t="shared" si="7"/>
        <v>-8308739.923552637</v>
      </c>
      <c r="N27" s="39">
        <f t="shared" si="7"/>
        <v>-8675717.8881803956</v>
      </c>
      <c r="O27" s="39">
        <f t="shared" si="7"/>
        <v>-7184657.3435761444</v>
      </c>
      <c r="P27" s="39">
        <f t="shared" si="7"/>
        <v>-6852377.0909339106</v>
      </c>
      <c r="Q27" s="39">
        <f t="shared" si="7"/>
        <v>-7003444.8665043069</v>
      </c>
      <c r="R27" s="39">
        <f t="shared" si="7"/>
        <v>-7753622.2613910465</v>
      </c>
      <c r="S27" s="39">
        <f t="shared" si="7"/>
        <v>-7826422.0940117808</v>
      </c>
      <c r="T27" s="39">
        <f t="shared" si="7"/>
        <v>-8036831.0038757958</v>
      </c>
      <c r="U27" s="39">
        <f t="shared" si="7"/>
        <v>-8310852.9311083127</v>
      </c>
      <c r="V27" s="39">
        <f t="shared" si="7"/>
        <v>-7620251.5165222157</v>
      </c>
      <c r="W27" s="39">
        <f t="shared" si="7"/>
        <v>-10994492.909520365</v>
      </c>
      <c r="X27" s="39">
        <f t="shared" si="7"/>
        <v>-11316117.425547522</v>
      </c>
      <c r="Y27" s="39">
        <f t="shared" si="7"/>
        <v>-9582245.4116275869</v>
      </c>
      <c r="Z27" s="39">
        <f t="shared" si="7"/>
        <v>-11900652.318668419</v>
      </c>
      <c r="AA27" s="39">
        <f t="shared" si="7"/>
        <v>-10255097.472108109</v>
      </c>
      <c r="AB27" s="39">
        <f t="shared" si="7"/>
        <v>-10990004.536283704</v>
      </c>
    </row>
    <row r="28" spans="2:28" x14ac:dyDescent="0.45">
      <c r="B28" s="25" t="s">
        <v>48</v>
      </c>
      <c r="C28" s="39"/>
      <c r="D28" s="39">
        <f t="shared" ref="D28:AB28" si="8">($I$6*$I$5)*-1*(1+$C$3)^D14</f>
        <v>-290229.67799999996</v>
      </c>
      <c r="E28" s="39">
        <f t="shared" si="8"/>
        <v>-296034.27155999996</v>
      </c>
      <c r="F28" s="39">
        <f t="shared" si="8"/>
        <v>-301954.95699119993</v>
      </c>
      <c r="G28" s="39">
        <f t="shared" si="8"/>
        <v>-307994.05613102397</v>
      </c>
      <c r="H28" s="39">
        <f t="shared" si="8"/>
        <v>-314153.93725364446</v>
      </c>
      <c r="I28" s="39">
        <f t="shared" si="8"/>
        <v>-320437.01599871734</v>
      </c>
      <c r="J28" s="39">
        <f t="shared" si="8"/>
        <v>-326845.75631869165</v>
      </c>
      <c r="K28" s="39">
        <f t="shared" si="8"/>
        <v>-333382.67144506547</v>
      </c>
      <c r="L28" s="39">
        <f t="shared" si="8"/>
        <v>-340050.32487396681</v>
      </c>
      <c r="M28" s="39">
        <f t="shared" si="8"/>
        <v>-346851.33137144614</v>
      </c>
      <c r="N28" s="39">
        <f t="shared" si="8"/>
        <v>-353788.35799887503</v>
      </c>
      <c r="O28" s="39">
        <f t="shared" si="8"/>
        <v>-360864.12515885255</v>
      </c>
      <c r="P28" s="39">
        <f t="shared" si="8"/>
        <v>-368081.40766202961</v>
      </c>
      <c r="Q28" s="39">
        <f t="shared" si="8"/>
        <v>-375443.03581527021</v>
      </c>
      <c r="R28" s="39">
        <f t="shared" si="8"/>
        <v>-382951.89653157553</v>
      </c>
      <c r="S28" s="39">
        <f t="shared" si="8"/>
        <v>-390610.93446220708</v>
      </c>
      <c r="T28" s="39">
        <f t="shared" si="8"/>
        <v>-398423.15315145126</v>
      </c>
      <c r="U28" s="39">
        <f t="shared" si="8"/>
        <v>-406391.61621448025</v>
      </c>
      <c r="V28" s="39">
        <f t="shared" si="8"/>
        <v>-414519.44853876985</v>
      </c>
      <c r="W28" s="39">
        <f t="shared" si="8"/>
        <v>-422809.83750954526</v>
      </c>
      <c r="X28" s="39">
        <f t="shared" si="8"/>
        <v>-431266.03425973619</v>
      </c>
      <c r="Y28" s="39">
        <f t="shared" si="8"/>
        <v>-439891.35494493094</v>
      </c>
      <c r="Z28" s="39">
        <f t="shared" si="8"/>
        <v>-448689.18204382947</v>
      </c>
      <c r="AA28" s="39">
        <f t="shared" si="8"/>
        <v>-457662.96568470605</v>
      </c>
      <c r="AB28" s="39">
        <f t="shared" si="8"/>
        <v>-466816.2249984002</v>
      </c>
    </row>
    <row r="29" spans="2:28" x14ac:dyDescent="0.45">
      <c r="B29" s="25" t="s">
        <v>3</v>
      </c>
      <c r="C29" s="39"/>
      <c r="D29" s="39">
        <f>D16*$E$3*-1</f>
        <v>-568651.14287690027</v>
      </c>
      <c r="E29" s="39">
        <f>E16*$E$3*-1</f>
        <v>-455668.14026884595</v>
      </c>
      <c r="F29" s="39">
        <f t="shared" ref="F29:AB29" si="9">F16*$E$3*-1</f>
        <v>-479038.65903106367</v>
      </c>
      <c r="G29" s="39">
        <f t="shared" si="9"/>
        <v>-578097.11172372638</v>
      </c>
      <c r="H29" s="39">
        <f t="shared" si="9"/>
        <v>-659915.94109304145</v>
      </c>
      <c r="I29" s="39">
        <f t="shared" si="9"/>
        <v>-753571.02362031525</v>
      </c>
      <c r="J29" s="39">
        <f t="shared" si="9"/>
        <v>-568649.70307844237</v>
      </c>
      <c r="K29" s="39">
        <f t="shared" si="9"/>
        <v>-534735.82583039207</v>
      </c>
      <c r="L29" s="39">
        <f t="shared" si="9"/>
        <v>-635792.35756236687</v>
      </c>
      <c r="M29" s="39">
        <f t="shared" si="9"/>
        <v>-849901.64103515528</v>
      </c>
      <c r="N29" s="39">
        <f t="shared" si="9"/>
        <v>-887439.84505051374</v>
      </c>
      <c r="O29" s="39">
        <f t="shared" si="9"/>
        <v>-734919.14812152926</v>
      </c>
      <c r="P29" s="39">
        <f t="shared" si="9"/>
        <v>-700930.17571385042</v>
      </c>
      <c r="Q29" s="39">
        <f t="shared" si="9"/>
        <v>-716382.91000883747</v>
      </c>
      <c r="R29" s="39">
        <f t="shared" si="9"/>
        <v>-793118.61299725214</v>
      </c>
      <c r="S29" s="39">
        <f t="shared" si="9"/>
        <v>-800565.31343326613</v>
      </c>
      <c r="T29" s="39">
        <f t="shared" si="9"/>
        <v>-822088.05688500509</v>
      </c>
      <c r="U29" s="39">
        <f t="shared" si="9"/>
        <v>-850117.78073932359</v>
      </c>
      <c r="V29" s="39">
        <f t="shared" si="9"/>
        <v>-779476.10932364652</v>
      </c>
      <c r="W29" s="39">
        <f t="shared" si="9"/>
        <v>-1124627.5189891062</v>
      </c>
      <c r="X29" s="39">
        <f t="shared" si="9"/>
        <v>-1157526.5152850135</v>
      </c>
      <c r="Y29" s="39">
        <f t="shared" si="9"/>
        <v>-980168.61462450121</v>
      </c>
      <c r="Z29" s="39">
        <f t="shared" si="9"/>
        <v>-1217318.6341233344</v>
      </c>
      <c r="AA29" s="39">
        <f t="shared" si="9"/>
        <v>-1048994.7032538066</v>
      </c>
      <c r="AB29" s="39">
        <f t="shared" si="9"/>
        <v>-1124168.4029481041</v>
      </c>
    </row>
    <row r="30" spans="2:28" x14ac:dyDescent="0.45">
      <c r="B30" s="25" t="s">
        <v>49</v>
      </c>
      <c r="C30" s="39"/>
      <c r="D30" s="39">
        <f>D16*$E$4*-1</f>
        <v>-82327.105759790036</v>
      </c>
      <c r="E30" s="39">
        <f>E16*$E$4*-1</f>
        <v>-65969.865083698591</v>
      </c>
      <c r="F30" s="39">
        <f t="shared" ref="F30:AB30" si="10">F16*$E$4*-1</f>
        <v>-69353.358098527126</v>
      </c>
      <c r="G30" s="39">
        <f t="shared" si="10"/>
        <v>-83694.65647343501</v>
      </c>
      <c r="H30" s="39">
        <f t="shared" si="10"/>
        <v>-95540.069083619441</v>
      </c>
      <c r="I30" s="39">
        <f t="shared" si="10"/>
        <v>-109099.08849428444</v>
      </c>
      <c r="J30" s="39">
        <f t="shared" si="10"/>
        <v>-82326.897311356588</v>
      </c>
      <c r="K30" s="39">
        <f t="shared" si="10"/>
        <v>-77416.977769474674</v>
      </c>
      <c r="L30" s="39">
        <f t="shared" si="10"/>
        <v>-92047.550273954606</v>
      </c>
      <c r="M30" s="39">
        <f t="shared" si="10"/>
        <v>-123045.46146329859</v>
      </c>
      <c r="N30" s="39">
        <f t="shared" si="10"/>
        <v>-128480.09696999977</v>
      </c>
      <c r="O30" s="39">
        <f t="shared" si="10"/>
        <v>-106398.74233998259</v>
      </c>
      <c r="P30" s="39">
        <f t="shared" si="10"/>
        <v>-101477.95081230371</v>
      </c>
      <c r="Q30" s="39">
        <f t="shared" si="10"/>
        <v>-103715.13771769738</v>
      </c>
      <c r="R30" s="39">
        <f t="shared" si="10"/>
        <v>-114824.63501602008</v>
      </c>
      <c r="S30" s="39">
        <f t="shared" si="10"/>
        <v>-115902.73940750271</v>
      </c>
      <c r="T30" s="39">
        <f t="shared" si="10"/>
        <v>-119018.71868335149</v>
      </c>
      <c r="U30" s="39">
        <f t="shared" si="10"/>
        <v>-123076.753330917</v>
      </c>
      <c r="V30" s="39">
        <f t="shared" si="10"/>
        <v>-112849.52627521449</v>
      </c>
      <c r="W30" s="39">
        <f t="shared" si="10"/>
        <v>-162819.20797304969</v>
      </c>
      <c r="X30" s="39">
        <f t="shared" si="10"/>
        <v>-167582.19698902435</v>
      </c>
      <c r="Y30" s="39">
        <f t="shared" si="10"/>
        <v>-141905.00838593525</v>
      </c>
      <c r="Z30" s="39">
        <f t="shared" si="10"/>
        <v>-176238.66792531856</v>
      </c>
      <c r="AA30" s="39">
        <f t="shared" si="10"/>
        <v>-151869.382411372</v>
      </c>
      <c r="AB30" s="39">
        <f t="shared" si="10"/>
        <v>-162752.73893427776</v>
      </c>
    </row>
    <row r="31" spans="2:28" x14ac:dyDescent="0.45">
      <c r="B31" s="25" t="s">
        <v>50</v>
      </c>
      <c r="C31" s="39"/>
      <c r="D31" s="39">
        <f t="shared" ref="D31:AB31" si="11">($K$3*$C$5)*-1*(1+$C$3)^D14</f>
        <v>-597342.6</v>
      </c>
      <c r="E31" s="39">
        <f t="shared" si="11"/>
        <v>-609289.45200000005</v>
      </c>
      <c r="F31" s="39">
        <f t="shared" si="11"/>
        <v>-621475.24103999999</v>
      </c>
      <c r="G31" s="39">
        <f t="shared" si="11"/>
        <v>-633904.74586080003</v>
      </c>
      <c r="H31" s="39">
        <f t="shared" si="11"/>
        <v>-646582.84077801602</v>
      </c>
      <c r="I31" s="39">
        <f t="shared" si="11"/>
        <v>-659514.49759357632</v>
      </c>
      <c r="J31" s="39">
        <f t="shared" si="11"/>
        <v>-672704.7875454477</v>
      </c>
      <c r="K31" s="39">
        <f t="shared" si="11"/>
        <v>-686158.88329635677</v>
      </c>
      <c r="L31" s="39">
        <f t="shared" si="11"/>
        <v>-699882.06096228387</v>
      </c>
      <c r="M31" s="39">
        <f t="shared" si="11"/>
        <v>-713879.7021815296</v>
      </c>
      <c r="N31" s="39">
        <f t="shared" si="11"/>
        <v>-728157.29622516001</v>
      </c>
      <c r="O31" s="39">
        <f t="shared" si="11"/>
        <v>-742720.44214966334</v>
      </c>
      <c r="P31" s="39">
        <f t="shared" si="11"/>
        <v>-757574.85099265666</v>
      </c>
      <c r="Q31" s="39">
        <f t="shared" si="11"/>
        <v>-772726.34801250987</v>
      </c>
      <c r="R31" s="39">
        <f t="shared" si="11"/>
        <v>-788180.87497275975</v>
      </c>
      <c r="S31" s="39">
        <f t="shared" si="11"/>
        <v>-803944.49247221509</v>
      </c>
      <c r="T31" s="39">
        <f t="shared" si="11"/>
        <v>-820023.38232165948</v>
      </c>
      <c r="U31" s="39">
        <f t="shared" si="11"/>
        <v>-836423.84996809263</v>
      </c>
      <c r="V31" s="39">
        <f t="shared" si="11"/>
        <v>-853152.3269674544</v>
      </c>
      <c r="W31" s="39">
        <f t="shared" si="11"/>
        <v>-870215.37350680365</v>
      </c>
      <c r="X31" s="39">
        <f t="shared" si="11"/>
        <v>-887619.68097693962</v>
      </c>
      <c r="Y31" s="39">
        <f t="shared" si="11"/>
        <v>-905372.07459647849</v>
      </c>
      <c r="Z31" s="39">
        <f t="shared" si="11"/>
        <v>-923479.51608840784</v>
      </c>
      <c r="AA31" s="39">
        <f t="shared" si="11"/>
        <v>-941949.10641017603</v>
      </c>
      <c r="AB31" s="39">
        <f t="shared" si="11"/>
        <v>-960788.08853837952</v>
      </c>
    </row>
    <row r="32" spans="2:28" x14ac:dyDescent="0.45">
      <c r="B32" s="25" t="s">
        <v>12</v>
      </c>
      <c r="C32" s="39"/>
      <c r="D32" s="39">
        <f>D21*$E$5</f>
        <v>-135639.89942630398</v>
      </c>
      <c r="E32" s="39">
        <f>E21*$E$5</f>
        <v>-148200.15411317977</v>
      </c>
      <c r="F32" s="39">
        <f t="shared" ref="F32:AB32" si="12">F21*$E$5</f>
        <v>-161923.48838406021</v>
      </c>
      <c r="G32" s="39">
        <f t="shared" si="12"/>
        <v>-176917.60340842413</v>
      </c>
      <c r="H32" s="39">
        <f t="shared" si="12"/>
        <v>-180486.49651200001</v>
      </c>
      <c r="I32" s="39">
        <f t="shared" si="12"/>
        <v>-184096.22644224</v>
      </c>
      <c r="J32" s="39">
        <f t="shared" si="12"/>
        <v>-187778.15097108475</v>
      </c>
      <c r="K32" s="39">
        <f t="shared" si="12"/>
        <v>-191533.71399050648</v>
      </c>
      <c r="L32" s="39">
        <f t="shared" si="12"/>
        <v>-347794.61391360004</v>
      </c>
      <c r="M32" s="39">
        <f t="shared" si="12"/>
        <v>-354750.506191872</v>
      </c>
      <c r="N32" s="39">
        <f t="shared" si="12"/>
        <v>-361845.51631570939</v>
      </c>
      <c r="O32" s="39">
        <f t="shared" si="12"/>
        <v>-369082.42664202367</v>
      </c>
      <c r="P32" s="39">
        <f t="shared" si="12"/>
        <v>-376464.07517486415</v>
      </c>
      <c r="Q32" s="39">
        <f t="shared" si="12"/>
        <v>-383993.35667836142</v>
      </c>
      <c r="R32" s="39">
        <f t="shared" si="12"/>
        <v>-391673.22381192853</v>
      </c>
      <c r="S32" s="39">
        <f t="shared" si="12"/>
        <v>-399506.68828816718</v>
      </c>
      <c r="T32" s="39">
        <f t="shared" si="12"/>
        <v>-407496.82205393049</v>
      </c>
      <c r="U32" s="39">
        <f t="shared" si="12"/>
        <v>-415646.75849500916</v>
      </c>
      <c r="V32" s="39">
        <f t="shared" si="12"/>
        <v>-423959.69366490922</v>
      </c>
      <c r="W32" s="39">
        <f t="shared" si="12"/>
        <v>-432438.88753820752</v>
      </c>
      <c r="X32" s="39">
        <f t="shared" si="12"/>
        <v>-441087.66528897162</v>
      </c>
      <c r="Y32" s="39">
        <f>Y21*$E$5</f>
        <v>-449909.41859475116</v>
      </c>
      <c r="Z32" s="39">
        <f t="shared" si="12"/>
        <v>-458907.60696664598</v>
      </c>
      <c r="AA32" s="39">
        <f t="shared" si="12"/>
        <v>-468085.75910597894</v>
      </c>
      <c r="AB32" s="39">
        <f t="shared" si="12"/>
        <v>-477447.47428809863</v>
      </c>
    </row>
    <row r="33" spans="2:28" x14ac:dyDescent="0.45">
      <c r="B33" s="26" t="s">
        <v>10</v>
      </c>
      <c r="C33" s="39"/>
      <c r="D33" s="39">
        <f t="shared" ref="D33:AB33" si="13">(-$K$4)*(1+$E$11)^D14</f>
        <v>-64121.509399999995</v>
      </c>
      <c r="E33" s="39">
        <f t="shared" si="13"/>
        <v>-65589.891965259987</v>
      </c>
      <c r="F33" s="39">
        <f t="shared" si="13"/>
        <v>-67091.90049126443</v>
      </c>
      <c r="G33" s="39">
        <f t="shared" si="13"/>
        <v>-68628.305012514378</v>
      </c>
      <c r="H33" s="39">
        <f t="shared" si="13"/>
        <v>-70199.893197300946</v>
      </c>
      <c r="I33" s="39">
        <f t="shared" si="13"/>
        <v>-71807.470751519126</v>
      </c>
      <c r="J33" s="39">
        <f t="shared" si="13"/>
        <v>-73451.861831728907</v>
      </c>
      <c r="K33" s="39">
        <f t="shared" si="13"/>
        <v>-75133.909467675476</v>
      </c>
      <c r="L33" s="39">
        <f t="shared" si="13"/>
        <v>-76854.475994485241</v>
      </c>
      <c r="M33" s="39">
        <f t="shared" si="13"/>
        <v>-78614.443494758947</v>
      </c>
      <c r="N33" s="39">
        <f t="shared" si="13"/>
        <v>-80414.714250788922</v>
      </c>
      <c r="O33" s="39">
        <f t="shared" si="13"/>
        <v>-82256.211207131972</v>
      </c>
      <c r="P33" s="39">
        <f t="shared" si="13"/>
        <v>-84139.878443775277</v>
      </c>
      <c r="Q33" s="39">
        <f t="shared" si="13"/>
        <v>-86066.681660137721</v>
      </c>
      <c r="R33" s="39">
        <f t="shared" si="13"/>
        <v>-88037.608670154863</v>
      </c>
      <c r="S33" s="39">
        <f t="shared" si="13"/>
        <v>-90053.669908701384</v>
      </c>
      <c r="T33" s="39">
        <f t="shared" si="13"/>
        <v>-92115.898949610637</v>
      </c>
      <c r="U33" s="39">
        <f t="shared" si="13"/>
        <v>-94225.353035556705</v>
      </c>
      <c r="V33" s="39">
        <f t="shared" si="13"/>
        <v>-96383.113620070944</v>
      </c>
      <c r="W33" s="39">
        <f t="shared" si="13"/>
        <v>-98590.286921970561</v>
      </c>
      <c r="X33" s="39">
        <f t="shared" si="13"/>
        <v>-100848.00449248367</v>
      </c>
      <c r="Y33" s="39">
        <f t="shared" si="13"/>
        <v>-103157.42379536154</v>
      </c>
      <c r="Z33" s="39">
        <f t="shared" si="13"/>
        <v>-105519.7288002753</v>
      </c>
      <c r="AA33" s="39">
        <f t="shared" si="13"/>
        <v>-107936.13058980157</v>
      </c>
      <c r="AB33" s="39">
        <f t="shared" si="13"/>
        <v>-110407.86798030802</v>
      </c>
    </row>
    <row r="34" spans="2:28" x14ac:dyDescent="0.45">
      <c r="B34" s="27" t="s">
        <v>51</v>
      </c>
      <c r="C34" s="39"/>
      <c r="D34" s="39">
        <f t="shared" ref="D34:AB34" si="14">SUM(D21:D33)</f>
        <v>-20792314.060700264</v>
      </c>
      <c r="E34" s="39">
        <f t="shared" si="14"/>
        <v>-20134191.242547885</v>
      </c>
      <c r="F34" s="39">
        <f t="shared" si="14"/>
        <v>-21470595.08353344</v>
      </c>
      <c r="G34" s="39">
        <f t="shared" si="14"/>
        <v>-24197393.474636581</v>
      </c>
      <c r="H34" s="39">
        <f t="shared" si="14"/>
        <v>-25834794.25807384</v>
      </c>
      <c r="I34" s="39">
        <f t="shared" si="14"/>
        <v>-27817368.535477098</v>
      </c>
      <c r="J34" s="39">
        <f t="shared" si="14"/>
        <v>-24773514.092939861</v>
      </c>
      <c r="K34" s="39">
        <f t="shared" si="14"/>
        <v>-24113058.683928885</v>
      </c>
      <c r="L34" s="39">
        <f t="shared" si="14"/>
        <v>-35206820.14562054</v>
      </c>
      <c r="M34" s="39">
        <f t="shared" si="14"/>
        <v>-39147251.930460535</v>
      </c>
      <c r="N34" s="39">
        <f t="shared" si="14"/>
        <v>-40476593.395403147</v>
      </c>
      <c r="O34" s="39">
        <f t="shared" si="14"/>
        <v>-38718459.205279864</v>
      </c>
      <c r="P34" s="39">
        <f t="shared" si="14"/>
        <v>-38428849.281275369</v>
      </c>
      <c r="Q34" s="39">
        <f t="shared" si="14"/>
        <v>-39423984.493830614</v>
      </c>
      <c r="R34" s="39">
        <f t="shared" si="14"/>
        <v>-41267054.721690908</v>
      </c>
      <c r="S34" s="39">
        <f t="shared" si="14"/>
        <v>-41507653.191947781</v>
      </c>
      <c r="T34" s="39">
        <f t="shared" si="14"/>
        <v>-42257251.977123789</v>
      </c>
      <c r="U34" s="39">
        <f t="shared" si="14"/>
        <v>-44194241.784874104</v>
      </c>
      <c r="V34" s="39">
        <f t="shared" si="14"/>
        <v>-42906144.783569582</v>
      </c>
      <c r="W34" s="39">
        <f t="shared" si="14"/>
        <v>-49795757.773526058</v>
      </c>
      <c r="X34" s="39">
        <f t="shared" si="14"/>
        <v>-50759732.250352383</v>
      </c>
      <c r="Y34" s="39">
        <f t="shared" si="14"/>
        <v>-48630678.26689963</v>
      </c>
      <c r="Z34" s="39">
        <f t="shared" si="14"/>
        <v>-52775538.316454716</v>
      </c>
      <c r="AA34" s="39">
        <f t="shared" si="14"/>
        <v>-50867589.98492001</v>
      </c>
      <c r="AB34" s="39">
        <f t="shared" si="14"/>
        <v>-52838298.933451273</v>
      </c>
    </row>
    <row r="35" spans="2:28" x14ac:dyDescent="0.45">
      <c r="B35" s="28" t="s">
        <v>52</v>
      </c>
      <c r="C35" s="39"/>
      <c r="D35" s="39">
        <f>SUM(D18:D33)</f>
        <v>66497270.099939786</v>
      </c>
      <c r="E35" s="39">
        <f t="shared" ref="E35:AB35" si="15">SUM(E18:E33)</f>
        <v>51462032.079386838</v>
      </c>
      <c r="F35" s="39">
        <f t="shared" si="15"/>
        <v>53823789.659035899</v>
      </c>
      <c r="G35" s="39">
        <f t="shared" si="15"/>
        <v>66170611.413619459</v>
      </c>
      <c r="H35" s="39">
        <f t="shared" si="15"/>
        <v>76729193.042528063</v>
      </c>
      <c r="I35" s="39">
        <f t="shared" si="15"/>
        <v>89060468.784036368</v>
      </c>
      <c r="J35" s="39">
        <f t="shared" si="15"/>
        <v>64067148.525271237</v>
      </c>
      <c r="K35" s="39">
        <f t="shared" si="15"/>
        <v>58778603.659436628</v>
      </c>
      <c r="L35" s="39">
        <f t="shared" si="15"/>
        <v>62991828.18896389</v>
      </c>
      <c r="M35" s="39">
        <f t="shared" si="15"/>
        <v>90634038.816750005</v>
      </c>
      <c r="N35" s="39">
        <f t="shared" si="15"/>
        <v>95458618.859465808</v>
      </c>
      <c r="O35" s="39">
        <f t="shared" si="15"/>
        <v>75312103.469870403</v>
      </c>
      <c r="P35" s="39">
        <f t="shared" si="15"/>
        <v>70020896.36550577</v>
      </c>
      <c r="Q35" s="39">
        <f t="shared" si="15"/>
        <v>71911192.865976349</v>
      </c>
      <c r="R35" s="39">
        <f t="shared" si="15"/>
        <v>81601279.87535584</v>
      </c>
      <c r="S35" s="39">
        <f t="shared" si="15"/>
        <v>81461810.012700453</v>
      </c>
      <c r="T35" s="39">
        <f t="shared" si="15"/>
        <v>83560933.117166772</v>
      </c>
      <c r="U35" s="39">
        <f t="shared" si="15"/>
        <v>88096156.234510943</v>
      </c>
      <c r="V35" s="39">
        <f t="shared" si="15"/>
        <v>77240456.127924174</v>
      </c>
      <c r="W35" s="39">
        <f t="shared" si="15"/>
        <v>123051592.71450582</v>
      </c>
      <c r="X35" s="39">
        <f t="shared" si="15"/>
        <v>126579027.54616895</v>
      </c>
      <c r="Y35" s="39">
        <f t="shared" si="15"/>
        <v>102958611.42202874</v>
      </c>
      <c r="Z35" s="39">
        <f t="shared" si="15"/>
        <v>133034860.33904889</v>
      </c>
      <c r="AA35" s="39">
        <f t="shared" si="15"/>
        <v>110651872.93715909</v>
      </c>
      <c r="AB35" s="39">
        <f t="shared" si="15"/>
        <v>120086281.17971508</v>
      </c>
    </row>
    <row r="36" spans="2:28" x14ac:dyDescent="0.45">
      <c r="B36" s="29"/>
      <c r="C36" s="39"/>
      <c r="D36" s="39"/>
      <c r="E36" s="39"/>
      <c r="F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</row>
    <row r="37" spans="2:28" x14ac:dyDescent="0.45">
      <c r="B37" s="23" t="s">
        <v>53</v>
      </c>
      <c r="C37" s="39"/>
      <c r="D37" s="39">
        <f>D35*$E$6*-1</f>
        <v>-2659890.8039975916</v>
      </c>
      <c r="E37" s="39">
        <f>E35*$E$6*-1</f>
        <v>-2058481.2831754736</v>
      </c>
      <c r="F37" s="39">
        <f>F35*$E$6*-1</f>
        <v>-2152951.5863614362</v>
      </c>
      <c r="G37" s="39">
        <f t="shared" ref="G37:AB37" si="16">G35*$E$6*-1</f>
        <v>-2646824.4565447783</v>
      </c>
      <c r="H37" s="39">
        <f t="shared" si="16"/>
        <v>-3069167.7217011224</v>
      </c>
      <c r="I37" s="39">
        <f t="shared" si="16"/>
        <v>-3562418.7513614548</v>
      </c>
      <c r="J37" s="39">
        <f t="shared" si="16"/>
        <v>-2562685.9410108496</v>
      </c>
      <c r="K37" s="39">
        <f t="shared" si="16"/>
        <v>-2351144.1463774652</v>
      </c>
      <c r="L37" s="39">
        <f t="shared" si="16"/>
        <v>-2519673.1275585555</v>
      </c>
      <c r="M37" s="39">
        <f t="shared" si="16"/>
        <v>-3625361.5526700001</v>
      </c>
      <c r="N37" s="39">
        <f t="shared" si="16"/>
        <v>-3818344.7543786322</v>
      </c>
      <c r="O37" s="39">
        <f t="shared" si="16"/>
        <v>-3012484.1387948161</v>
      </c>
      <c r="P37" s="39">
        <f t="shared" si="16"/>
        <v>-2800835.8546202308</v>
      </c>
      <c r="Q37" s="39">
        <f t="shared" si="16"/>
        <v>-2876447.7146390541</v>
      </c>
      <c r="R37" s="39">
        <f t="shared" si="16"/>
        <v>-3264051.1950142337</v>
      </c>
      <c r="S37" s="39">
        <f t="shared" si="16"/>
        <v>-3258472.4005080182</v>
      </c>
      <c r="T37" s="39">
        <f t="shared" si="16"/>
        <v>-3342437.3246866711</v>
      </c>
      <c r="U37" s="39">
        <f t="shared" si="16"/>
        <v>-3523846.2493804377</v>
      </c>
      <c r="V37" s="39">
        <f t="shared" si="16"/>
        <v>-3089618.2451169672</v>
      </c>
      <c r="W37" s="39">
        <f t="shared" si="16"/>
        <v>-4922063.7085802332</v>
      </c>
      <c r="X37" s="39">
        <f t="shared" si="16"/>
        <v>-5063161.1018467583</v>
      </c>
      <c r="Y37" s="39">
        <f t="shared" si="16"/>
        <v>-4118344.4568811497</v>
      </c>
      <c r="Z37" s="39">
        <f t="shared" si="16"/>
        <v>-5321394.413561956</v>
      </c>
      <c r="AA37" s="39">
        <f t="shared" si="16"/>
        <v>-4426074.917486364</v>
      </c>
      <c r="AB37" s="39">
        <f t="shared" si="16"/>
        <v>-4803451.2471886035</v>
      </c>
    </row>
    <row r="38" spans="2:28" x14ac:dyDescent="0.45">
      <c r="B38" s="23" t="s">
        <v>54</v>
      </c>
      <c r="C38" s="39"/>
      <c r="D38" s="39">
        <f>D35*$E$7*-1</f>
        <v>-23939017.23597832</v>
      </c>
      <c r="E38" s="39">
        <f>E35*$E$7*-1</f>
        <v>-18526331.548579261</v>
      </c>
      <c r="F38" s="39">
        <f t="shared" ref="F38:AB38" si="17">F35*$E$7*-1</f>
        <v>-19376564.277252924</v>
      </c>
      <c r="G38" s="39">
        <f t="shared" si="17"/>
        <v>-23821420.108903006</v>
      </c>
      <c r="H38" s="39">
        <f t="shared" si="17"/>
        <v>-27622509.495310102</v>
      </c>
      <c r="I38" s="39">
        <f t="shared" si="17"/>
        <v>-32061768.762253091</v>
      </c>
      <c r="J38" s="39">
        <f t="shared" si="17"/>
        <v>-23064173.469097644</v>
      </c>
      <c r="K38" s="39">
        <f t="shared" si="17"/>
        <v>-21160297.317397185</v>
      </c>
      <c r="L38" s="39">
        <f t="shared" si="17"/>
        <v>-22677058.148026999</v>
      </c>
      <c r="M38" s="39">
        <f t="shared" si="17"/>
        <v>-32628253.974029999</v>
      </c>
      <c r="N38" s="39">
        <f t="shared" si="17"/>
        <v>-34365102.789407693</v>
      </c>
      <c r="O38" s="39">
        <f t="shared" si="17"/>
        <v>-27112357.249153346</v>
      </c>
      <c r="P38" s="39">
        <f t="shared" si="17"/>
        <v>-25207522.691582076</v>
      </c>
      <c r="Q38" s="39">
        <f t="shared" si="17"/>
        <v>-25888029.431751486</v>
      </c>
      <c r="R38" s="39">
        <f t="shared" si="17"/>
        <v>-29376460.755128101</v>
      </c>
      <c r="S38" s="39">
        <f t="shared" si="17"/>
        <v>-29326251.604572162</v>
      </c>
      <c r="T38" s="39">
        <f t="shared" si="17"/>
        <v>-30081935.922180038</v>
      </c>
      <c r="U38" s="39">
        <f t="shared" si="17"/>
        <v>-31714616.244423937</v>
      </c>
      <c r="V38" s="39">
        <f t="shared" si="17"/>
        <v>-27806564.206052702</v>
      </c>
      <c r="W38" s="39">
        <f t="shared" si="17"/>
        <v>-44298573.377222091</v>
      </c>
      <c r="X38" s="39">
        <f t="shared" si="17"/>
        <v>-45568449.916620821</v>
      </c>
      <c r="Y38" s="39">
        <f t="shared" si="17"/>
        <v>-37065100.111930341</v>
      </c>
      <c r="Z38" s="39">
        <f t="shared" si="17"/>
        <v>-47892549.722057596</v>
      </c>
      <c r="AA38" s="39">
        <f t="shared" si="17"/>
        <v>-39834674.257377274</v>
      </c>
      <c r="AB38" s="39">
        <f t="shared" si="17"/>
        <v>-43231061.224697426</v>
      </c>
    </row>
    <row r="39" spans="2:28" x14ac:dyDescent="0.45">
      <c r="B39" s="24" t="s">
        <v>55</v>
      </c>
      <c r="C39" s="39"/>
      <c r="D39" s="39">
        <f>SUM(D37:D38)</f>
        <v>-26598908.039975911</v>
      </c>
      <c r="E39" s="39">
        <f t="shared" ref="E39:AB39" si="18">SUM(E37:E38)</f>
        <v>-20584812.831754733</v>
      </c>
      <c r="F39" s="39">
        <f t="shared" si="18"/>
        <v>-21529515.863614358</v>
      </c>
      <c r="G39" s="39">
        <f t="shared" si="18"/>
        <v>-26468244.565447785</v>
      </c>
      <c r="H39" s="39">
        <f t="shared" si="18"/>
        <v>-30691677.217011224</v>
      </c>
      <c r="I39" s="39">
        <f t="shared" si="18"/>
        <v>-35624187.513614543</v>
      </c>
      <c r="J39" s="39">
        <f t="shared" si="18"/>
        <v>-25626859.410108492</v>
      </c>
      <c r="K39" s="39">
        <f t="shared" si="18"/>
        <v>-23511441.463774651</v>
      </c>
      <c r="L39" s="39">
        <f t="shared" si="18"/>
        <v>-25196731.275585555</v>
      </c>
      <c r="M39" s="39">
        <f t="shared" si="18"/>
        <v>-36253615.526699997</v>
      </c>
      <c r="N39" s="39">
        <f t="shared" si="18"/>
        <v>-38183447.543786325</v>
      </c>
      <c r="O39" s="39">
        <f t="shared" si="18"/>
        <v>-30124841.387948163</v>
      </c>
      <c r="P39" s="39">
        <f t="shared" si="18"/>
        <v>-28008358.546202306</v>
      </c>
      <c r="Q39" s="39">
        <f t="shared" si="18"/>
        <v>-28764477.146390539</v>
      </c>
      <c r="R39" s="39">
        <f t="shared" si="18"/>
        <v>-32640511.950142335</v>
      </c>
      <c r="S39" s="39">
        <f t="shared" si="18"/>
        <v>-32584724.005080178</v>
      </c>
      <c r="T39" s="39">
        <f t="shared" si="18"/>
        <v>-33424373.24686671</v>
      </c>
      <c r="U39" s="39">
        <f t="shared" si="18"/>
        <v>-35238462.493804373</v>
      </c>
      <c r="V39" s="39">
        <f t="shared" si="18"/>
        <v>-30896182.45116967</v>
      </c>
      <c r="W39" s="39">
        <f t="shared" si="18"/>
        <v>-49220637.085802324</v>
      </c>
      <c r="X39" s="39">
        <f t="shared" si="18"/>
        <v>-50631611.018467575</v>
      </c>
      <c r="Y39" s="39">
        <f t="shared" si="18"/>
        <v>-41183444.568811491</v>
      </c>
      <c r="Z39" s="39">
        <f t="shared" si="18"/>
        <v>-53213944.135619551</v>
      </c>
      <c r="AA39" s="39">
        <f t="shared" si="18"/>
        <v>-44260749.174863636</v>
      </c>
      <c r="AB39" s="39">
        <f t="shared" si="18"/>
        <v>-48034512.471886031</v>
      </c>
    </row>
    <row r="40" spans="2:28" x14ac:dyDescent="0.45">
      <c r="B40" s="2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2:28" x14ac:dyDescent="0.45">
      <c r="B41" s="23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</row>
    <row r="42" spans="2:28" x14ac:dyDescent="0.45">
      <c r="B42" s="25" t="s">
        <v>57</v>
      </c>
      <c r="C42" s="39"/>
      <c r="D42" s="39">
        <f t="shared" ref="D42:AB42" si="19">$K$7*$C$5*(1+$C$3)^D14*-1</f>
        <v>-1274661.3600000001</v>
      </c>
      <c r="E42" s="39">
        <f t="shared" si="19"/>
        <v>-1300154.5872</v>
      </c>
      <c r="F42" s="39">
        <f t="shared" si="19"/>
        <v>-1326157.6789439998</v>
      </c>
      <c r="G42" s="39">
        <f t="shared" si="19"/>
        <v>-1352680.8325228801</v>
      </c>
      <c r="H42" s="39">
        <f t="shared" si="19"/>
        <v>-1379734.4491733375</v>
      </c>
      <c r="I42" s="39">
        <f t="shared" si="19"/>
        <v>-1407329.1381568045</v>
      </c>
      <c r="J42" s="39">
        <f t="shared" si="19"/>
        <v>-1435475.7209199402</v>
      </c>
      <c r="K42" s="39">
        <f t="shared" si="19"/>
        <v>-1464185.2353383391</v>
      </c>
      <c r="L42" s="39">
        <f t="shared" si="19"/>
        <v>-1493468.940045106</v>
      </c>
      <c r="M42" s="39">
        <f t="shared" si="19"/>
        <v>-1523338.318846008</v>
      </c>
      <c r="N42" s="39">
        <f t="shared" si="19"/>
        <v>-1553805.0852229281</v>
      </c>
      <c r="O42" s="39">
        <f t="shared" si="19"/>
        <v>-1584881.1869273868</v>
      </c>
      <c r="P42" s="39">
        <f t="shared" si="19"/>
        <v>-1616578.8106659343</v>
      </c>
      <c r="Q42" s="39">
        <f t="shared" si="19"/>
        <v>-1648910.3868792532</v>
      </c>
      <c r="R42" s="39">
        <f t="shared" si="19"/>
        <v>-1681888.5946168378</v>
      </c>
      <c r="S42" s="39">
        <f t="shared" si="19"/>
        <v>-1715526.3665091749</v>
      </c>
      <c r="T42" s="39">
        <f t="shared" si="19"/>
        <v>-1749836.8938393586</v>
      </c>
      <c r="U42" s="39">
        <f t="shared" si="19"/>
        <v>-1784833.6317161457</v>
      </c>
      <c r="V42" s="39">
        <f t="shared" si="19"/>
        <v>-1820530.3043504683</v>
      </c>
      <c r="W42" s="39">
        <f t="shared" si="19"/>
        <v>-1856940.910437478</v>
      </c>
      <c r="X42" s="39">
        <f t="shared" si="19"/>
        <v>-1894079.7286462274</v>
      </c>
      <c r="Y42" s="39">
        <f t="shared" si="19"/>
        <v>-1931961.3232191522</v>
      </c>
      <c r="Z42" s="39">
        <f t="shared" si="19"/>
        <v>-1970600.5496835348</v>
      </c>
      <c r="AA42" s="39">
        <f t="shared" si="19"/>
        <v>-2010012.5606772054</v>
      </c>
      <c r="AB42" s="39">
        <f t="shared" si="19"/>
        <v>-2050212.8118907497</v>
      </c>
    </row>
    <row r="43" spans="2:28" x14ac:dyDescent="0.45">
      <c r="B43" s="25" t="s">
        <v>58</v>
      </c>
      <c r="C43" s="39"/>
      <c r="D43" s="39">
        <f t="shared" ref="D43:AB43" si="20">$K$8*$C$5*(1+$C$3)^D14*-1</f>
        <v>-2684489.04</v>
      </c>
      <c r="E43" s="39">
        <f t="shared" si="20"/>
        <v>-2738178.8207999999</v>
      </c>
      <c r="F43" s="39">
        <f t="shared" si="20"/>
        <v>-2792942.3972159997</v>
      </c>
      <c r="G43" s="39">
        <f t="shared" si="20"/>
        <v>-2848801.2451603198</v>
      </c>
      <c r="H43" s="39">
        <f t="shared" si="20"/>
        <v>-2905777.2700635265</v>
      </c>
      <c r="I43" s="39">
        <f t="shared" si="20"/>
        <v>-2963892.815464797</v>
      </c>
      <c r="J43" s="39">
        <f t="shared" si="20"/>
        <v>-3023170.6717740926</v>
      </c>
      <c r="K43" s="39">
        <f t="shared" si="20"/>
        <v>-3083634.0852095746</v>
      </c>
      <c r="L43" s="39">
        <f t="shared" si="20"/>
        <v>-3145306.766913766</v>
      </c>
      <c r="M43" s="39">
        <f t="shared" si="20"/>
        <v>-3208212.9022520413</v>
      </c>
      <c r="N43" s="39">
        <f t="shared" si="20"/>
        <v>-3272377.1602970818</v>
      </c>
      <c r="O43" s="39">
        <f t="shared" si="20"/>
        <v>-3337824.7035030238</v>
      </c>
      <c r="P43" s="39">
        <f t="shared" si="20"/>
        <v>-3404581.1975730839</v>
      </c>
      <c r="Q43" s="39">
        <f t="shared" si="20"/>
        <v>-3472672.821524546</v>
      </c>
      <c r="R43" s="39">
        <f t="shared" si="20"/>
        <v>-3542126.2779550361</v>
      </c>
      <c r="S43" s="39">
        <f t="shared" si="20"/>
        <v>-3612968.8035141374</v>
      </c>
      <c r="T43" s="39">
        <f t="shared" si="20"/>
        <v>-3685228.1795844208</v>
      </c>
      <c r="U43" s="39">
        <f t="shared" si="20"/>
        <v>-3758932.7431761087</v>
      </c>
      <c r="V43" s="39">
        <f t="shared" si="20"/>
        <v>-3834111.3980396306</v>
      </c>
      <c r="W43" s="39">
        <f t="shared" si="20"/>
        <v>-3910793.6260004235</v>
      </c>
      <c r="X43" s="39">
        <f t="shared" si="20"/>
        <v>-3989009.4985204316</v>
      </c>
      <c r="Y43" s="39">
        <f t="shared" si="20"/>
        <v>-4068789.6884908406</v>
      </c>
      <c r="Z43" s="39">
        <f t="shared" si="20"/>
        <v>-4150165.4822606565</v>
      </c>
      <c r="AA43" s="39">
        <f t="shared" si="20"/>
        <v>-4233168.7919058697</v>
      </c>
      <c r="AB43" s="39">
        <f t="shared" si="20"/>
        <v>-4317832.1677439874</v>
      </c>
    </row>
    <row r="44" spans="2:28" x14ac:dyDescent="0.45">
      <c r="B44" s="25" t="s">
        <v>59</v>
      </c>
      <c r="C44" s="39"/>
      <c r="D44" s="39">
        <f t="shared" ref="D44:AB44" si="21">$K$9*$C$5*(1+$C$3)^D14*-1</f>
        <v>-1459069.2</v>
      </c>
      <c r="E44" s="39">
        <f t="shared" si="21"/>
        <v>-1488250.584</v>
      </c>
      <c r="F44" s="39">
        <f t="shared" si="21"/>
        <v>-1518015.5956799998</v>
      </c>
      <c r="G44" s="39">
        <f t="shared" si="21"/>
        <v>-1548375.9075936</v>
      </c>
      <c r="H44" s="39">
        <f t="shared" si="21"/>
        <v>-1579343.4257454721</v>
      </c>
      <c r="I44" s="39">
        <f t="shared" si="21"/>
        <v>-1610930.2942603815</v>
      </c>
      <c r="J44" s="39">
        <f t="shared" si="21"/>
        <v>-1643148.9001455889</v>
      </c>
      <c r="K44" s="39">
        <f t="shared" si="21"/>
        <v>-1676011.8781485008</v>
      </c>
      <c r="L44" s="39">
        <f t="shared" si="21"/>
        <v>-1709532.1157114708</v>
      </c>
      <c r="M44" s="39">
        <f t="shared" si="21"/>
        <v>-1743722.7580257002</v>
      </c>
      <c r="N44" s="39">
        <f t="shared" si="21"/>
        <v>-1778597.213186214</v>
      </c>
      <c r="O44" s="39">
        <f t="shared" si="21"/>
        <v>-1814169.1574499386</v>
      </c>
      <c r="P44" s="39">
        <f t="shared" si="21"/>
        <v>-1850452.5405989371</v>
      </c>
      <c r="Q44" s="39">
        <f t="shared" si="21"/>
        <v>-1887461.5914109161</v>
      </c>
      <c r="R44" s="39">
        <f t="shared" si="21"/>
        <v>-1925210.8232391339</v>
      </c>
      <c r="S44" s="39">
        <f t="shared" si="21"/>
        <v>-1963715.039703917</v>
      </c>
      <c r="T44" s="39">
        <f t="shared" si="21"/>
        <v>-2002989.3404979955</v>
      </c>
      <c r="U44" s="39">
        <f t="shared" si="21"/>
        <v>-2043049.1273079552</v>
      </c>
      <c r="V44" s="39">
        <f t="shared" si="21"/>
        <v>-2083910.109854114</v>
      </c>
      <c r="W44" s="39">
        <f t="shared" si="21"/>
        <v>-2125588.3120511966</v>
      </c>
      <c r="X44" s="39">
        <f t="shared" si="21"/>
        <v>-2168100.0782922204</v>
      </c>
      <c r="Y44" s="39">
        <f t="shared" si="21"/>
        <v>-2211462.0798580651</v>
      </c>
      <c r="Z44" s="39">
        <f t="shared" si="21"/>
        <v>-2255691.3214552258</v>
      </c>
      <c r="AA44" s="39">
        <f t="shared" si="21"/>
        <v>-2300805.1478843302</v>
      </c>
      <c r="AB44" s="39">
        <f t="shared" si="21"/>
        <v>-2346821.2508420171</v>
      </c>
    </row>
    <row r="45" spans="2:28" x14ac:dyDescent="0.45">
      <c r="B45" s="25" t="s">
        <v>14</v>
      </c>
      <c r="C45" s="39"/>
      <c r="D45" s="39">
        <f t="shared" ref="D45:AB45" si="22">$K$5*(1+$C$3)^D14*-1</f>
        <v>-1711751.76</v>
      </c>
      <c r="E45" s="39">
        <f t="shared" si="22"/>
        <v>-1745986.7952000001</v>
      </c>
      <c r="F45" s="39">
        <f t="shared" si="22"/>
        <v>-1780906.5311039998</v>
      </c>
      <c r="G45" s="39">
        <f t="shared" si="22"/>
        <v>-1816524.6617260799</v>
      </c>
      <c r="H45" s="39">
        <f t="shared" si="22"/>
        <v>-1852855.1549606016</v>
      </c>
      <c r="I45" s="39">
        <f t="shared" si="22"/>
        <v>-1889912.2580598136</v>
      </c>
      <c r="J45" s="39">
        <f t="shared" si="22"/>
        <v>-1927710.5032210096</v>
      </c>
      <c r="K45" s="39">
        <f t="shared" si="22"/>
        <v>-1966264.7132854299</v>
      </c>
      <c r="L45" s="39">
        <f t="shared" si="22"/>
        <v>-2005590.0075511385</v>
      </c>
      <c r="M45" s="39">
        <f t="shared" si="22"/>
        <v>-2045701.8077021614</v>
      </c>
      <c r="N45" s="39">
        <f t="shared" si="22"/>
        <v>-2086615.8438562043</v>
      </c>
      <c r="O45" s="39">
        <f t="shared" si="22"/>
        <v>-2128348.1607333287</v>
      </c>
      <c r="P45" s="39">
        <f t="shared" si="22"/>
        <v>-2170915.1239479952</v>
      </c>
      <c r="Q45" s="39">
        <f t="shared" si="22"/>
        <v>-2214333.4264269555</v>
      </c>
      <c r="R45" s="39">
        <f t="shared" si="22"/>
        <v>-2258620.0949554937</v>
      </c>
      <c r="S45" s="39">
        <f t="shared" si="22"/>
        <v>-2303792.4968546042</v>
      </c>
      <c r="T45" s="39">
        <f t="shared" si="22"/>
        <v>-2349868.3467916963</v>
      </c>
      <c r="U45" s="39">
        <f t="shared" si="22"/>
        <v>-2396865.7137275301</v>
      </c>
      <c r="V45" s="39">
        <f t="shared" si="22"/>
        <v>-2444803.0280020805</v>
      </c>
      <c r="W45" s="39">
        <f t="shared" si="22"/>
        <v>-2493699.0885621225</v>
      </c>
      <c r="X45" s="39">
        <f t="shared" si="22"/>
        <v>-2543573.0703333644</v>
      </c>
      <c r="Y45" s="39">
        <f t="shared" si="22"/>
        <v>-2594444.5317400321</v>
      </c>
      <c r="Z45" s="39">
        <f t="shared" si="22"/>
        <v>-2646333.422374832</v>
      </c>
      <c r="AA45" s="39">
        <f t="shared" si="22"/>
        <v>-2699260.0908223288</v>
      </c>
      <c r="AB45" s="39">
        <f t="shared" si="22"/>
        <v>-2753245.2926387754</v>
      </c>
    </row>
    <row r="46" spans="2:28" x14ac:dyDescent="0.45">
      <c r="B46" s="25" t="s">
        <v>60</v>
      </c>
      <c r="C46" s="39"/>
      <c r="D46" s="39">
        <f>D17*$E$8*-1</f>
        <v>-173972.10626208008</v>
      </c>
      <c r="E46" s="39">
        <f t="shared" ref="E46:AB46" si="23">E17*$E$8*-1</f>
        <v>-258195.82554394155</v>
      </c>
      <c r="F46" s="39">
        <f t="shared" si="23"/>
        <v>-273317.57456400938</v>
      </c>
      <c r="G46" s="39">
        <f t="shared" si="23"/>
        <v>-294109.47969946562</v>
      </c>
      <c r="H46" s="39">
        <f t="shared" si="23"/>
        <v>-292973.09180766641</v>
      </c>
      <c r="I46" s="39">
        <f t="shared" si="23"/>
        <v>-317127.61526426987</v>
      </c>
      <c r="J46" s="39">
        <f t="shared" si="23"/>
        <v>-285665.22766823601</v>
      </c>
      <c r="K46" s="39">
        <f t="shared" si="23"/>
        <v>-221784.84397780662</v>
      </c>
      <c r="L46" s="39">
        <f t="shared" si="23"/>
        <v>-237907.19583777923</v>
      </c>
      <c r="M46" s="39">
        <f t="shared" si="23"/>
        <v>-210981.56745122105</v>
      </c>
      <c r="N46" s="39">
        <f t="shared" si="23"/>
        <v>-250668.29076295343</v>
      </c>
      <c r="O46" s="39">
        <f t="shared" si="23"/>
        <v>-312561.90593170229</v>
      </c>
      <c r="P46" s="39">
        <f t="shared" si="23"/>
        <v>-275997.70874776255</v>
      </c>
      <c r="Q46" s="39">
        <f t="shared" si="23"/>
        <v>-317689.5578708321</v>
      </c>
      <c r="R46" s="39">
        <f t="shared" si="23"/>
        <v>-323454.39907660073</v>
      </c>
      <c r="S46" s="39">
        <f t="shared" si="23"/>
        <v>-250711.4153324113</v>
      </c>
      <c r="T46" s="39">
        <f t="shared" si="23"/>
        <v>-224530.20802468501</v>
      </c>
      <c r="U46" s="39">
        <f t="shared" si="23"/>
        <v>-389314.59571941028</v>
      </c>
      <c r="V46" s="39">
        <f t="shared" si="23"/>
        <v>-274095.58334358787</v>
      </c>
      <c r="W46" s="39">
        <f t="shared" si="23"/>
        <v>-359459.77734491479</v>
      </c>
      <c r="X46" s="39">
        <f t="shared" si="23"/>
        <v>-329299.7948240207</v>
      </c>
      <c r="Y46" s="39">
        <f t="shared" si="23"/>
        <v>-381273.595966411</v>
      </c>
      <c r="Z46" s="39">
        <f t="shared" si="23"/>
        <v>-296715.62007983413</v>
      </c>
      <c r="AA46" s="39">
        <f t="shared" si="23"/>
        <v>-356622.4297517722</v>
      </c>
      <c r="AB46" s="39">
        <f t="shared" si="23"/>
        <v>-369954.09467581566</v>
      </c>
    </row>
    <row r="47" spans="2:28" x14ac:dyDescent="0.45">
      <c r="B47" s="28" t="s">
        <v>61</v>
      </c>
      <c r="C47" s="39"/>
      <c r="D47" s="39">
        <f>SUM(D42:D46)</f>
        <v>-7303943.4662620807</v>
      </c>
      <c r="E47" s="39">
        <f t="shared" ref="E47:AB47" si="24">SUM(E42:E46)</f>
        <v>-7530766.6127439421</v>
      </c>
      <c r="F47" s="39">
        <f t="shared" si="24"/>
        <v>-7691339.7775080083</v>
      </c>
      <c r="G47" s="39">
        <f t="shared" si="24"/>
        <v>-7860492.126702345</v>
      </c>
      <c r="H47" s="39">
        <f t="shared" si="24"/>
        <v>-8010683.3917506039</v>
      </c>
      <c r="I47" s="39">
        <f t="shared" si="24"/>
        <v>-8189192.1212060666</v>
      </c>
      <c r="J47" s="39">
        <f t="shared" si="24"/>
        <v>-8315171.023728868</v>
      </c>
      <c r="K47" s="39">
        <f t="shared" si="24"/>
        <v>-8411880.7559596524</v>
      </c>
      <c r="L47" s="39">
        <f t="shared" si="24"/>
        <v>-8591805.0260592606</v>
      </c>
      <c r="M47" s="39">
        <f t="shared" si="24"/>
        <v>-8731957.3542771321</v>
      </c>
      <c r="N47" s="39">
        <f t="shared" si="24"/>
        <v>-8942063.5933253802</v>
      </c>
      <c r="O47" s="39">
        <f t="shared" si="24"/>
        <v>-9177785.1145453788</v>
      </c>
      <c r="P47" s="39">
        <f t="shared" si="24"/>
        <v>-9318525.381533714</v>
      </c>
      <c r="Q47" s="39">
        <f t="shared" si="24"/>
        <v>-9541067.7841125019</v>
      </c>
      <c r="R47" s="39">
        <f t="shared" si="24"/>
        <v>-9731300.1898431033</v>
      </c>
      <c r="S47" s="39">
        <f t="shared" si="24"/>
        <v>-9846714.1219142452</v>
      </c>
      <c r="T47" s="39">
        <f t="shared" si="24"/>
        <v>-10012452.968738155</v>
      </c>
      <c r="U47" s="39">
        <f t="shared" si="24"/>
        <v>-10372995.811647149</v>
      </c>
      <c r="V47" s="39">
        <f t="shared" si="24"/>
        <v>-10457450.423589882</v>
      </c>
      <c r="W47" s="39">
        <f t="shared" si="24"/>
        <v>-10746481.714396136</v>
      </c>
      <c r="X47" s="39">
        <f t="shared" si="24"/>
        <v>-10924062.170616264</v>
      </c>
      <c r="Y47" s="39">
        <f t="shared" si="24"/>
        <v>-11187931.219274502</v>
      </c>
      <c r="Z47" s="39">
        <f t="shared" si="24"/>
        <v>-11319506.395854082</v>
      </c>
      <c r="AA47" s="39">
        <f t="shared" si="24"/>
        <v>-11599869.021041505</v>
      </c>
      <c r="AB47" s="39">
        <f t="shared" si="24"/>
        <v>-11838065.617791347</v>
      </c>
    </row>
    <row r="48" spans="2:28" x14ac:dyDescent="0.45">
      <c r="B48" s="29"/>
      <c r="C48" s="39"/>
      <c r="D48" s="39"/>
      <c r="E48" s="39"/>
      <c r="F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</row>
    <row r="49" spans="2:28" x14ac:dyDescent="0.45">
      <c r="B49" s="28" t="s">
        <v>62</v>
      </c>
      <c r="C49" s="39"/>
      <c r="D49" s="39">
        <f>D47+D39+D34</f>
        <v>-54695165.566938251</v>
      </c>
      <c r="E49" s="39">
        <f t="shared" ref="E49:AB49" si="25">E47+E39+E34</f>
        <v>-48249770.687046558</v>
      </c>
      <c r="F49" s="39">
        <f t="shared" si="25"/>
        <v>-50691450.724655807</v>
      </c>
      <c r="G49" s="39">
        <f t="shared" si="25"/>
        <v>-58526130.166786715</v>
      </c>
      <c r="H49" s="39">
        <f t="shared" si="25"/>
        <v>-64537154.866835669</v>
      </c>
      <c r="I49" s="39">
        <f t="shared" si="25"/>
        <v>-71630748.170297712</v>
      </c>
      <c r="J49" s="39">
        <f t="shared" si="25"/>
        <v>-58715544.526777223</v>
      </c>
      <c r="K49" s="39">
        <f t="shared" si="25"/>
        <v>-56036380.903663188</v>
      </c>
      <c r="L49" s="39">
        <f t="shared" si="25"/>
        <v>-68995356.447265357</v>
      </c>
      <c r="M49" s="39">
        <f t="shared" si="25"/>
        <v>-84132824.811437666</v>
      </c>
      <c r="N49" s="39">
        <f t="shared" si="25"/>
        <v>-87602104.532514855</v>
      </c>
      <c r="O49" s="39">
        <f t="shared" si="25"/>
        <v>-78021085.707773417</v>
      </c>
      <c r="P49" s="39">
        <f t="shared" si="25"/>
        <v>-75755733.209011391</v>
      </c>
      <c r="Q49" s="39">
        <f t="shared" si="25"/>
        <v>-77729529.424333662</v>
      </c>
      <c r="R49" s="39">
        <f t="shared" si="25"/>
        <v>-83638866.86167635</v>
      </c>
      <c r="S49" s="39">
        <f t="shared" si="25"/>
        <v>-83939091.318942204</v>
      </c>
      <c r="T49" s="39">
        <f t="shared" si="25"/>
        <v>-85694078.192728654</v>
      </c>
      <c r="U49" s="39">
        <f t="shared" si="25"/>
        <v>-89805700.090325624</v>
      </c>
      <c r="V49" s="39">
        <f t="shared" si="25"/>
        <v>-84259777.658329129</v>
      </c>
      <c r="W49" s="39">
        <f t="shared" si="25"/>
        <v>-109762876.57372451</v>
      </c>
      <c r="X49" s="39">
        <f t="shared" si="25"/>
        <v>-112315405.43943623</v>
      </c>
      <c r="Y49" s="39">
        <f t="shared" si="25"/>
        <v>-101002054.05498563</v>
      </c>
      <c r="Z49" s="39">
        <f t="shared" si="25"/>
        <v>-117308988.84792835</v>
      </c>
      <c r="AA49" s="39">
        <f t="shared" si="25"/>
        <v>-106728208.18082514</v>
      </c>
      <c r="AB49" s="39">
        <f t="shared" si="25"/>
        <v>-112710877.02312866</v>
      </c>
    </row>
    <row r="50" spans="2:28" x14ac:dyDescent="0.45">
      <c r="B50" s="23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</row>
    <row r="51" spans="2:28" x14ac:dyDescent="0.45">
      <c r="B51" s="28" t="s">
        <v>63</v>
      </c>
      <c r="C51" s="39"/>
      <c r="D51" s="39">
        <f>D18+D49</f>
        <v>32594418.59370178</v>
      </c>
      <c r="E51" s="39">
        <f t="shared" ref="E51:AB51" si="26">E18+E49</f>
        <v>23346452.634888172</v>
      </c>
      <c r="F51" s="39">
        <f t="shared" si="26"/>
        <v>24602934.017913535</v>
      </c>
      <c r="G51" s="39">
        <f t="shared" si="26"/>
        <v>31841874.721469328</v>
      </c>
      <c r="H51" s="39">
        <f t="shared" si="26"/>
        <v>38026832.433766216</v>
      </c>
      <c r="I51" s="39">
        <f t="shared" si="26"/>
        <v>45247089.149215773</v>
      </c>
      <c r="J51" s="39">
        <f t="shared" si="26"/>
        <v>30125118.091433868</v>
      </c>
      <c r="K51" s="39">
        <f t="shared" si="26"/>
        <v>26855281.439702332</v>
      </c>
      <c r="L51" s="39">
        <f t="shared" si="26"/>
        <v>29203291.887319088</v>
      </c>
      <c r="M51" s="39">
        <f t="shared" si="26"/>
        <v>45648465.935772851</v>
      </c>
      <c r="N51" s="39">
        <f t="shared" si="26"/>
        <v>48333107.722354099</v>
      </c>
      <c r="O51" s="39">
        <f t="shared" si="26"/>
        <v>36009476.967376888</v>
      </c>
      <c r="P51" s="39">
        <f t="shared" si="26"/>
        <v>32694012.437769771</v>
      </c>
      <c r="Q51" s="39">
        <f t="shared" si="26"/>
        <v>33605647.935473293</v>
      </c>
      <c r="R51" s="39">
        <f t="shared" si="26"/>
        <v>39229467.735370442</v>
      </c>
      <c r="S51" s="39">
        <f t="shared" si="26"/>
        <v>39030371.885706037</v>
      </c>
      <c r="T51" s="39">
        <f t="shared" si="26"/>
        <v>40124106.901561886</v>
      </c>
      <c r="U51" s="39">
        <f t="shared" si="26"/>
        <v>42484697.929059416</v>
      </c>
      <c r="V51" s="39">
        <f t="shared" si="26"/>
        <v>35886823.253164619</v>
      </c>
      <c r="W51" s="39">
        <f t="shared" si="26"/>
        <v>63084473.914307356</v>
      </c>
      <c r="X51" s="39">
        <f t="shared" si="26"/>
        <v>65023354.357085139</v>
      </c>
      <c r="Y51" s="39">
        <f t="shared" si="26"/>
        <v>50587235.633942738</v>
      </c>
      <c r="Z51" s="39">
        <f t="shared" si="26"/>
        <v>68501409.807575315</v>
      </c>
      <c r="AA51" s="39">
        <f t="shared" si="26"/>
        <v>54791254.741253942</v>
      </c>
      <c r="AB51" s="39">
        <f t="shared" si="26"/>
        <v>60213703.090037704</v>
      </c>
    </row>
    <row r="52" spans="2:28" x14ac:dyDescent="0.45">
      <c r="B52" s="23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</row>
    <row r="53" spans="2:28" x14ac:dyDescent="0.45">
      <c r="B53" s="29" t="s">
        <v>64</v>
      </c>
      <c r="C53" s="39"/>
      <c r="D53" s="39">
        <f>C63*$C$10</f>
        <v>-28000000.000000004</v>
      </c>
      <c r="E53" s="39">
        <f>($C$63-SUM($D$53))*$C$10</f>
        <v>-26040000.000000004</v>
      </c>
      <c r="F53" s="39">
        <f>($C$63-SUM($D$53:$E$53))*$C$10</f>
        <v>-24217200.000000004</v>
      </c>
      <c r="G53" s="39">
        <f>($C$63-SUM($D$53:$F$53))*$C$10</f>
        <v>-22521996.000000004</v>
      </c>
      <c r="H53" s="39">
        <f>($C$63-SUM($D$53:$G$53))*$C$10</f>
        <v>-20945456.280000001</v>
      </c>
      <c r="I53" s="39">
        <f>($C$63-SUM($D$53:$H$53))*$C$10</f>
        <v>-19479274.340399999</v>
      </c>
      <c r="J53" s="39">
        <f>($C$63-SUM($D$53:$I$53))*$C$10</f>
        <v>-18115725.136572</v>
      </c>
      <c r="K53" s="39">
        <f>($C$63-SUM($D$53:$J$53))*$C$10</f>
        <v>-16847624.377011962</v>
      </c>
      <c r="L53" s="39">
        <f>($C$63-SUM($D$53:$K$53))*$C$10</f>
        <v>-15668290.670621123</v>
      </c>
      <c r="M53" s="39">
        <f>($C$63-SUM($D$53:$L$53))*$C$10</f>
        <v>-14571510.323677644</v>
      </c>
      <c r="N53" s="39">
        <f>($C$63-SUM($D$53:$M$53))*$C$10</f>
        <v>-13551504.601020211</v>
      </c>
      <c r="O53" s="39">
        <f>($C$63-SUM($D$53:$N$53))*$C$10</f>
        <v>-12602899.278948795</v>
      </c>
      <c r="P53" s="39">
        <f>($C$63-SUM($D$53:$O$53))*$C$10</f>
        <v>-11720696.329422381</v>
      </c>
      <c r="Q53" s="39">
        <f>($C$63-SUM($D$53:$P$53))*$C$10</f>
        <v>-10900247.586362813</v>
      </c>
      <c r="R53" s="39">
        <f>($C$63-SUM($D$53:$Q$53))*$C$10</f>
        <v>-10137230.255317416</v>
      </c>
      <c r="S53" s="39">
        <f>($C$63-SUM($D$53:$R$53))*$C$10</f>
        <v>-9427624.1374451965</v>
      </c>
      <c r="T53" s="39">
        <f>($C$63-SUM($D$53:$S$53))*$C$10</f>
        <v>-8767690.4478240348</v>
      </c>
      <c r="U53" s="39">
        <f>($C$63-SUM($D$53:$T$53))*$C$10</f>
        <v>-8153952.1164763505</v>
      </c>
      <c r="V53" s="39">
        <f>($C$63-SUM($D$53:$U$53))*$C$10</f>
        <v>-7583175.4683230054</v>
      </c>
      <c r="W53" s="39">
        <f>($C$63-SUM($D$53:$V$53))*$C$10</f>
        <v>-7052353.1855403958</v>
      </c>
      <c r="X53" s="39">
        <f>($C$63-SUM($D$53:$W$53))*$C$10</f>
        <v>-6558688.4625525689</v>
      </c>
      <c r="Y53" s="80">
        <f>($C$63-SUM($D$53:$X$53))*$C$10</f>
        <v>-6099580.2701738905</v>
      </c>
      <c r="Z53" s="39">
        <f>($C$63-SUM($D$53:$Y$53))*$C$10</f>
        <v>-5672609.6512617171</v>
      </c>
      <c r="AA53" s="39">
        <f>($C$63-SUM($D$53:$Z$53))*$C$10</f>
        <v>-5275526.9756733943</v>
      </c>
      <c r="AB53" s="39">
        <f>($C$63-SUM($D$53:$AA$53))*$C$10</f>
        <v>-4906240.0873762583</v>
      </c>
    </row>
    <row r="54" spans="2:28" x14ac:dyDescent="0.45">
      <c r="B54" s="29" t="s">
        <v>65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80"/>
      <c r="Z54" s="39"/>
      <c r="AA54" s="39"/>
      <c r="AB54" s="39">
        <f>5000000+($C$63-SUM($D$53:$AB$53))</f>
        <v>-60182904.017998874</v>
      </c>
    </row>
    <row r="55" spans="2:28" x14ac:dyDescent="0.45">
      <c r="B55" s="23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</row>
    <row r="56" spans="2:28" x14ac:dyDescent="0.45">
      <c r="B56" s="28" t="s">
        <v>66</v>
      </c>
      <c r="C56" s="39"/>
      <c r="D56" s="39">
        <f>SUM(D51:D55)</f>
        <v>4594418.5937017761</v>
      </c>
      <c r="E56" s="39">
        <f>SUM(E51:E55)</f>
        <v>-2693547.3651118316</v>
      </c>
      <c r="F56" s="39">
        <f>SUM(F51:F55)</f>
        <v>385734.01791353151</v>
      </c>
      <c r="G56" s="39">
        <f t="shared" ref="G56:AA56" si="27">SUM(G51:G55)</f>
        <v>9319878.7214693241</v>
      </c>
      <c r="H56" s="39">
        <f t="shared" si="27"/>
        <v>17081376.153766215</v>
      </c>
      <c r="I56" s="39">
        <f t="shared" si="27"/>
        <v>25767814.808815774</v>
      </c>
      <c r="J56" s="39">
        <f t="shared" si="27"/>
        <v>12009392.954861868</v>
      </c>
      <c r="K56" s="39">
        <f t="shared" si="27"/>
        <v>10007657.06269037</v>
      </c>
      <c r="L56" s="39">
        <f t="shared" si="27"/>
        <v>13535001.216697965</v>
      </c>
      <c r="M56" s="39">
        <f t="shared" si="27"/>
        <v>31076955.612095207</v>
      </c>
      <c r="N56" s="39">
        <f t="shared" si="27"/>
        <v>34781603.12133389</v>
      </c>
      <c r="O56" s="39">
        <f t="shared" si="27"/>
        <v>23406577.688428093</v>
      </c>
      <c r="P56" s="39">
        <f t="shared" si="27"/>
        <v>20973316.10834739</v>
      </c>
      <c r="Q56" s="39">
        <f t="shared" si="27"/>
        <v>22705400.34911048</v>
      </c>
      <c r="R56" s="39">
        <f t="shared" si="27"/>
        <v>29092237.480053026</v>
      </c>
      <c r="S56" s="39">
        <f t="shared" si="27"/>
        <v>29602747.748260841</v>
      </c>
      <c r="T56" s="39">
        <f t="shared" si="27"/>
        <v>31356416.453737851</v>
      </c>
      <c r="U56" s="39">
        <f t="shared" si="27"/>
        <v>34330745.812583067</v>
      </c>
      <c r="V56" s="39">
        <f t="shared" si="27"/>
        <v>28303647.784841612</v>
      </c>
      <c r="W56" s="39">
        <f t="shared" si="27"/>
        <v>56032120.728766963</v>
      </c>
      <c r="X56" s="39">
        <f t="shared" si="27"/>
        <v>58464665.894532569</v>
      </c>
      <c r="Y56" s="39">
        <f t="shared" si="27"/>
        <v>44487655.363768846</v>
      </c>
      <c r="Z56" s="39">
        <f t="shared" si="27"/>
        <v>62828800.156313598</v>
      </c>
      <c r="AA56" s="39">
        <f t="shared" si="27"/>
        <v>49515727.76558055</v>
      </c>
      <c r="AB56" s="39">
        <f>SUM(AB51:AB55)</f>
        <v>-4875441.0153374299</v>
      </c>
    </row>
    <row r="57" spans="2:28" x14ac:dyDescent="0.45">
      <c r="B57" s="23" t="s">
        <v>67</v>
      </c>
      <c r="C57" s="39"/>
      <c r="D57" s="39">
        <f>D56*$E$9*-1</f>
        <v>-1010772.0906143908</v>
      </c>
      <c r="E57" s="39">
        <f>E56*$E$9*-1</f>
        <v>592580.42032460298</v>
      </c>
      <c r="F57" s="39">
        <f t="shared" ref="F57:AB57" si="28">F56*$E$9*-1</f>
        <v>-84861.483940976934</v>
      </c>
      <c r="G57" s="39">
        <f t="shared" si="28"/>
        <v>-2050373.3187232513</v>
      </c>
      <c r="H57" s="39">
        <f t="shared" si="28"/>
        <v>-3757902.7538285675</v>
      </c>
      <c r="I57" s="39">
        <f t="shared" si="28"/>
        <v>-5668919.25793947</v>
      </c>
      <c r="J57" s="39">
        <f t="shared" si="28"/>
        <v>-2642066.450069611</v>
      </c>
      <c r="K57" s="39">
        <f t="shared" si="28"/>
        <v>-2201684.5537918815</v>
      </c>
      <c r="L57" s="39">
        <f t="shared" si="28"/>
        <v>-2977700.2676735525</v>
      </c>
      <c r="M57" s="39">
        <f t="shared" si="28"/>
        <v>-6836930.2346609458</v>
      </c>
      <c r="N57" s="39">
        <f t="shared" si="28"/>
        <v>-7651952.686693456</v>
      </c>
      <c r="O57" s="39">
        <f t="shared" si="28"/>
        <v>-5149447.0914541809</v>
      </c>
      <c r="P57" s="39">
        <f t="shared" si="28"/>
        <v>-4614129.543836426</v>
      </c>
      <c r="Q57" s="39">
        <f t="shared" si="28"/>
        <v>-4995188.0768043054</v>
      </c>
      <c r="R57" s="39">
        <f t="shared" si="28"/>
        <v>-6400292.2456116658</v>
      </c>
      <c r="S57" s="39">
        <f t="shared" si="28"/>
        <v>-6512604.5046173846</v>
      </c>
      <c r="T57" s="39">
        <f t="shared" si="28"/>
        <v>-6898411.619822327</v>
      </c>
      <c r="U57" s="39">
        <f t="shared" si="28"/>
        <v>-7552764.0787682747</v>
      </c>
      <c r="V57" s="39">
        <f t="shared" si="28"/>
        <v>-6226802.5126651544</v>
      </c>
      <c r="W57" s="39">
        <f t="shared" si="28"/>
        <v>-12327066.560328731</v>
      </c>
      <c r="X57" s="39">
        <f t="shared" si="28"/>
        <v>-12862226.496797165</v>
      </c>
      <c r="Y57" s="39">
        <f t="shared" si="28"/>
        <v>-9787284.1800291464</v>
      </c>
      <c r="Z57" s="39">
        <f t="shared" si="28"/>
        <v>-13822336.034388991</v>
      </c>
      <c r="AA57" s="39">
        <f t="shared" si="28"/>
        <v>-10893460.10842772</v>
      </c>
      <c r="AB57" s="39">
        <f t="shared" si="28"/>
        <v>1072597.0233742346</v>
      </c>
    </row>
    <row r="58" spans="2:28" ht="16.3" thickBot="1" x14ac:dyDescent="0.5">
      <c r="B58" s="30" t="s">
        <v>68</v>
      </c>
      <c r="C58" s="81"/>
      <c r="D58" s="81">
        <f>SUM(D56:D57)</f>
        <v>3583646.5030873856</v>
      </c>
      <c r="E58" s="81">
        <f t="shared" ref="E58:AA58" si="29">SUM(E56:E57)</f>
        <v>-2100966.9447872285</v>
      </c>
      <c r="F58" s="81">
        <f t="shared" si="29"/>
        <v>300872.53397255461</v>
      </c>
      <c r="G58" s="81">
        <f t="shared" si="29"/>
        <v>7269505.402746073</v>
      </c>
      <c r="H58" s="81">
        <f t="shared" si="29"/>
        <v>13323473.399937648</v>
      </c>
      <c r="I58" s="81">
        <f t="shared" si="29"/>
        <v>20098895.550876305</v>
      </c>
      <c r="J58" s="81">
        <f t="shared" si="29"/>
        <v>9367326.5047922581</v>
      </c>
      <c r="K58" s="81">
        <f t="shared" si="29"/>
        <v>7805972.5088984882</v>
      </c>
      <c r="L58" s="81">
        <f t="shared" si="29"/>
        <v>10557300.949024413</v>
      </c>
      <c r="M58" s="81">
        <f t="shared" si="29"/>
        <v>24240025.377434261</v>
      </c>
      <c r="N58" s="81">
        <f t="shared" si="29"/>
        <v>27129650.434640434</v>
      </c>
      <c r="O58" s="81">
        <f t="shared" si="29"/>
        <v>18257130.596973911</v>
      </c>
      <c r="P58" s="81">
        <f t="shared" si="29"/>
        <v>16359186.564510964</v>
      </c>
      <c r="Q58" s="81">
        <f t="shared" si="29"/>
        <v>17710212.272306174</v>
      </c>
      <c r="R58" s="81">
        <f t="shared" si="29"/>
        <v>22691945.234441362</v>
      </c>
      <c r="S58" s="81">
        <f t="shared" si="29"/>
        <v>23090143.243643455</v>
      </c>
      <c r="T58" s="81">
        <f t="shared" si="29"/>
        <v>24458004.833915524</v>
      </c>
      <c r="U58" s="81">
        <f t="shared" si="29"/>
        <v>26777981.733814791</v>
      </c>
      <c r="V58" s="81">
        <f t="shared" si="29"/>
        <v>22076845.272176459</v>
      </c>
      <c r="W58" s="81">
        <f t="shared" si="29"/>
        <v>43705054.168438233</v>
      </c>
      <c r="X58" s="81">
        <f t="shared" si="29"/>
        <v>45602439.397735402</v>
      </c>
      <c r="Y58" s="81">
        <f t="shared" si="29"/>
        <v>34700371.183739699</v>
      </c>
      <c r="Z58" s="81">
        <f t="shared" si="29"/>
        <v>49006464.121924609</v>
      </c>
      <c r="AA58" s="81">
        <f t="shared" si="29"/>
        <v>38622267.657152832</v>
      </c>
      <c r="AB58" s="81">
        <f>SUM(AB56:AB57)</f>
        <v>-3802843.9919631956</v>
      </c>
    </row>
    <row r="59" spans="2:28" x14ac:dyDescent="0.45">
      <c r="B59" s="23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</row>
    <row r="60" spans="2:28" x14ac:dyDescent="0.45">
      <c r="B60" s="23" t="s">
        <v>64</v>
      </c>
      <c r="C60" s="39"/>
      <c r="D60" s="39">
        <f>D53*-1</f>
        <v>28000000.000000004</v>
      </c>
      <c r="E60" s="39">
        <f t="shared" ref="E60:AB60" si="30">E53*-1</f>
        <v>26040000.000000004</v>
      </c>
      <c r="F60" s="39">
        <f t="shared" si="30"/>
        <v>24217200.000000004</v>
      </c>
      <c r="G60" s="39">
        <f t="shared" si="30"/>
        <v>22521996.000000004</v>
      </c>
      <c r="H60" s="39">
        <f t="shared" si="30"/>
        <v>20945456.280000001</v>
      </c>
      <c r="I60" s="39">
        <f t="shared" si="30"/>
        <v>19479274.340399999</v>
      </c>
      <c r="J60" s="39">
        <f t="shared" si="30"/>
        <v>18115725.136572</v>
      </c>
      <c r="K60" s="39">
        <f t="shared" si="30"/>
        <v>16847624.377011962</v>
      </c>
      <c r="L60" s="39">
        <f t="shared" si="30"/>
        <v>15668290.670621123</v>
      </c>
      <c r="M60" s="39">
        <f t="shared" si="30"/>
        <v>14571510.323677644</v>
      </c>
      <c r="N60" s="39">
        <f t="shared" si="30"/>
        <v>13551504.601020211</v>
      </c>
      <c r="O60" s="39">
        <f t="shared" si="30"/>
        <v>12602899.278948795</v>
      </c>
      <c r="P60" s="39">
        <f t="shared" si="30"/>
        <v>11720696.329422381</v>
      </c>
      <c r="Q60" s="39">
        <f t="shared" si="30"/>
        <v>10900247.586362813</v>
      </c>
      <c r="R60" s="39">
        <f t="shared" si="30"/>
        <v>10137230.255317416</v>
      </c>
      <c r="S60" s="39">
        <f t="shared" si="30"/>
        <v>9427624.1374451965</v>
      </c>
      <c r="T60" s="39">
        <f t="shared" si="30"/>
        <v>8767690.4478240348</v>
      </c>
      <c r="U60" s="39">
        <f t="shared" si="30"/>
        <v>8153952.1164763505</v>
      </c>
      <c r="V60" s="39">
        <f t="shared" si="30"/>
        <v>7583175.4683230054</v>
      </c>
      <c r="W60" s="39">
        <f t="shared" si="30"/>
        <v>7052353.1855403958</v>
      </c>
      <c r="X60" s="39">
        <f t="shared" si="30"/>
        <v>6558688.4625525689</v>
      </c>
      <c r="Y60" s="39">
        <f t="shared" si="30"/>
        <v>6099580.2701738905</v>
      </c>
      <c r="Z60" s="39">
        <f t="shared" si="30"/>
        <v>5672609.6512617171</v>
      </c>
      <c r="AA60" s="39">
        <f t="shared" si="30"/>
        <v>5275526.9756733943</v>
      </c>
      <c r="AB60" s="39">
        <f t="shared" si="30"/>
        <v>4906240.0873762583</v>
      </c>
    </row>
    <row r="61" spans="2:28" x14ac:dyDescent="0.45">
      <c r="B61" s="23" t="s">
        <v>69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>
        <f>-AB54</f>
        <v>60182904.017998874</v>
      </c>
    </row>
    <row r="62" spans="2:28" x14ac:dyDescent="0.45">
      <c r="B62" s="23" t="s">
        <v>70</v>
      </c>
      <c r="C62" s="39">
        <f t="shared" ref="C62:AB62" si="31">(C18-D18)*$C$11</f>
        <v>-8728958.4160640035</v>
      </c>
      <c r="D62" s="39">
        <f t="shared" si="31"/>
        <v>1569336.0838705301</v>
      </c>
      <c r="E62" s="39">
        <f t="shared" si="31"/>
        <v>-369816.14206346124</v>
      </c>
      <c r="F62" s="39">
        <f t="shared" si="31"/>
        <v>-1507362.0145686702</v>
      </c>
      <c r="G62" s="39">
        <f t="shared" si="31"/>
        <v>-1219598.2412345842</v>
      </c>
      <c r="H62" s="39">
        <f t="shared" si="31"/>
        <v>-1431385.0018911602</v>
      </c>
      <c r="I62" s="39">
        <f t="shared" si="31"/>
        <v>2803717.4701302396</v>
      </c>
      <c r="J62" s="39">
        <f t="shared" si="31"/>
        <v>594900.02748455701</v>
      </c>
      <c r="K62" s="39">
        <f t="shared" si="31"/>
        <v>-1530698.5991218926</v>
      </c>
      <c r="L62" s="39">
        <f t="shared" si="31"/>
        <v>-3158264.2412626073</v>
      </c>
      <c r="M62" s="39">
        <f t="shared" si="31"/>
        <v>-615392.15076584369</v>
      </c>
      <c r="N62" s="39">
        <f t="shared" si="31"/>
        <v>2190464.9579718648</v>
      </c>
      <c r="O62" s="39">
        <f t="shared" si="31"/>
        <v>558081.70283691434</v>
      </c>
      <c r="P62" s="39">
        <f t="shared" si="31"/>
        <v>-288543.17130257934</v>
      </c>
      <c r="Q62" s="39">
        <f t="shared" si="31"/>
        <v>-1153315.7237239839</v>
      </c>
      <c r="R62" s="39">
        <f t="shared" si="31"/>
        <v>-10112.860760144889</v>
      </c>
      <c r="S62" s="39">
        <f t="shared" si="31"/>
        <v>-284872.18896422983</v>
      </c>
      <c r="T62" s="39">
        <f t="shared" si="31"/>
        <v>-647221.29250945011</v>
      </c>
      <c r="U62" s="39">
        <f t="shared" si="31"/>
        <v>1214379.7107891291</v>
      </c>
      <c r="V62" s="39">
        <f t="shared" si="31"/>
        <v>-5270074.9576538121</v>
      </c>
      <c r="W62" s="39">
        <f t="shared" si="31"/>
        <v>-449140.93084895017</v>
      </c>
      <c r="X62" s="39">
        <f t="shared" si="31"/>
        <v>2574947.0107593001</v>
      </c>
      <c r="Y62" s="39">
        <f t="shared" si="31"/>
        <v>-3422110.8966575298</v>
      </c>
      <c r="Z62" s="39">
        <f>(Z18-AA18)*$C$11</f>
        <v>2429093.5733424574</v>
      </c>
      <c r="AA62" s="39">
        <f t="shared" si="31"/>
        <v>-1140511.7191087275</v>
      </c>
      <c r="AB62" s="39">
        <f t="shared" si="31"/>
        <v>17292458.011316638</v>
      </c>
    </row>
    <row r="63" spans="2:28" x14ac:dyDescent="0.45">
      <c r="B63" s="23" t="s">
        <v>71</v>
      </c>
      <c r="C63" s="39">
        <f>-K6</f>
        <v>-400000000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2:28" x14ac:dyDescent="0.45">
      <c r="B64" s="23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</row>
    <row r="65" spans="2:28" ht="16.3" thickBot="1" x14ac:dyDescent="0.5">
      <c r="B65" s="30" t="s">
        <v>72</v>
      </c>
      <c r="C65" s="81">
        <f>SUM(C58:C63)</f>
        <v>-408728958.41606402</v>
      </c>
      <c r="D65" s="81">
        <f>SUM(D58:D63)</f>
        <v>33152982.58695792</v>
      </c>
      <c r="E65" s="81">
        <f t="shared" ref="E65:AA65" si="32">SUM(E58:E63)</f>
        <v>23569216.913149312</v>
      </c>
      <c r="F65" s="81">
        <f t="shared" si="32"/>
        <v>23010710.519403886</v>
      </c>
      <c r="G65" s="81">
        <f t="shared" si="32"/>
        <v>28571903.161511492</v>
      </c>
      <c r="H65" s="81">
        <f t="shared" si="32"/>
        <v>32837544.678046487</v>
      </c>
      <c r="I65" s="81">
        <f t="shared" si="32"/>
        <v>42381887.361406542</v>
      </c>
      <c r="J65" s="81">
        <f t="shared" si="32"/>
        <v>28077951.668848816</v>
      </c>
      <c r="K65" s="81">
        <f t="shared" si="32"/>
        <v>23122898.28678856</v>
      </c>
      <c r="L65" s="81">
        <f t="shared" si="32"/>
        <v>23067327.378382929</v>
      </c>
      <c r="M65" s="81">
        <f t="shared" si="32"/>
        <v>38196143.550346062</v>
      </c>
      <c r="N65" s="81">
        <f t="shared" si="32"/>
        <v>42871619.99363251</v>
      </c>
      <c r="O65" s="81">
        <f t="shared" si="32"/>
        <v>31418111.578759622</v>
      </c>
      <c r="P65" s="81">
        <f t="shared" si="32"/>
        <v>27791339.722630765</v>
      </c>
      <c r="Q65" s="81">
        <f t="shared" si="32"/>
        <v>27457144.134945001</v>
      </c>
      <c r="R65" s="81">
        <f t="shared" si="32"/>
        <v>32819062.628998633</v>
      </c>
      <c r="S65" s="81">
        <f t="shared" si="32"/>
        <v>32232895.192124423</v>
      </c>
      <c r="T65" s="81">
        <f t="shared" si="32"/>
        <v>32578473.989230108</v>
      </c>
      <c r="U65" s="81">
        <f t="shared" si="32"/>
        <v>36146313.56108027</v>
      </c>
      <c r="V65" s="81">
        <f t="shared" si="32"/>
        <v>24389945.782845654</v>
      </c>
      <c r="W65" s="81">
        <f t="shared" si="32"/>
        <v>50308266.423129678</v>
      </c>
      <c r="X65" s="81">
        <f t="shared" si="32"/>
        <v>54736074.871047273</v>
      </c>
      <c r="Y65" s="81">
        <f t="shared" si="32"/>
        <v>37377840.557256065</v>
      </c>
      <c r="Z65" s="81">
        <f t="shared" si="32"/>
        <v>57108167.346528783</v>
      </c>
      <c r="AA65" s="81">
        <f t="shared" si="32"/>
        <v>42757282.913717493</v>
      </c>
      <c r="AB65" s="81">
        <f>SUM(AB58:AB63)</f>
        <v>78578758.124728575</v>
      </c>
    </row>
    <row r="66" spans="2:28" ht="16.3" thickBot="1" x14ac:dyDescent="0.5">
      <c r="D66" s="32"/>
    </row>
    <row r="67" spans="2:28" x14ac:dyDescent="0.45">
      <c r="B67" s="61" t="s">
        <v>4</v>
      </c>
      <c r="C67" s="62">
        <v>8.1726030101192532E-2</v>
      </c>
      <c r="D67" s="32"/>
      <c r="E67" s="32"/>
    </row>
    <row r="68" spans="2:28" x14ac:dyDescent="0.45">
      <c r="B68" s="63" t="s">
        <v>73</v>
      </c>
      <c r="C68" s="64">
        <f>NPV(C67,D65:AB65)+C65</f>
        <v>-66878775.625103831</v>
      </c>
      <c r="D68" s="32"/>
      <c r="E68" s="32"/>
    </row>
    <row r="69" spans="2:28" ht="16.3" thickBot="1" x14ac:dyDescent="0.5">
      <c r="B69" s="65" t="s">
        <v>74</v>
      </c>
      <c r="C69" s="66">
        <f>MIRR(C65:AB65,C67,C67)</f>
        <v>7.4022295169121177E-2</v>
      </c>
      <c r="D69" s="32"/>
      <c r="E69" s="32"/>
    </row>
    <row r="70" spans="2:28" x14ac:dyDescent="0.45">
      <c r="C70" s="58"/>
    </row>
    <row r="72" spans="2:28" x14ac:dyDescent="0.45">
      <c r="C72" s="40"/>
      <c r="E72" s="41"/>
    </row>
    <row r="73" spans="2:28" x14ac:dyDescent="0.45">
      <c r="B73" s="55"/>
      <c r="C73" s="37"/>
    </row>
    <row r="74" spans="2:28" x14ac:dyDescent="0.45">
      <c r="B74" s="55"/>
    </row>
    <row r="75" spans="2:28" x14ac:dyDescent="0.45">
      <c r="B75" s="55"/>
      <c r="C75" s="38"/>
      <c r="D75" s="41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2:28" x14ac:dyDescent="0.45">
      <c r="D76" s="41"/>
      <c r="F76" s="114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2:28" x14ac:dyDescent="0.45">
      <c r="B77" s="59"/>
      <c r="C77" s="38"/>
      <c r="F77" s="114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2:28" x14ac:dyDescent="0.45">
      <c r="B78" s="55"/>
      <c r="C78" s="31"/>
      <c r="D78" s="41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2:28" x14ac:dyDescent="0.45">
      <c r="B79" s="55"/>
      <c r="C79" s="107"/>
      <c r="D79" s="41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2:28" x14ac:dyDescent="0.45">
      <c r="B80" s="59"/>
      <c r="C80" s="60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2:20" x14ac:dyDescent="0.45">
      <c r="B81" s="59"/>
      <c r="C81" s="38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2:20" x14ac:dyDescent="0.45">
      <c r="B82" s="53"/>
      <c r="D82" s="41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2:20" x14ac:dyDescent="0.45">
      <c r="B83" s="53"/>
      <c r="C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2:20" x14ac:dyDescent="0.45">
      <c r="B84" s="82"/>
      <c r="C84" s="83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2:20" x14ac:dyDescent="0.45">
      <c r="C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2:20" x14ac:dyDescent="0.45"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2:20" x14ac:dyDescent="0.45">
      <c r="C87" s="37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2:20" x14ac:dyDescent="0.45"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2:20" x14ac:dyDescent="0.45"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2:20" x14ac:dyDescent="0.45"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2:20" x14ac:dyDescent="0.45">
      <c r="C91" s="38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2:20" x14ac:dyDescent="0.45">
      <c r="C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2:20" x14ac:dyDescent="0.45"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2:20" x14ac:dyDescent="0.45"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2:20" x14ac:dyDescent="0.45"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2:20" x14ac:dyDescent="0.45"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3:20" x14ac:dyDescent="0.45"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3:20" x14ac:dyDescent="0.45"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</row>
    <row r="99" spans="3:20" x14ac:dyDescent="0.45"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3:20" x14ac:dyDescent="0.45"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3:20" x14ac:dyDescent="0.45">
      <c r="C101" s="39"/>
      <c r="D101" s="39"/>
      <c r="E101" s="39"/>
      <c r="F101" s="39"/>
    </row>
    <row r="102" spans="3:20" x14ac:dyDescent="0.45">
      <c r="C102" s="39"/>
      <c r="D102" s="39"/>
      <c r="E102" s="39"/>
      <c r="F102" s="39"/>
    </row>
    <row r="103" spans="3:20" x14ac:dyDescent="0.45">
      <c r="C103" s="39"/>
      <c r="D103" s="39"/>
      <c r="E103" s="39"/>
      <c r="F103" s="39"/>
    </row>
    <row r="104" spans="3:20" x14ac:dyDescent="0.45">
      <c r="C104" s="39"/>
      <c r="D104" s="39"/>
      <c r="E104" s="39"/>
      <c r="F104" s="39"/>
    </row>
    <row r="105" spans="3:20" x14ac:dyDescent="0.45">
      <c r="C105" s="39"/>
      <c r="D105" s="39"/>
      <c r="E105" s="39"/>
      <c r="F105" s="39"/>
    </row>
    <row r="106" spans="3:20" x14ac:dyDescent="0.45">
      <c r="C106" s="39"/>
      <c r="D106" s="39"/>
      <c r="E106" s="39"/>
      <c r="F106" s="39"/>
    </row>
    <row r="107" spans="3:20" x14ac:dyDescent="0.45">
      <c r="C107" s="39"/>
      <c r="D107" s="39"/>
      <c r="E107" s="39"/>
      <c r="F107" s="39"/>
    </row>
    <row r="108" spans="3:20" x14ac:dyDescent="0.45">
      <c r="C108" s="39"/>
      <c r="D108" s="39"/>
      <c r="E108" s="39"/>
      <c r="F108" s="39"/>
    </row>
    <row r="109" spans="3:20" x14ac:dyDescent="0.45">
      <c r="C109" s="39"/>
      <c r="D109" s="39"/>
      <c r="E109" s="39"/>
      <c r="F109" s="39"/>
      <c r="G109" s="39"/>
      <c r="H109" s="39"/>
      <c r="I109" s="39"/>
      <c r="J109" s="39"/>
    </row>
    <row r="110" spans="3:20" x14ac:dyDescent="0.45">
      <c r="C110" s="39"/>
      <c r="D110" s="39"/>
      <c r="E110" s="39"/>
      <c r="F110" s="39"/>
    </row>
    <row r="111" spans="3:20" x14ac:dyDescent="0.45">
      <c r="C111" s="39"/>
      <c r="D111" s="39"/>
      <c r="E111" s="39"/>
      <c r="F111" s="39"/>
    </row>
    <row r="112" spans="3:20" x14ac:dyDescent="0.45">
      <c r="C112" s="39"/>
      <c r="D112" s="39"/>
      <c r="E112" s="39"/>
      <c r="F112" s="39"/>
    </row>
    <row r="113" spans="3:6" x14ac:dyDescent="0.45">
      <c r="C113" s="39"/>
      <c r="D113" s="39"/>
      <c r="E113" s="39"/>
      <c r="F113" s="39"/>
    </row>
    <row r="114" spans="3:6" x14ac:dyDescent="0.45">
      <c r="C114" s="39"/>
      <c r="D114" s="39"/>
      <c r="E114" s="39"/>
      <c r="F114" s="39"/>
    </row>
    <row r="115" spans="3:6" x14ac:dyDescent="0.45">
      <c r="C115" s="39"/>
      <c r="D115" s="39"/>
      <c r="E115" s="39"/>
      <c r="F115" s="39"/>
    </row>
    <row r="116" spans="3:6" x14ac:dyDescent="0.45">
      <c r="C116" s="39"/>
      <c r="D116" s="39"/>
      <c r="E116" s="39"/>
      <c r="F116" s="39"/>
    </row>
    <row r="117" spans="3:6" x14ac:dyDescent="0.45">
      <c r="C117" s="39"/>
      <c r="D117" s="39"/>
      <c r="E117" s="39"/>
      <c r="F117" s="39"/>
    </row>
    <row r="118" spans="3:6" x14ac:dyDescent="0.45">
      <c r="C118" s="39"/>
      <c r="D118" s="39"/>
      <c r="E118" s="39"/>
      <c r="F118" s="39"/>
    </row>
    <row r="119" spans="3:6" x14ac:dyDescent="0.45">
      <c r="C119" s="39"/>
      <c r="D119" s="39"/>
      <c r="E119" s="39"/>
      <c r="F119" s="39"/>
    </row>
    <row r="120" spans="3:6" x14ac:dyDescent="0.45">
      <c r="C120" s="39"/>
      <c r="D120" s="39"/>
      <c r="E120" s="39"/>
      <c r="F120" s="39"/>
    </row>
    <row r="121" spans="3:6" x14ac:dyDescent="0.45">
      <c r="C121" s="39"/>
      <c r="D121" s="39"/>
      <c r="E121" s="39"/>
      <c r="F121" s="3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AJ87"/>
  <sheetViews>
    <sheetView zoomScale="85" workbookViewId="0">
      <selection activeCell="D19" sqref="D19"/>
    </sheetView>
  </sheetViews>
  <sheetFormatPr defaultColWidth="10.640625" defaultRowHeight="15.9" x14ac:dyDescent="0.45"/>
  <cols>
    <col min="1" max="1" width="10.640625" style="34"/>
    <col min="2" max="2" width="12.5" style="39" bestFit="1" customWidth="1"/>
    <col min="3" max="3" width="12.85546875" style="39" bestFit="1" customWidth="1"/>
    <col min="4" max="4" width="13.85546875" style="39" bestFit="1" customWidth="1"/>
    <col min="5" max="5" width="12.640625" style="39" customWidth="1"/>
    <col min="6" max="6" width="11" style="39" bestFit="1" customWidth="1"/>
    <col min="7" max="7" width="12" style="39" bestFit="1" customWidth="1"/>
    <col min="8" max="8" width="11" style="39" bestFit="1" customWidth="1"/>
    <col min="9" max="10" width="12" style="39" bestFit="1" customWidth="1"/>
    <col min="11" max="11" width="11" style="39" bestFit="1" customWidth="1"/>
    <col min="12" max="19" width="12" style="39" bestFit="1" customWidth="1"/>
    <col min="20" max="20" width="10.85546875" style="39" customWidth="1"/>
    <col min="21" max="28" width="12" style="39" bestFit="1" customWidth="1"/>
    <col min="29" max="29" width="11.140625" style="39" bestFit="1" customWidth="1"/>
    <col min="30" max="30" width="13.5" style="39" bestFit="1" customWidth="1"/>
    <col min="31" max="31" width="12.640625" style="39" bestFit="1" customWidth="1"/>
    <col min="32" max="36" width="10.640625" style="39"/>
    <col min="37" max="16384" width="10.640625" style="34"/>
  </cols>
  <sheetData>
    <row r="2" spans="2:10" x14ac:dyDescent="0.45">
      <c r="B2" s="74" t="s">
        <v>127</v>
      </c>
      <c r="C2" s="146" t="s">
        <v>128</v>
      </c>
      <c r="D2" s="146"/>
      <c r="E2" s="146"/>
      <c r="F2" s="146"/>
      <c r="G2" s="146" t="s">
        <v>129</v>
      </c>
      <c r="H2" s="146"/>
      <c r="I2" s="146"/>
      <c r="J2" s="146"/>
    </row>
    <row r="3" spans="2:10" x14ac:dyDescent="0.45">
      <c r="B3" s="73"/>
      <c r="C3" s="73" t="s">
        <v>130</v>
      </c>
      <c r="D3" s="75" t="s">
        <v>153</v>
      </c>
      <c r="E3" s="73" t="s">
        <v>132</v>
      </c>
      <c r="F3" s="75" t="s">
        <v>154</v>
      </c>
      <c r="G3" s="73" t="s">
        <v>133</v>
      </c>
      <c r="H3" s="75" t="s">
        <v>153</v>
      </c>
      <c r="I3" s="73" t="s">
        <v>134</v>
      </c>
      <c r="J3" s="75" t="s">
        <v>154</v>
      </c>
    </row>
    <row r="4" spans="2:10" x14ac:dyDescent="0.45">
      <c r="B4" s="73" t="s">
        <v>135</v>
      </c>
      <c r="C4" s="39">
        <v>4994842</v>
      </c>
      <c r="D4" s="69">
        <f t="shared" ref="D4:D19" si="0">C4/(1+$C$21)</f>
        <v>4540765.4545454541</v>
      </c>
      <c r="E4" s="39">
        <v>2444871</v>
      </c>
      <c r="F4" s="69">
        <f t="shared" ref="F4:F19" si="1">E4*(1+$C$21)</f>
        <v>2689358.1</v>
      </c>
      <c r="G4" s="70">
        <v>16.053999999999998</v>
      </c>
      <c r="H4" s="71">
        <f t="shared" ref="H4:H19" si="2">G4/(1+$C$21)</f>
        <v>14.594545454545452</v>
      </c>
      <c r="I4" s="70">
        <v>11.032</v>
      </c>
      <c r="J4" s="71">
        <f t="shared" ref="J4:J19" si="3">I4*(1+$C$21)</f>
        <v>12.135200000000001</v>
      </c>
    </row>
    <row r="5" spans="2:10" x14ac:dyDescent="0.45">
      <c r="B5" s="73" t="s">
        <v>136</v>
      </c>
      <c r="C5" s="39">
        <v>349744</v>
      </c>
      <c r="D5" s="69">
        <f t="shared" si="0"/>
        <v>317949.09090909088</v>
      </c>
      <c r="E5" s="39">
        <v>177975</v>
      </c>
      <c r="F5" s="69">
        <f t="shared" si="1"/>
        <v>195772.50000000003</v>
      </c>
      <c r="G5" s="70">
        <v>34.720999999999997</v>
      </c>
      <c r="H5" s="71">
        <f t="shared" si="2"/>
        <v>31.564545454545449</v>
      </c>
      <c r="I5" s="70">
        <v>15.882999999999999</v>
      </c>
      <c r="J5" s="71">
        <f t="shared" si="3"/>
        <v>17.471299999999999</v>
      </c>
    </row>
    <row r="6" spans="2:10" x14ac:dyDescent="0.45">
      <c r="B6" s="73" t="s">
        <v>137</v>
      </c>
      <c r="C6" s="39">
        <v>295101</v>
      </c>
      <c r="D6" s="69">
        <f t="shared" si="0"/>
        <v>268273.63636363635</v>
      </c>
      <c r="E6" s="39">
        <v>92296</v>
      </c>
      <c r="F6" s="69">
        <f t="shared" si="1"/>
        <v>101525.6</v>
      </c>
      <c r="G6" s="70">
        <v>27.379000000000001</v>
      </c>
      <c r="H6" s="71">
        <f t="shared" si="2"/>
        <v>24.89</v>
      </c>
      <c r="I6" s="70">
        <v>15.257</v>
      </c>
      <c r="J6" s="71">
        <f t="shared" si="3"/>
        <v>16.782700000000002</v>
      </c>
    </row>
    <row r="7" spans="2:10" x14ac:dyDescent="0.45">
      <c r="B7" s="73" t="s">
        <v>138</v>
      </c>
      <c r="C7" s="39">
        <v>62030</v>
      </c>
      <c r="D7" s="69">
        <f t="shared" si="0"/>
        <v>56390.909090909088</v>
      </c>
      <c r="E7" s="39">
        <v>6712</v>
      </c>
      <c r="F7" s="69">
        <f t="shared" si="1"/>
        <v>7383.2000000000007</v>
      </c>
      <c r="G7" s="70">
        <v>20.443999999999999</v>
      </c>
      <c r="H7" s="71">
        <f t="shared" si="2"/>
        <v>18.585454545454542</v>
      </c>
      <c r="I7" s="70">
        <v>12.521000000000001</v>
      </c>
      <c r="J7" s="71">
        <f t="shared" si="3"/>
        <v>13.773100000000001</v>
      </c>
    </row>
    <row r="8" spans="2:10" x14ac:dyDescent="0.45">
      <c r="B8" s="73" t="s">
        <v>139</v>
      </c>
      <c r="C8" s="39">
        <v>755133</v>
      </c>
      <c r="D8" s="69">
        <f t="shared" si="0"/>
        <v>686484.54545454541</v>
      </c>
      <c r="E8" s="39">
        <v>1865</v>
      </c>
      <c r="F8" s="69">
        <f t="shared" si="1"/>
        <v>2051.5</v>
      </c>
      <c r="G8" s="70">
        <v>22.635999999999999</v>
      </c>
      <c r="H8" s="71">
        <f t="shared" si="2"/>
        <v>20.578181818181815</v>
      </c>
      <c r="I8" s="70">
        <v>6.5</v>
      </c>
      <c r="J8" s="71">
        <f t="shared" si="3"/>
        <v>7.15</v>
      </c>
    </row>
    <row r="9" spans="2:10" x14ac:dyDescent="0.45">
      <c r="B9" s="23" t="s">
        <v>140</v>
      </c>
      <c r="C9" s="39">
        <v>1041921</v>
      </c>
      <c r="D9" s="69">
        <f t="shared" si="0"/>
        <v>947200.90909090906</v>
      </c>
      <c r="E9" s="39">
        <v>40605</v>
      </c>
      <c r="F9" s="69">
        <f t="shared" si="1"/>
        <v>44665.5</v>
      </c>
      <c r="G9" s="70">
        <v>21.488</v>
      </c>
      <c r="H9" s="71">
        <f t="shared" si="2"/>
        <v>19.534545454545452</v>
      </c>
      <c r="I9" s="70">
        <v>17.228999999999999</v>
      </c>
      <c r="J9" s="71">
        <f t="shared" si="3"/>
        <v>18.951900000000002</v>
      </c>
    </row>
    <row r="10" spans="2:10" x14ac:dyDescent="0.45">
      <c r="B10" s="23" t="s">
        <v>141</v>
      </c>
      <c r="C10" s="39">
        <v>27291</v>
      </c>
      <c r="D10" s="69">
        <f t="shared" si="0"/>
        <v>24809.999999999996</v>
      </c>
      <c r="E10" s="39">
        <v>12009</v>
      </c>
      <c r="F10" s="69">
        <f t="shared" si="1"/>
        <v>13209.900000000001</v>
      </c>
      <c r="G10" s="70">
        <v>17.350999999999999</v>
      </c>
      <c r="H10" s="71">
        <f t="shared" si="2"/>
        <v>15.773636363636362</v>
      </c>
      <c r="I10" s="70">
        <v>10.263</v>
      </c>
      <c r="J10" s="71">
        <f t="shared" si="3"/>
        <v>11.289300000000001</v>
      </c>
    </row>
    <row r="11" spans="2:10" x14ac:dyDescent="0.45">
      <c r="B11" s="23" t="s">
        <v>142</v>
      </c>
      <c r="C11" s="39">
        <v>6870</v>
      </c>
      <c r="D11" s="69">
        <f t="shared" si="0"/>
        <v>6245.454545454545</v>
      </c>
      <c r="E11" s="39">
        <v>654</v>
      </c>
      <c r="F11" s="69">
        <f t="shared" si="1"/>
        <v>719.40000000000009</v>
      </c>
      <c r="G11" s="70">
        <v>21.367999999999999</v>
      </c>
      <c r="H11" s="71">
        <f t="shared" si="2"/>
        <v>19.425454545454542</v>
      </c>
      <c r="I11" s="70">
        <v>5.3760000000000003</v>
      </c>
      <c r="J11" s="71">
        <f t="shared" si="3"/>
        <v>5.9136000000000006</v>
      </c>
    </row>
    <row r="12" spans="2:10" x14ac:dyDescent="0.45">
      <c r="B12" s="23" t="s">
        <v>143</v>
      </c>
      <c r="C12" s="39">
        <v>3540</v>
      </c>
      <c r="D12" s="69">
        <f t="shared" si="0"/>
        <v>3218.181818181818</v>
      </c>
      <c r="E12" s="39">
        <v>659</v>
      </c>
      <c r="F12" s="69">
        <f t="shared" si="1"/>
        <v>724.90000000000009</v>
      </c>
      <c r="G12" s="70">
        <v>56.777999999999999</v>
      </c>
      <c r="H12" s="71">
        <f t="shared" si="2"/>
        <v>51.61636363636363</v>
      </c>
      <c r="I12" s="70">
        <v>27.632999999999999</v>
      </c>
      <c r="J12" s="71">
        <f t="shared" si="3"/>
        <v>30.3963</v>
      </c>
    </row>
    <row r="13" spans="2:10" x14ac:dyDescent="0.45">
      <c r="B13" s="23" t="s">
        <v>144</v>
      </c>
      <c r="C13" s="39">
        <v>160011</v>
      </c>
      <c r="D13" s="69">
        <f t="shared" si="0"/>
        <v>145464.54545454544</v>
      </c>
      <c r="E13" s="39">
        <v>56542</v>
      </c>
      <c r="F13" s="69">
        <f t="shared" si="1"/>
        <v>62196.200000000004</v>
      </c>
      <c r="G13" s="70">
        <v>45.369</v>
      </c>
      <c r="H13" s="71">
        <f t="shared" si="2"/>
        <v>41.244545454545452</v>
      </c>
      <c r="I13" s="70">
        <v>31.416</v>
      </c>
      <c r="J13" s="71">
        <f t="shared" si="3"/>
        <v>34.557600000000001</v>
      </c>
    </row>
    <row r="14" spans="2:10" x14ac:dyDescent="0.45">
      <c r="B14" s="23" t="s">
        <v>145</v>
      </c>
      <c r="C14" s="39">
        <v>2312</v>
      </c>
      <c r="D14" s="69">
        <f t="shared" si="0"/>
        <v>2101.8181818181815</v>
      </c>
      <c r="E14" s="39">
        <v>185</v>
      </c>
      <c r="F14" s="69">
        <f t="shared" si="1"/>
        <v>203.50000000000003</v>
      </c>
      <c r="G14" s="70">
        <v>16.89</v>
      </c>
      <c r="H14" s="71">
        <f t="shared" si="2"/>
        <v>15.354545454545454</v>
      </c>
      <c r="I14" s="70">
        <v>5.6390000000000002</v>
      </c>
      <c r="J14" s="71">
        <f t="shared" si="3"/>
        <v>6.2029000000000005</v>
      </c>
    </row>
    <row r="15" spans="2:10" x14ac:dyDescent="0.45">
      <c r="B15" s="23" t="s">
        <v>146</v>
      </c>
      <c r="C15" s="39">
        <v>191407</v>
      </c>
      <c r="D15" s="69">
        <f t="shared" si="0"/>
        <v>174006.36363636362</v>
      </c>
      <c r="E15" s="39">
        <v>314</v>
      </c>
      <c r="F15" s="69">
        <f t="shared" si="1"/>
        <v>345.40000000000003</v>
      </c>
      <c r="G15" s="70">
        <v>7.1470000000000002</v>
      </c>
      <c r="H15" s="71">
        <f t="shared" si="2"/>
        <v>6.4972727272727271</v>
      </c>
      <c r="I15" s="70">
        <v>2</v>
      </c>
      <c r="J15" s="71">
        <f t="shared" si="3"/>
        <v>2.2000000000000002</v>
      </c>
    </row>
    <row r="16" spans="2:10" x14ac:dyDescent="0.45">
      <c r="B16" s="23" t="s">
        <v>147</v>
      </c>
      <c r="C16" s="39">
        <v>1232</v>
      </c>
      <c r="D16" s="69">
        <f t="shared" si="0"/>
        <v>1120</v>
      </c>
      <c r="E16" s="39">
        <v>103</v>
      </c>
      <c r="F16" s="69">
        <f t="shared" si="1"/>
        <v>113.30000000000001</v>
      </c>
      <c r="G16" s="70">
        <v>79.674999999999997</v>
      </c>
      <c r="H16" s="71">
        <f t="shared" si="2"/>
        <v>72.431818181818173</v>
      </c>
      <c r="I16" s="70">
        <v>28.423999999999999</v>
      </c>
      <c r="J16" s="71">
        <f t="shared" si="3"/>
        <v>31.266400000000001</v>
      </c>
    </row>
    <row r="17" spans="2:28" x14ac:dyDescent="0.45">
      <c r="B17" s="23" t="s">
        <v>148</v>
      </c>
      <c r="C17" s="39">
        <v>84402</v>
      </c>
      <c r="D17" s="69">
        <f t="shared" si="0"/>
        <v>76729.090909090897</v>
      </c>
      <c r="E17" s="39">
        <v>16220</v>
      </c>
      <c r="F17" s="69">
        <f t="shared" si="1"/>
        <v>17842</v>
      </c>
      <c r="G17" s="70">
        <v>17.689</v>
      </c>
      <c r="H17" s="71">
        <f t="shared" si="2"/>
        <v>16.080909090909088</v>
      </c>
      <c r="I17" s="70">
        <v>10.791</v>
      </c>
      <c r="J17" s="71">
        <f t="shared" si="3"/>
        <v>11.870100000000001</v>
      </c>
    </row>
    <row r="18" spans="2:28" x14ac:dyDescent="0.45">
      <c r="B18" s="23" t="s">
        <v>149</v>
      </c>
      <c r="C18" s="39">
        <v>2201</v>
      </c>
      <c r="D18" s="69">
        <f t="shared" si="0"/>
        <v>2000.9090909090908</v>
      </c>
      <c r="E18" s="39">
        <v>51</v>
      </c>
      <c r="F18" s="69">
        <f t="shared" si="1"/>
        <v>56.1</v>
      </c>
      <c r="G18" s="70">
        <v>13.021000000000001</v>
      </c>
      <c r="H18" s="71">
        <f t="shared" si="2"/>
        <v>11.837272727272728</v>
      </c>
      <c r="I18" s="70">
        <v>8.4120000000000008</v>
      </c>
      <c r="J18" s="71">
        <f t="shared" si="3"/>
        <v>9.2532000000000014</v>
      </c>
    </row>
    <row r="19" spans="2:28" x14ac:dyDescent="0.45">
      <c r="B19" s="23" t="s">
        <v>150</v>
      </c>
      <c r="C19" s="39">
        <v>48472</v>
      </c>
      <c r="D19" s="69">
        <f t="shared" si="0"/>
        <v>44065.454545454544</v>
      </c>
      <c r="E19" s="39">
        <v>562</v>
      </c>
      <c r="F19" s="69">
        <f t="shared" si="1"/>
        <v>618.20000000000005</v>
      </c>
      <c r="G19" s="70">
        <v>24.541</v>
      </c>
      <c r="H19" s="71">
        <f t="shared" si="2"/>
        <v>22.31</v>
      </c>
      <c r="I19" s="70">
        <v>1</v>
      </c>
      <c r="J19" s="71">
        <f t="shared" si="3"/>
        <v>1.1000000000000001</v>
      </c>
    </row>
    <row r="20" spans="2:28" x14ac:dyDescent="0.45">
      <c r="B20" s="73"/>
    </row>
    <row r="21" spans="2:28" x14ac:dyDescent="0.45">
      <c r="B21" s="78" t="s">
        <v>155</v>
      </c>
      <c r="C21" s="76">
        <v>0.1</v>
      </c>
    </row>
    <row r="24" spans="2:28" x14ac:dyDescent="0.45">
      <c r="B24" s="72" t="s">
        <v>37</v>
      </c>
      <c r="C24" s="72">
        <v>0</v>
      </c>
      <c r="D24" s="72">
        <v>1</v>
      </c>
      <c r="E24" s="72">
        <v>2</v>
      </c>
      <c r="F24" s="72">
        <v>3</v>
      </c>
      <c r="G24" s="72">
        <v>4</v>
      </c>
      <c r="H24" s="72">
        <v>5</v>
      </c>
      <c r="I24" s="72">
        <v>6</v>
      </c>
      <c r="J24" s="72">
        <v>7</v>
      </c>
      <c r="K24" s="72">
        <v>8</v>
      </c>
      <c r="L24" s="72">
        <v>9</v>
      </c>
      <c r="M24" s="72">
        <v>10</v>
      </c>
      <c r="N24" s="72">
        <v>11</v>
      </c>
      <c r="O24" s="72">
        <v>12</v>
      </c>
      <c r="P24" s="72">
        <v>13</v>
      </c>
      <c r="Q24" s="72">
        <v>14</v>
      </c>
      <c r="R24" s="72">
        <v>15</v>
      </c>
      <c r="S24" s="72">
        <v>16</v>
      </c>
      <c r="T24" s="72">
        <v>17</v>
      </c>
      <c r="U24" s="72">
        <v>18</v>
      </c>
      <c r="V24" s="72">
        <v>19</v>
      </c>
      <c r="W24" s="72">
        <v>20</v>
      </c>
      <c r="X24" s="72">
        <v>21</v>
      </c>
      <c r="Y24" s="72">
        <v>22</v>
      </c>
      <c r="Z24" s="72">
        <v>23</v>
      </c>
      <c r="AA24" s="72">
        <v>24</v>
      </c>
      <c r="AB24" s="72">
        <v>25</v>
      </c>
    </row>
    <row r="25" spans="2:28" x14ac:dyDescent="0.4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2:28" x14ac:dyDescent="0.45">
      <c r="B26" s="73" t="s">
        <v>135</v>
      </c>
      <c r="D26" s="39">
        <f ca="1">RANDBETWEEN($F4,$D4)*(RANDBETWEEN($J4,$H4))</f>
        <v>57918938</v>
      </c>
      <c r="E26" s="39">
        <f t="shared" ref="E26:AB26" ca="1" si="4">RANDBETWEEN($F4,$D4)*(RANDBETWEEN($J4,$H4))</f>
        <v>46215722</v>
      </c>
      <c r="F26" s="39">
        <f t="shared" ca="1" si="4"/>
        <v>57379881</v>
      </c>
      <c r="G26" s="39">
        <f t="shared" ca="1" si="4"/>
        <v>54042002</v>
      </c>
      <c r="H26" s="39">
        <f t="shared" ca="1" si="4"/>
        <v>57282918</v>
      </c>
      <c r="I26" s="39">
        <f t="shared" ca="1" si="4"/>
        <v>47936644</v>
      </c>
      <c r="J26" s="39">
        <f t="shared" ca="1" si="4"/>
        <v>63048132</v>
      </c>
      <c r="K26" s="39">
        <f t="shared" ca="1" si="4"/>
        <v>45574828</v>
      </c>
      <c r="L26" s="39">
        <f t="shared" ca="1" si="4"/>
        <v>47546324</v>
      </c>
      <c r="M26" s="39">
        <f t="shared" ca="1" si="4"/>
        <v>44561218</v>
      </c>
      <c r="N26" s="39">
        <f t="shared" ca="1" si="4"/>
        <v>42965776</v>
      </c>
      <c r="O26" s="39">
        <f t="shared" ca="1" si="4"/>
        <v>35792276</v>
      </c>
      <c r="P26" s="39">
        <f t="shared" ca="1" si="4"/>
        <v>36524332</v>
      </c>
      <c r="Q26" s="39">
        <f t="shared" ca="1" si="4"/>
        <v>56636749</v>
      </c>
      <c r="R26" s="39">
        <f t="shared" ca="1" si="4"/>
        <v>42383302</v>
      </c>
      <c r="S26" s="39">
        <f t="shared" ca="1" si="4"/>
        <v>57101156</v>
      </c>
      <c r="T26" s="39">
        <f t="shared" ca="1" si="4"/>
        <v>37452025</v>
      </c>
      <c r="U26" s="39">
        <f t="shared" ca="1" si="4"/>
        <v>55670927</v>
      </c>
      <c r="V26" s="39">
        <f t="shared" ca="1" si="4"/>
        <v>40840996</v>
      </c>
      <c r="W26" s="39">
        <f t="shared" ca="1" si="4"/>
        <v>47090940</v>
      </c>
      <c r="X26" s="39">
        <f t="shared" ca="1" si="4"/>
        <v>54277860</v>
      </c>
      <c r="Y26" s="39">
        <f t="shared" ca="1" si="4"/>
        <v>40546844</v>
      </c>
      <c r="Z26" s="39">
        <f t="shared" ca="1" si="4"/>
        <v>49869414</v>
      </c>
      <c r="AA26" s="39">
        <f t="shared" ca="1" si="4"/>
        <v>55342616</v>
      </c>
      <c r="AB26" s="39">
        <f t="shared" ca="1" si="4"/>
        <v>52507286</v>
      </c>
    </row>
    <row r="27" spans="2:28" x14ac:dyDescent="0.45">
      <c r="B27" s="73" t="s">
        <v>136</v>
      </c>
      <c r="D27" s="39">
        <f t="shared" ref="D27:AB27" ca="1" si="5">RANDBETWEEN($F5,$D5)*(RANDBETWEEN($J5,$H5))</f>
        <v>4539524</v>
      </c>
      <c r="E27" s="39">
        <f t="shared" ca="1" si="5"/>
        <v>7324711</v>
      </c>
      <c r="F27" s="39">
        <f t="shared" ca="1" si="5"/>
        <v>6773954</v>
      </c>
      <c r="G27" s="39">
        <f t="shared" ca="1" si="5"/>
        <v>6331872</v>
      </c>
      <c r="H27" s="39">
        <f t="shared" ca="1" si="5"/>
        <v>6671553</v>
      </c>
      <c r="I27" s="39">
        <f t="shared" ca="1" si="5"/>
        <v>8145781</v>
      </c>
      <c r="J27" s="39">
        <f t="shared" ca="1" si="5"/>
        <v>7301616</v>
      </c>
      <c r="K27" s="39">
        <f t="shared" ca="1" si="5"/>
        <v>4711411</v>
      </c>
      <c r="L27" s="39">
        <f t="shared" ca="1" si="5"/>
        <v>7299624</v>
      </c>
      <c r="M27" s="39">
        <f t="shared" ca="1" si="5"/>
        <v>7566572</v>
      </c>
      <c r="N27" s="39">
        <f t="shared" ca="1" si="5"/>
        <v>5048832</v>
      </c>
      <c r="O27" s="39">
        <f t="shared" ca="1" si="5"/>
        <v>6129333</v>
      </c>
      <c r="P27" s="39">
        <f t="shared" ca="1" si="5"/>
        <v>7553208</v>
      </c>
      <c r="Q27" s="39">
        <f t="shared" ca="1" si="5"/>
        <v>6408828</v>
      </c>
      <c r="R27" s="39">
        <f t="shared" ca="1" si="5"/>
        <v>5952456</v>
      </c>
      <c r="S27" s="39">
        <f t="shared" ca="1" si="5"/>
        <v>4943780</v>
      </c>
      <c r="T27" s="39">
        <f t="shared" ca="1" si="5"/>
        <v>6150270</v>
      </c>
      <c r="U27" s="39">
        <f t="shared" ca="1" si="5"/>
        <v>5488700</v>
      </c>
      <c r="V27" s="39">
        <f t="shared" ca="1" si="5"/>
        <v>8405343</v>
      </c>
      <c r="W27" s="39">
        <f t="shared" ca="1" si="5"/>
        <v>5336672</v>
      </c>
      <c r="X27" s="39">
        <f t="shared" ca="1" si="5"/>
        <v>8262720</v>
      </c>
      <c r="Y27" s="39">
        <f t="shared" ca="1" si="5"/>
        <v>8537513</v>
      </c>
      <c r="Z27" s="39">
        <f t="shared" ca="1" si="5"/>
        <v>5868740</v>
      </c>
      <c r="AA27" s="39">
        <f t="shared" ca="1" si="5"/>
        <v>4729788</v>
      </c>
      <c r="AB27" s="39">
        <f t="shared" ca="1" si="5"/>
        <v>7298235</v>
      </c>
    </row>
    <row r="28" spans="2:28" x14ac:dyDescent="0.45">
      <c r="B28" s="73" t="s">
        <v>137</v>
      </c>
      <c r="D28" s="39">
        <f t="shared" ref="D28:AB28" ca="1" si="6">RANDBETWEEN($F6,$D6)*(RANDBETWEEN($J6,$H6))</f>
        <v>5005260</v>
      </c>
      <c r="E28" s="39">
        <f t="shared" ca="1" si="6"/>
        <v>3063791</v>
      </c>
      <c r="F28" s="39">
        <f t="shared" ca="1" si="6"/>
        <v>3107280</v>
      </c>
      <c r="G28" s="39">
        <f t="shared" ca="1" si="6"/>
        <v>2041683</v>
      </c>
      <c r="H28" s="39">
        <f t="shared" ca="1" si="6"/>
        <v>2643960</v>
      </c>
      <c r="I28" s="39">
        <f t="shared" ca="1" si="6"/>
        <v>3859542</v>
      </c>
      <c r="J28" s="39">
        <f t="shared" ca="1" si="6"/>
        <v>2624292</v>
      </c>
      <c r="K28" s="39">
        <f t="shared" ca="1" si="6"/>
        <v>2909477</v>
      </c>
      <c r="L28" s="39">
        <f t="shared" ca="1" si="6"/>
        <v>5016369</v>
      </c>
      <c r="M28" s="39">
        <f t="shared" ca="1" si="6"/>
        <v>5411076</v>
      </c>
      <c r="N28" s="39">
        <f t="shared" ca="1" si="6"/>
        <v>5844806</v>
      </c>
      <c r="O28" s="39">
        <f t="shared" ca="1" si="6"/>
        <v>2498680</v>
      </c>
      <c r="P28" s="39">
        <f t="shared" ca="1" si="6"/>
        <v>5001281</v>
      </c>
      <c r="Q28" s="39">
        <f t="shared" ca="1" si="6"/>
        <v>4398750</v>
      </c>
      <c r="R28" s="39">
        <f t="shared" ca="1" si="6"/>
        <v>3302200</v>
      </c>
      <c r="S28" s="39">
        <f t="shared" ca="1" si="6"/>
        <v>3073608</v>
      </c>
      <c r="T28" s="39">
        <f t="shared" ca="1" si="6"/>
        <v>3325842</v>
      </c>
      <c r="U28" s="39">
        <f t="shared" ca="1" si="6"/>
        <v>1892168</v>
      </c>
      <c r="V28" s="39">
        <f t="shared" ca="1" si="6"/>
        <v>3032712</v>
      </c>
      <c r="W28" s="39">
        <f t="shared" ca="1" si="6"/>
        <v>4189025</v>
      </c>
      <c r="X28" s="39">
        <f t="shared" ca="1" si="6"/>
        <v>3732379</v>
      </c>
      <c r="Y28" s="39">
        <f t="shared" ca="1" si="6"/>
        <v>3818914</v>
      </c>
      <c r="Z28" s="39">
        <f t="shared" ca="1" si="6"/>
        <v>4882202</v>
      </c>
      <c r="AA28" s="39">
        <f t="shared" ca="1" si="6"/>
        <v>2210578</v>
      </c>
      <c r="AB28" s="39">
        <f t="shared" ca="1" si="6"/>
        <v>3860700</v>
      </c>
    </row>
    <row r="29" spans="2:28" x14ac:dyDescent="0.45">
      <c r="B29" s="73" t="s">
        <v>138</v>
      </c>
      <c r="D29" s="39">
        <f t="shared" ref="D29:AB29" ca="1" si="7">RANDBETWEEN($F7,$D7)*(RANDBETWEEN($J7,$H7))</f>
        <v>144448</v>
      </c>
      <c r="E29" s="39">
        <f t="shared" ca="1" si="7"/>
        <v>128352</v>
      </c>
      <c r="F29" s="39">
        <f t="shared" ca="1" si="7"/>
        <v>357748</v>
      </c>
      <c r="G29" s="39">
        <f t="shared" ca="1" si="7"/>
        <v>450018</v>
      </c>
      <c r="H29" s="39">
        <f t="shared" ca="1" si="7"/>
        <v>373218</v>
      </c>
      <c r="I29" s="39">
        <f t="shared" ca="1" si="7"/>
        <v>371536</v>
      </c>
      <c r="J29" s="39">
        <f t="shared" ca="1" si="7"/>
        <v>217991</v>
      </c>
      <c r="K29" s="39">
        <f t="shared" ca="1" si="7"/>
        <v>943578</v>
      </c>
      <c r="L29" s="39">
        <f t="shared" ca="1" si="7"/>
        <v>502628</v>
      </c>
      <c r="M29" s="39">
        <f t="shared" ca="1" si="7"/>
        <v>432334</v>
      </c>
      <c r="N29" s="39">
        <f t="shared" ca="1" si="7"/>
        <v>483364</v>
      </c>
      <c r="O29" s="39">
        <f t="shared" ca="1" si="7"/>
        <v>618783</v>
      </c>
      <c r="P29" s="39">
        <f t="shared" ca="1" si="7"/>
        <v>316251</v>
      </c>
      <c r="Q29" s="39">
        <f t="shared" ca="1" si="7"/>
        <v>199120</v>
      </c>
      <c r="R29" s="39">
        <f t="shared" ca="1" si="7"/>
        <v>704508</v>
      </c>
      <c r="S29" s="39">
        <f t="shared" ca="1" si="7"/>
        <v>601698</v>
      </c>
      <c r="T29" s="39">
        <f t="shared" ca="1" si="7"/>
        <v>506324</v>
      </c>
      <c r="U29" s="39">
        <f t="shared" ca="1" si="7"/>
        <v>488208</v>
      </c>
      <c r="V29" s="39">
        <f t="shared" ca="1" si="7"/>
        <v>161760</v>
      </c>
      <c r="W29" s="39">
        <f t="shared" ca="1" si="7"/>
        <v>904554</v>
      </c>
      <c r="X29" s="39">
        <f t="shared" ca="1" si="7"/>
        <v>278908</v>
      </c>
      <c r="Y29" s="39">
        <f t="shared" ca="1" si="7"/>
        <v>786512</v>
      </c>
      <c r="Z29" s="39">
        <f t="shared" ca="1" si="7"/>
        <v>669645</v>
      </c>
      <c r="AA29" s="39">
        <f t="shared" ca="1" si="7"/>
        <v>191879</v>
      </c>
      <c r="AB29" s="39">
        <f t="shared" ca="1" si="7"/>
        <v>123315</v>
      </c>
    </row>
    <row r="30" spans="2:28" x14ac:dyDescent="0.45">
      <c r="B30" s="73" t="s">
        <v>139</v>
      </c>
      <c r="D30" s="39">
        <f t="shared" ref="D30:AB30" ca="1" si="8">RANDBETWEEN($F8,$D8)*(RANDBETWEEN($J8,$H8))</f>
        <v>3196848</v>
      </c>
      <c r="E30" s="39">
        <f t="shared" ca="1" si="8"/>
        <v>4702744</v>
      </c>
      <c r="F30" s="39">
        <f t="shared" ca="1" si="8"/>
        <v>708285</v>
      </c>
      <c r="G30" s="39">
        <f t="shared" ca="1" si="8"/>
        <v>576272</v>
      </c>
      <c r="H30" s="39">
        <f t="shared" ca="1" si="8"/>
        <v>9327546</v>
      </c>
      <c r="I30" s="39">
        <f t="shared" ca="1" si="8"/>
        <v>3638390</v>
      </c>
      <c r="J30" s="39">
        <f t="shared" ca="1" si="8"/>
        <v>4259340</v>
      </c>
      <c r="K30" s="39">
        <f t="shared" ca="1" si="8"/>
        <v>8063775</v>
      </c>
      <c r="L30" s="39">
        <f t="shared" ca="1" si="8"/>
        <v>2885800</v>
      </c>
      <c r="M30" s="39">
        <f t="shared" ca="1" si="8"/>
        <v>4554912</v>
      </c>
      <c r="N30" s="39">
        <f t="shared" ca="1" si="8"/>
        <v>1070145</v>
      </c>
      <c r="O30" s="39">
        <f t="shared" ca="1" si="8"/>
        <v>151259</v>
      </c>
      <c r="P30" s="39">
        <f t="shared" ca="1" si="8"/>
        <v>2813188</v>
      </c>
      <c r="Q30" s="39">
        <f t="shared" ca="1" si="8"/>
        <v>5435344</v>
      </c>
      <c r="R30" s="39">
        <f t="shared" ca="1" si="8"/>
        <v>4942561</v>
      </c>
      <c r="S30" s="39">
        <f t="shared" ca="1" si="8"/>
        <v>1843829</v>
      </c>
      <c r="T30" s="39">
        <f t="shared" ca="1" si="8"/>
        <v>7297122</v>
      </c>
      <c r="U30" s="39">
        <f t="shared" ca="1" si="8"/>
        <v>10703863</v>
      </c>
      <c r="V30" s="39">
        <f t="shared" ca="1" si="8"/>
        <v>119124</v>
      </c>
      <c r="W30" s="39">
        <f t="shared" ca="1" si="8"/>
        <v>1795794</v>
      </c>
      <c r="X30" s="39">
        <f t="shared" ca="1" si="8"/>
        <v>4840472</v>
      </c>
      <c r="Y30" s="39">
        <f t="shared" ca="1" si="8"/>
        <v>6419650</v>
      </c>
      <c r="Z30" s="39">
        <f t="shared" ca="1" si="8"/>
        <v>4311490</v>
      </c>
      <c r="AA30" s="39">
        <f t="shared" ca="1" si="8"/>
        <v>5570262</v>
      </c>
      <c r="AB30" s="39">
        <f t="shared" ca="1" si="8"/>
        <v>3280696</v>
      </c>
    </row>
    <row r="31" spans="2:28" x14ac:dyDescent="0.45">
      <c r="B31" s="23" t="s">
        <v>140</v>
      </c>
      <c r="D31" s="39">
        <f t="shared" ref="D31:AB31" ca="1" si="9">RANDBETWEEN($F9,$D9)*(RANDBETWEEN($J9,$H9))</f>
        <v>2897538</v>
      </c>
      <c r="E31" s="39">
        <f t="shared" ca="1" si="9"/>
        <v>7366300</v>
      </c>
      <c r="F31" s="39">
        <f t="shared" ca="1" si="9"/>
        <v>12188557</v>
      </c>
      <c r="G31" s="39">
        <f t="shared" ca="1" si="9"/>
        <v>1296465</v>
      </c>
      <c r="H31" s="39">
        <f t="shared" ca="1" si="9"/>
        <v>7839552</v>
      </c>
      <c r="I31" s="39">
        <f t="shared" ca="1" si="9"/>
        <v>12934421</v>
      </c>
      <c r="J31" s="39">
        <f t="shared" ca="1" si="9"/>
        <v>1158734</v>
      </c>
      <c r="K31" s="39">
        <f t="shared" ca="1" si="9"/>
        <v>11812148</v>
      </c>
      <c r="L31" s="39">
        <f t="shared" ca="1" si="9"/>
        <v>9177532</v>
      </c>
      <c r="M31" s="39">
        <f t="shared" ca="1" si="9"/>
        <v>8473791</v>
      </c>
      <c r="N31" s="39">
        <f t="shared" ca="1" si="9"/>
        <v>5693711</v>
      </c>
      <c r="O31" s="39">
        <f t="shared" ca="1" si="9"/>
        <v>13445844</v>
      </c>
      <c r="P31" s="39">
        <f t="shared" ca="1" si="9"/>
        <v>7470458</v>
      </c>
      <c r="Q31" s="39">
        <f t="shared" ca="1" si="9"/>
        <v>902424</v>
      </c>
      <c r="R31" s="39">
        <f t="shared" ca="1" si="9"/>
        <v>7469242</v>
      </c>
      <c r="S31" s="39">
        <f t="shared" ca="1" si="9"/>
        <v>1943814</v>
      </c>
      <c r="T31" s="39">
        <f t="shared" ca="1" si="9"/>
        <v>3705076</v>
      </c>
      <c r="U31" s="39">
        <f t="shared" ca="1" si="9"/>
        <v>9915568</v>
      </c>
      <c r="V31" s="39">
        <f t="shared" ca="1" si="9"/>
        <v>13760617</v>
      </c>
      <c r="W31" s="39">
        <f t="shared" ca="1" si="9"/>
        <v>3036618</v>
      </c>
      <c r="X31" s="39">
        <f t="shared" ca="1" si="9"/>
        <v>6251019</v>
      </c>
      <c r="Y31" s="39">
        <f t="shared" ca="1" si="9"/>
        <v>1599515</v>
      </c>
      <c r="Z31" s="39">
        <f t="shared" ca="1" si="9"/>
        <v>2073641</v>
      </c>
      <c r="AA31" s="39">
        <f t="shared" ca="1" si="9"/>
        <v>13410884</v>
      </c>
      <c r="AB31" s="39">
        <f t="shared" ca="1" si="9"/>
        <v>5723313</v>
      </c>
    </row>
    <row r="32" spans="2:28" x14ac:dyDescent="0.45">
      <c r="B32" s="23" t="s">
        <v>141</v>
      </c>
      <c r="D32" s="39">
        <f t="shared" ref="D32:AB32" ca="1" si="10">RANDBETWEEN($F10,$D10)*(RANDBETWEEN($J10,$H10))</f>
        <v>325500</v>
      </c>
      <c r="E32" s="39">
        <f t="shared" ca="1" si="10"/>
        <v>223720</v>
      </c>
      <c r="F32" s="39">
        <f t="shared" ca="1" si="10"/>
        <v>221625</v>
      </c>
      <c r="G32" s="39">
        <f t="shared" ca="1" si="10"/>
        <v>305580</v>
      </c>
      <c r="H32" s="39">
        <f t="shared" ca="1" si="10"/>
        <v>268875</v>
      </c>
      <c r="I32" s="39">
        <f t="shared" ca="1" si="10"/>
        <v>289770</v>
      </c>
      <c r="J32" s="39">
        <f t="shared" ca="1" si="10"/>
        <v>224220</v>
      </c>
      <c r="K32" s="39">
        <f t="shared" ca="1" si="10"/>
        <v>291239</v>
      </c>
      <c r="L32" s="39">
        <f t="shared" ca="1" si="10"/>
        <v>221354</v>
      </c>
      <c r="M32" s="39">
        <f t="shared" ca="1" si="10"/>
        <v>178320</v>
      </c>
      <c r="N32" s="39">
        <f t="shared" ca="1" si="10"/>
        <v>216135</v>
      </c>
      <c r="O32" s="39">
        <f t="shared" ca="1" si="10"/>
        <v>262220</v>
      </c>
      <c r="P32" s="39">
        <f t="shared" ca="1" si="10"/>
        <v>312910</v>
      </c>
      <c r="Q32" s="39">
        <f t="shared" ca="1" si="10"/>
        <v>252135</v>
      </c>
      <c r="R32" s="39">
        <f t="shared" ca="1" si="10"/>
        <v>240772</v>
      </c>
      <c r="S32" s="39">
        <f t="shared" ca="1" si="10"/>
        <v>280742</v>
      </c>
      <c r="T32" s="39">
        <f t="shared" ca="1" si="10"/>
        <v>168768</v>
      </c>
      <c r="U32" s="39">
        <f t="shared" ca="1" si="10"/>
        <v>196574</v>
      </c>
      <c r="V32" s="39">
        <f t="shared" ca="1" si="10"/>
        <v>215088</v>
      </c>
      <c r="W32" s="39">
        <f t="shared" ca="1" si="10"/>
        <v>210396</v>
      </c>
      <c r="X32" s="39">
        <f t="shared" ca="1" si="10"/>
        <v>242886</v>
      </c>
      <c r="Y32" s="39">
        <f t="shared" ca="1" si="10"/>
        <v>280665</v>
      </c>
      <c r="Z32" s="39">
        <f t="shared" ca="1" si="10"/>
        <v>294384</v>
      </c>
      <c r="AA32" s="39">
        <f t="shared" ca="1" si="10"/>
        <v>206360</v>
      </c>
      <c r="AB32" s="39">
        <f t="shared" ca="1" si="10"/>
        <v>263640</v>
      </c>
    </row>
    <row r="33" spans="2:28" x14ac:dyDescent="0.45">
      <c r="B33" s="23" t="s">
        <v>142</v>
      </c>
      <c r="D33" s="39">
        <f t="shared" ref="D33:AB33" ca="1" si="11">RANDBETWEEN($F11,$D11)*(RANDBETWEEN($J11,$H11))</f>
        <v>27438</v>
      </c>
      <c r="E33" s="39">
        <f t="shared" ca="1" si="11"/>
        <v>26460</v>
      </c>
      <c r="F33" s="39">
        <f t="shared" ca="1" si="11"/>
        <v>41769</v>
      </c>
      <c r="G33" s="39">
        <f t="shared" ca="1" si="11"/>
        <v>25069</v>
      </c>
      <c r="H33" s="39">
        <f t="shared" ca="1" si="11"/>
        <v>52992</v>
      </c>
      <c r="I33" s="39">
        <f t="shared" ca="1" si="11"/>
        <v>23715</v>
      </c>
      <c r="J33" s="39">
        <f t="shared" ca="1" si="11"/>
        <v>14832</v>
      </c>
      <c r="K33" s="39">
        <f t="shared" ca="1" si="11"/>
        <v>40915</v>
      </c>
      <c r="L33" s="39">
        <f t="shared" ca="1" si="11"/>
        <v>45339</v>
      </c>
      <c r="M33" s="39">
        <f t="shared" ca="1" si="11"/>
        <v>32181</v>
      </c>
      <c r="N33" s="39">
        <f t="shared" ca="1" si="11"/>
        <v>65611</v>
      </c>
      <c r="O33" s="39">
        <f t="shared" ca="1" si="11"/>
        <v>65296</v>
      </c>
      <c r="P33" s="39">
        <f t="shared" ca="1" si="11"/>
        <v>21345</v>
      </c>
      <c r="Q33" s="39">
        <f t="shared" ca="1" si="11"/>
        <v>24112</v>
      </c>
      <c r="R33" s="39">
        <f t="shared" ca="1" si="11"/>
        <v>45526</v>
      </c>
      <c r="S33" s="39">
        <f t="shared" ca="1" si="11"/>
        <v>83566</v>
      </c>
      <c r="T33" s="39">
        <f t="shared" ca="1" si="11"/>
        <v>22568</v>
      </c>
      <c r="U33" s="39">
        <f t="shared" ca="1" si="11"/>
        <v>46696</v>
      </c>
      <c r="V33" s="39">
        <f t="shared" ca="1" si="11"/>
        <v>13176</v>
      </c>
      <c r="W33" s="39">
        <f t="shared" ca="1" si="11"/>
        <v>41093</v>
      </c>
      <c r="X33" s="39">
        <f t="shared" ca="1" si="11"/>
        <v>53636</v>
      </c>
      <c r="Y33" s="39">
        <f t="shared" ca="1" si="11"/>
        <v>42598</v>
      </c>
      <c r="Z33" s="39">
        <f t="shared" ca="1" si="11"/>
        <v>24800</v>
      </c>
      <c r="AA33" s="39">
        <f t="shared" ca="1" si="11"/>
        <v>29860</v>
      </c>
      <c r="AB33" s="39">
        <f t="shared" ca="1" si="11"/>
        <v>106236</v>
      </c>
    </row>
    <row r="34" spans="2:28" x14ac:dyDescent="0.45">
      <c r="B34" s="23" t="s">
        <v>143</v>
      </c>
      <c r="D34" s="39">
        <f t="shared" ref="D34:AB34" ca="1" si="12">RANDBETWEEN($F12,$D12)*(RANDBETWEEN($J12,$H12))</f>
        <v>70334</v>
      </c>
      <c r="E34" s="39">
        <f t="shared" ca="1" si="12"/>
        <v>54900</v>
      </c>
      <c r="F34" s="39">
        <f t="shared" ca="1" si="12"/>
        <v>49770</v>
      </c>
      <c r="G34" s="39">
        <f t="shared" ca="1" si="12"/>
        <v>117656</v>
      </c>
      <c r="H34" s="39">
        <f t="shared" ca="1" si="12"/>
        <v>81065</v>
      </c>
      <c r="I34" s="39">
        <f t="shared" ca="1" si="12"/>
        <v>60144</v>
      </c>
      <c r="J34" s="39">
        <f t="shared" ca="1" si="12"/>
        <v>61611</v>
      </c>
      <c r="K34" s="39">
        <f t="shared" ca="1" si="12"/>
        <v>53998</v>
      </c>
      <c r="L34" s="39">
        <f t="shared" ca="1" si="12"/>
        <v>120939</v>
      </c>
      <c r="M34" s="39">
        <f t="shared" ca="1" si="12"/>
        <v>39146</v>
      </c>
      <c r="N34" s="39">
        <f t="shared" ca="1" si="12"/>
        <v>24645</v>
      </c>
      <c r="O34" s="39">
        <f t="shared" ca="1" si="12"/>
        <v>105070</v>
      </c>
      <c r="P34" s="39">
        <f t="shared" ca="1" si="12"/>
        <v>92600</v>
      </c>
      <c r="Q34" s="39">
        <f t="shared" ca="1" si="12"/>
        <v>99220</v>
      </c>
      <c r="R34" s="39">
        <f t="shared" ca="1" si="12"/>
        <v>109853</v>
      </c>
      <c r="S34" s="39">
        <f t="shared" ca="1" si="12"/>
        <v>108794</v>
      </c>
      <c r="T34" s="39">
        <f t="shared" ca="1" si="12"/>
        <v>72648</v>
      </c>
      <c r="U34" s="39">
        <f t="shared" ca="1" si="12"/>
        <v>60792</v>
      </c>
      <c r="V34" s="39">
        <f t="shared" ca="1" si="12"/>
        <v>49147</v>
      </c>
      <c r="W34" s="39">
        <f t="shared" ca="1" si="12"/>
        <v>41840</v>
      </c>
      <c r="X34" s="39">
        <f t="shared" ca="1" si="12"/>
        <v>134304</v>
      </c>
      <c r="Y34" s="39">
        <f t="shared" ca="1" si="12"/>
        <v>38208</v>
      </c>
      <c r="Z34" s="39">
        <f t="shared" ca="1" si="12"/>
        <v>137324</v>
      </c>
      <c r="AA34" s="39">
        <f t="shared" ca="1" si="12"/>
        <v>59052</v>
      </c>
      <c r="AB34" s="39">
        <f t="shared" ca="1" si="12"/>
        <v>70735</v>
      </c>
    </row>
    <row r="35" spans="2:28" x14ac:dyDescent="0.45">
      <c r="B35" s="23" t="s">
        <v>144</v>
      </c>
      <c r="D35" s="39">
        <f t="shared" ref="D35:AB35" ca="1" si="13">RANDBETWEEN($F13,$D13)*(RANDBETWEEN($J13,$H13))</f>
        <v>4824224</v>
      </c>
      <c r="E35" s="39">
        <f t="shared" ca="1" si="13"/>
        <v>4753610</v>
      </c>
      <c r="F35" s="39">
        <f t="shared" ca="1" si="13"/>
        <v>3059625</v>
      </c>
      <c r="G35" s="39">
        <f t="shared" ca="1" si="13"/>
        <v>4460148</v>
      </c>
      <c r="H35" s="39">
        <f t="shared" ca="1" si="13"/>
        <v>5156229</v>
      </c>
      <c r="I35" s="39">
        <f t="shared" ca="1" si="13"/>
        <v>4447659</v>
      </c>
      <c r="J35" s="39">
        <f t="shared" ca="1" si="13"/>
        <v>2434622</v>
      </c>
      <c r="K35" s="39">
        <f t="shared" ca="1" si="13"/>
        <v>3567630</v>
      </c>
      <c r="L35" s="39">
        <f t="shared" ca="1" si="13"/>
        <v>2890080</v>
      </c>
      <c r="M35" s="39">
        <f t="shared" ca="1" si="13"/>
        <v>2962404</v>
      </c>
      <c r="N35" s="39">
        <f t="shared" ca="1" si="13"/>
        <v>2769509</v>
      </c>
      <c r="O35" s="39">
        <f t="shared" ca="1" si="13"/>
        <v>5202612</v>
      </c>
      <c r="P35" s="39">
        <f t="shared" ca="1" si="13"/>
        <v>4123534</v>
      </c>
      <c r="Q35" s="39">
        <f t="shared" ca="1" si="13"/>
        <v>2550360</v>
      </c>
      <c r="R35" s="39">
        <f t="shared" ca="1" si="13"/>
        <v>2384613</v>
      </c>
      <c r="S35" s="39">
        <f t="shared" ca="1" si="13"/>
        <v>3395691</v>
      </c>
      <c r="T35" s="39">
        <f t="shared" ca="1" si="13"/>
        <v>5323227</v>
      </c>
      <c r="U35" s="39">
        <f t="shared" ca="1" si="13"/>
        <v>2591159</v>
      </c>
      <c r="V35" s="39">
        <f t="shared" ca="1" si="13"/>
        <v>5098968</v>
      </c>
      <c r="W35" s="39">
        <f t="shared" ca="1" si="13"/>
        <v>4479948</v>
      </c>
      <c r="X35" s="39">
        <f t="shared" ca="1" si="13"/>
        <v>2654575</v>
      </c>
      <c r="Y35" s="39">
        <f t="shared" ca="1" si="13"/>
        <v>4881062</v>
      </c>
      <c r="Z35" s="39">
        <f t="shared" ca="1" si="13"/>
        <v>3510153</v>
      </c>
      <c r="AA35" s="39">
        <f t="shared" ca="1" si="13"/>
        <v>3488915</v>
      </c>
      <c r="AB35" s="39">
        <f t="shared" ca="1" si="13"/>
        <v>4909308</v>
      </c>
    </row>
    <row r="36" spans="2:28" x14ac:dyDescent="0.45">
      <c r="B36" s="23" t="s">
        <v>145</v>
      </c>
      <c r="D36" s="39">
        <f t="shared" ref="D36:AB36" ca="1" si="14">RANDBETWEEN($F14,$D14)*(RANDBETWEEN($J14,$H14))</f>
        <v>5440</v>
      </c>
      <c r="E36" s="39">
        <f t="shared" ca="1" si="14"/>
        <v>12586</v>
      </c>
      <c r="F36" s="39">
        <f t="shared" ca="1" si="14"/>
        <v>12555</v>
      </c>
      <c r="G36" s="39">
        <f t="shared" ca="1" si="14"/>
        <v>7920</v>
      </c>
      <c r="H36" s="39">
        <f t="shared" ca="1" si="14"/>
        <v>5157</v>
      </c>
      <c r="I36" s="39">
        <f t="shared" ca="1" si="14"/>
        <v>8613</v>
      </c>
      <c r="J36" s="39">
        <f t="shared" ca="1" si="14"/>
        <v>13391</v>
      </c>
      <c r="K36" s="39">
        <f t="shared" ca="1" si="14"/>
        <v>5226</v>
      </c>
      <c r="L36" s="39">
        <f t="shared" ca="1" si="14"/>
        <v>7630</v>
      </c>
      <c r="M36" s="39">
        <f t="shared" ca="1" si="14"/>
        <v>11022</v>
      </c>
      <c r="N36" s="39">
        <f t="shared" ca="1" si="14"/>
        <v>18900</v>
      </c>
      <c r="O36" s="39">
        <f t="shared" ca="1" si="14"/>
        <v>17212</v>
      </c>
      <c r="P36" s="39">
        <f t="shared" ca="1" si="14"/>
        <v>9351</v>
      </c>
      <c r="Q36" s="39">
        <f t="shared" ca="1" si="14"/>
        <v>5752</v>
      </c>
      <c r="R36" s="39">
        <f t="shared" ca="1" si="14"/>
        <v>9590</v>
      </c>
      <c r="S36" s="39">
        <f t="shared" ca="1" si="14"/>
        <v>17520</v>
      </c>
      <c r="T36" s="39">
        <f t="shared" ca="1" si="14"/>
        <v>6986</v>
      </c>
      <c r="U36" s="39">
        <f t="shared" ca="1" si="14"/>
        <v>3645</v>
      </c>
      <c r="V36" s="39">
        <f t="shared" ca="1" si="14"/>
        <v>13080</v>
      </c>
      <c r="W36" s="39">
        <f t="shared" ca="1" si="14"/>
        <v>22862</v>
      </c>
      <c r="X36" s="39">
        <f t="shared" ca="1" si="14"/>
        <v>13005</v>
      </c>
      <c r="Y36" s="39">
        <f t="shared" ca="1" si="14"/>
        <v>20878</v>
      </c>
      <c r="Z36" s="39">
        <f t="shared" ca="1" si="14"/>
        <v>4060</v>
      </c>
      <c r="AA36" s="39">
        <f t="shared" ca="1" si="14"/>
        <v>12660</v>
      </c>
      <c r="AB36" s="39">
        <f t="shared" ca="1" si="14"/>
        <v>23338</v>
      </c>
    </row>
    <row r="37" spans="2:28" x14ac:dyDescent="0.45">
      <c r="B37" s="23" t="s">
        <v>146</v>
      </c>
      <c r="D37" s="39">
        <f t="shared" ref="D37:AB37" ca="1" si="15">RANDBETWEEN($F15,$D15)*(RANDBETWEEN($J15,$H15))</f>
        <v>122655</v>
      </c>
      <c r="E37" s="39">
        <f t="shared" ca="1" si="15"/>
        <v>251735</v>
      </c>
      <c r="F37" s="39">
        <f t="shared" ca="1" si="15"/>
        <v>388716</v>
      </c>
      <c r="G37" s="39">
        <f t="shared" ca="1" si="15"/>
        <v>890856</v>
      </c>
      <c r="H37" s="39">
        <f t="shared" ca="1" si="15"/>
        <v>249835</v>
      </c>
      <c r="I37" s="39">
        <f t="shared" ca="1" si="15"/>
        <v>235038</v>
      </c>
      <c r="J37" s="39">
        <f t="shared" ca="1" si="15"/>
        <v>63540</v>
      </c>
      <c r="K37" s="39">
        <f t="shared" ca="1" si="15"/>
        <v>697750</v>
      </c>
      <c r="L37" s="39">
        <f t="shared" ca="1" si="15"/>
        <v>73932</v>
      </c>
      <c r="M37" s="39">
        <f t="shared" ca="1" si="15"/>
        <v>55072</v>
      </c>
      <c r="N37" s="39">
        <f t="shared" ca="1" si="15"/>
        <v>495273</v>
      </c>
      <c r="O37" s="39">
        <f t="shared" ca="1" si="15"/>
        <v>299235</v>
      </c>
      <c r="P37" s="39">
        <f t="shared" ca="1" si="15"/>
        <v>1015236</v>
      </c>
      <c r="Q37" s="39">
        <f t="shared" ca="1" si="15"/>
        <v>134084</v>
      </c>
      <c r="R37" s="39">
        <f t="shared" ca="1" si="15"/>
        <v>37070</v>
      </c>
      <c r="S37" s="39">
        <f t="shared" ca="1" si="15"/>
        <v>218550</v>
      </c>
      <c r="T37" s="39">
        <f t="shared" ca="1" si="15"/>
        <v>146250</v>
      </c>
      <c r="U37" s="39">
        <f t="shared" ca="1" si="15"/>
        <v>381102</v>
      </c>
      <c r="V37" s="39">
        <f t="shared" ca="1" si="15"/>
        <v>63846</v>
      </c>
      <c r="W37" s="39">
        <f t="shared" ca="1" si="15"/>
        <v>640300</v>
      </c>
      <c r="X37" s="39">
        <f t="shared" ca="1" si="15"/>
        <v>680796</v>
      </c>
      <c r="Y37" s="39">
        <f t="shared" ca="1" si="15"/>
        <v>544776</v>
      </c>
      <c r="Z37" s="39">
        <f t="shared" ca="1" si="15"/>
        <v>634376</v>
      </c>
      <c r="AA37" s="39">
        <f t="shared" ca="1" si="15"/>
        <v>673564</v>
      </c>
      <c r="AB37" s="39">
        <f t="shared" ca="1" si="15"/>
        <v>552020</v>
      </c>
    </row>
    <row r="38" spans="2:28" x14ac:dyDescent="0.45">
      <c r="B38" s="23" t="s">
        <v>147</v>
      </c>
      <c r="D38" s="39">
        <f t="shared" ref="D38:AB38" ca="1" si="16">RANDBETWEEN($F16,$D16)*(RANDBETWEEN($J16,$H16))</f>
        <v>49265</v>
      </c>
      <c r="E38" s="39">
        <f t="shared" ca="1" si="16"/>
        <v>26514</v>
      </c>
      <c r="F38" s="39">
        <f t="shared" ca="1" si="16"/>
        <v>9633</v>
      </c>
      <c r="G38" s="39">
        <f t="shared" ca="1" si="16"/>
        <v>45504</v>
      </c>
      <c r="H38" s="39">
        <f t="shared" ca="1" si="16"/>
        <v>11328</v>
      </c>
      <c r="I38" s="39">
        <f t="shared" ca="1" si="16"/>
        <v>37064</v>
      </c>
      <c r="J38" s="39">
        <f t="shared" ca="1" si="16"/>
        <v>50519</v>
      </c>
      <c r="K38" s="39">
        <f t="shared" ca="1" si="16"/>
        <v>43500</v>
      </c>
      <c r="L38" s="39">
        <f t="shared" ca="1" si="16"/>
        <v>30256</v>
      </c>
      <c r="M38" s="39">
        <f t="shared" ca="1" si="16"/>
        <v>21168</v>
      </c>
      <c r="N38" s="39">
        <f t="shared" ca="1" si="16"/>
        <v>14840</v>
      </c>
      <c r="O38" s="39">
        <f t="shared" ca="1" si="16"/>
        <v>18656</v>
      </c>
      <c r="P38" s="39">
        <f t="shared" ca="1" si="16"/>
        <v>36186</v>
      </c>
      <c r="Q38" s="39">
        <f t="shared" ca="1" si="16"/>
        <v>5418</v>
      </c>
      <c r="R38" s="39">
        <f t="shared" ca="1" si="16"/>
        <v>34272</v>
      </c>
      <c r="S38" s="39">
        <f t="shared" ca="1" si="16"/>
        <v>21964</v>
      </c>
      <c r="T38" s="39">
        <f t="shared" ca="1" si="16"/>
        <v>23705</v>
      </c>
      <c r="U38" s="39">
        <f t="shared" ca="1" si="16"/>
        <v>36040</v>
      </c>
      <c r="V38" s="39">
        <f t="shared" ca="1" si="16"/>
        <v>34300</v>
      </c>
      <c r="W38" s="39">
        <f t="shared" ca="1" si="16"/>
        <v>33750</v>
      </c>
      <c r="X38" s="39">
        <f t="shared" ca="1" si="16"/>
        <v>33904</v>
      </c>
      <c r="Y38" s="39">
        <f t="shared" ca="1" si="16"/>
        <v>25110</v>
      </c>
      <c r="Z38" s="39">
        <f t="shared" ca="1" si="16"/>
        <v>58255</v>
      </c>
      <c r="AA38" s="39">
        <f t="shared" ca="1" si="16"/>
        <v>30048</v>
      </c>
      <c r="AB38" s="39">
        <f t="shared" ca="1" si="16"/>
        <v>14035</v>
      </c>
    </row>
    <row r="39" spans="2:28" x14ac:dyDescent="0.45">
      <c r="B39" s="23" t="s">
        <v>148</v>
      </c>
      <c r="D39" s="39">
        <f t="shared" ref="D39:AB39" ca="1" si="17">RANDBETWEEN($F17,$D17)*(RANDBETWEEN($J17,$H17))</f>
        <v>352380</v>
      </c>
      <c r="E39" s="39">
        <f t="shared" ca="1" si="17"/>
        <v>792192</v>
      </c>
      <c r="F39" s="39">
        <f t="shared" ca="1" si="17"/>
        <v>493485</v>
      </c>
      <c r="G39" s="39">
        <f t="shared" ca="1" si="17"/>
        <v>510104</v>
      </c>
      <c r="H39" s="39">
        <f t="shared" ca="1" si="17"/>
        <v>549456</v>
      </c>
      <c r="I39" s="39">
        <f t="shared" ca="1" si="17"/>
        <v>875378</v>
      </c>
      <c r="J39" s="39">
        <f t="shared" ca="1" si="17"/>
        <v>754608</v>
      </c>
      <c r="K39" s="39">
        <f t="shared" ca="1" si="17"/>
        <v>261576</v>
      </c>
      <c r="L39" s="39">
        <f t="shared" ca="1" si="17"/>
        <v>938640</v>
      </c>
      <c r="M39" s="39">
        <f t="shared" ca="1" si="17"/>
        <v>427960</v>
      </c>
      <c r="N39" s="39">
        <f t="shared" ca="1" si="17"/>
        <v>249396</v>
      </c>
      <c r="O39" s="39">
        <f t="shared" ca="1" si="17"/>
        <v>952910</v>
      </c>
      <c r="P39" s="39">
        <f t="shared" ca="1" si="17"/>
        <v>669340</v>
      </c>
      <c r="Q39" s="39">
        <f t="shared" ca="1" si="17"/>
        <v>567585</v>
      </c>
      <c r="R39" s="39">
        <f t="shared" ca="1" si="17"/>
        <v>302496</v>
      </c>
      <c r="S39" s="39">
        <f t="shared" ca="1" si="17"/>
        <v>430272</v>
      </c>
      <c r="T39" s="39">
        <f t="shared" ca="1" si="17"/>
        <v>1024050</v>
      </c>
      <c r="U39" s="39">
        <f t="shared" ca="1" si="17"/>
        <v>465036</v>
      </c>
      <c r="V39" s="39">
        <f t="shared" ca="1" si="17"/>
        <v>278668</v>
      </c>
      <c r="W39" s="39">
        <f t="shared" ca="1" si="17"/>
        <v>966070</v>
      </c>
      <c r="X39" s="39">
        <f t="shared" ca="1" si="17"/>
        <v>535935</v>
      </c>
      <c r="Y39" s="39">
        <f t="shared" ca="1" si="17"/>
        <v>381924</v>
      </c>
      <c r="Z39" s="39">
        <f t="shared" ca="1" si="17"/>
        <v>669184</v>
      </c>
      <c r="AA39" s="39">
        <f t="shared" ca="1" si="17"/>
        <v>613536</v>
      </c>
      <c r="AB39" s="39">
        <f t="shared" ca="1" si="17"/>
        <v>387144</v>
      </c>
    </row>
    <row r="40" spans="2:28" x14ac:dyDescent="0.45">
      <c r="B40" s="23" t="s">
        <v>149</v>
      </c>
      <c r="D40" s="39">
        <f t="shared" ref="D40:AB40" ca="1" si="18">RANDBETWEEN($F18,$D18)*(RANDBETWEEN($J18,$H18))</f>
        <v>8217</v>
      </c>
      <c r="E40" s="39">
        <f t="shared" ca="1" si="18"/>
        <v>6248</v>
      </c>
      <c r="F40" s="39">
        <f t="shared" ca="1" si="18"/>
        <v>14509</v>
      </c>
      <c r="G40" s="39">
        <f t="shared" ca="1" si="18"/>
        <v>6809</v>
      </c>
      <c r="H40" s="39">
        <f t="shared" ca="1" si="18"/>
        <v>1738</v>
      </c>
      <c r="I40" s="39">
        <f t="shared" ca="1" si="18"/>
        <v>3597</v>
      </c>
      <c r="J40" s="39">
        <f t="shared" ca="1" si="18"/>
        <v>8430</v>
      </c>
      <c r="K40" s="39">
        <f t="shared" ca="1" si="18"/>
        <v>11264</v>
      </c>
      <c r="L40" s="39">
        <f t="shared" ca="1" si="18"/>
        <v>4477</v>
      </c>
      <c r="M40" s="39">
        <f t="shared" ca="1" si="18"/>
        <v>19261</v>
      </c>
      <c r="N40" s="39">
        <f t="shared" ca="1" si="18"/>
        <v>1364</v>
      </c>
      <c r="O40" s="39">
        <f t="shared" ca="1" si="18"/>
        <v>11946</v>
      </c>
      <c r="P40" s="39">
        <f t="shared" ca="1" si="18"/>
        <v>11319</v>
      </c>
      <c r="Q40" s="39">
        <f t="shared" ca="1" si="18"/>
        <v>7392</v>
      </c>
      <c r="R40" s="39">
        <f t="shared" ca="1" si="18"/>
        <v>13710</v>
      </c>
      <c r="S40" s="39">
        <f t="shared" ca="1" si="18"/>
        <v>5489</v>
      </c>
      <c r="T40" s="39">
        <f t="shared" ca="1" si="18"/>
        <v>10142</v>
      </c>
      <c r="U40" s="39">
        <f t="shared" ca="1" si="18"/>
        <v>6182</v>
      </c>
      <c r="V40" s="39">
        <f t="shared" ca="1" si="18"/>
        <v>2810</v>
      </c>
      <c r="W40" s="39">
        <f t="shared" ca="1" si="18"/>
        <v>17730</v>
      </c>
      <c r="X40" s="39">
        <f t="shared" ca="1" si="18"/>
        <v>13340</v>
      </c>
      <c r="Y40" s="39">
        <f t="shared" ca="1" si="18"/>
        <v>12950</v>
      </c>
      <c r="Z40" s="39">
        <f t="shared" ca="1" si="18"/>
        <v>11180</v>
      </c>
      <c r="AA40" s="39">
        <f t="shared" ca="1" si="18"/>
        <v>18557</v>
      </c>
      <c r="AB40" s="39">
        <f t="shared" ca="1" si="18"/>
        <v>12936</v>
      </c>
    </row>
    <row r="41" spans="2:28" x14ac:dyDescent="0.45">
      <c r="B41" s="23" t="s">
        <v>150</v>
      </c>
      <c r="D41" s="39">
        <f t="shared" ref="D41:AB41" ca="1" si="19">RANDBETWEEN($F19,$D19)*(RANDBETWEEN($J19,$H19))</f>
        <v>379904</v>
      </c>
      <c r="E41" s="39">
        <f t="shared" ca="1" si="19"/>
        <v>490720</v>
      </c>
      <c r="F41" s="39">
        <f t="shared" ca="1" si="19"/>
        <v>350032</v>
      </c>
      <c r="G41" s="39">
        <f t="shared" ca="1" si="19"/>
        <v>178479</v>
      </c>
      <c r="H41" s="39">
        <f t="shared" ca="1" si="19"/>
        <v>30560</v>
      </c>
      <c r="I41" s="39">
        <f t="shared" ca="1" si="19"/>
        <v>572292</v>
      </c>
      <c r="J41" s="39">
        <f t="shared" ca="1" si="19"/>
        <v>661815</v>
      </c>
      <c r="K41" s="39">
        <f t="shared" ca="1" si="19"/>
        <v>220422</v>
      </c>
      <c r="L41" s="39">
        <f t="shared" ca="1" si="19"/>
        <v>114040</v>
      </c>
      <c r="M41" s="39">
        <f t="shared" ca="1" si="19"/>
        <v>163308</v>
      </c>
      <c r="N41" s="39">
        <f t="shared" ca="1" si="19"/>
        <v>49560</v>
      </c>
      <c r="O41" s="39">
        <f t="shared" ca="1" si="19"/>
        <v>64694</v>
      </c>
      <c r="P41" s="39">
        <f t="shared" ca="1" si="19"/>
        <v>444735</v>
      </c>
      <c r="Q41" s="39">
        <f t="shared" ca="1" si="19"/>
        <v>630700</v>
      </c>
      <c r="R41" s="39">
        <f t="shared" ca="1" si="19"/>
        <v>157554</v>
      </c>
      <c r="S41" s="39">
        <f t="shared" ca="1" si="19"/>
        <v>70805</v>
      </c>
      <c r="T41" s="39">
        <f t="shared" ca="1" si="19"/>
        <v>92464</v>
      </c>
      <c r="U41" s="39">
        <f t="shared" ca="1" si="19"/>
        <v>543840</v>
      </c>
      <c r="V41" s="39">
        <f t="shared" ca="1" si="19"/>
        <v>86721</v>
      </c>
      <c r="W41" s="39">
        <f t="shared" ca="1" si="19"/>
        <v>294240</v>
      </c>
      <c r="X41" s="39">
        <f t="shared" ca="1" si="19"/>
        <v>299043</v>
      </c>
      <c r="Y41" s="39">
        <f t="shared" ca="1" si="19"/>
        <v>694980</v>
      </c>
      <c r="Z41" s="39">
        <f t="shared" ca="1" si="19"/>
        <v>62284</v>
      </c>
      <c r="AA41" s="39">
        <f t="shared" ca="1" si="19"/>
        <v>330638</v>
      </c>
      <c r="AB41" s="39">
        <f t="shared" ca="1" si="19"/>
        <v>244255</v>
      </c>
    </row>
    <row r="42" spans="2:28" x14ac:dyDescent="0.45">
      <c r="B42" s="73"/>
    </row>
    <row r="43" spans="2:28" x14ac:dyDescent="0.45">
      <c r="B43" s="73" t="s">
        <v>116</v>
      </c>
      <c r="D43" s="39">
        <f ca="1">SUM(D26:D41)</f>
        <v>79867913</v>
      </c>
      <c r="E43" s="39">
        <f t="shared" ref="E43:AB43" ca="1" si="20">SUM(E26:E41)</f>
        <v>75440305</v>
      </c>
      <c r="F43" s="39">
        <f t="shared" ca="1" si="20"/>
        <v>85157424</v>
      </c>
      <c r="G43" s="39">
        <f t="shared" ca="1" si="20"/>
        <v>71286437</v>
      </c>
      <c r="H43" s="39">
        <f t="shared" ca="1" si="20"/>
        <v>90545982</v>
      </c>
      <c r="I43" s="39">
        <f t="shared" ca="1" si="20"/>
        <v>83439584</v>
      </c>
      <c r="J43" s="39">
        <f t="shared" ca="1" si="20"/>
        <v>82897693</v>
      </c>
      <c r="K43" s="39">
        <f t="shared" ca="1" si="20"/>
        <v>79208737</v>
      </c>
      <c r="L43" s="39">
        <f t="shared" ca="1" si="20"/>
        <v>76874964</v>
      </c>
      <c r="M43" s="39">
        <f t="shared" ca="1" si="20"/>
        <v>74909745</v>
      </c>
      <c r="N43" s="39">
        <f t="shared" ca="1" si="20"/>
        <v>65011867</v>
      </c>
      <c r="O43" s="39">
        <f t="shared" ca="1" si="20"/>
        <v>65636026</v>
      </c>
      <c r="P43" s="39">
        <f t="shared" ca="1" si="20"/>
        <v>66415274</v>
      </c>
      <c r="Q43" s="39">
        <f t="shared" ca="1" si="20"/>
        <v>78257973</v>
      </c>
      <c r="R43" s="39">
        <f t="shared" ca="1" si="20"/>
        <v>68089725</v>
      </c>
      <c r="S43" s="39">
        <f t="shared" ca="1" si="20"/>
        <v>74141278</v>
      </c>
      <c r="T43" s="39">
        <f t="shared" ca="1" si="20"/>
        <v>65327467</v>
      </c>
      <c r="U43" s="39">
        <f t="shared" ca="1" si="20"/>
        <v>88490500</v>
      </c>
      <c r="V43" s="39">
        <f t="shared" ca="1" si="20"/>
        <v>72176356</v>
      </c>
      <c r="W43" s="39">
        <f t="shared" ca="1" si="20"/>
        <v>69101832</v>
      </c>
      <c r="X43" s="39">
        <f t="shared" ca="1" si="20"/>
        <v>82304782</v>
      </c>
      <c r="Y43" s="39">
        <f t="shared" ca="1" si="20"/>
        <v>68632099</v>
      </c>
      <c r="Z43" s="39">
        <f t="shared" ca="1" si="20"/>
        <v>73081132</v>
      </c>
      <c r="AA43" s="39">
        <f t="shared" ca="1" si="20"/>
        <v>86919197</v>
      </c>
      <c r="AB43" s="39">
        <f t="shared" ca="1" si="20"/>
        <v>79377192</v>
      </c>
    </row>
    <row r="44" spans="2:28" x14ac:dyDescent="0.45">
      <c r="B44" s="73"/>
    </row>
    <row r="45" spans="2:28" x14ac:dyDescent="0.45">
      <c r="B45" s="73" t="s">
        <v>152</v>
      </c>
      <c r="D45" s="39">
        <v>94778867</v>
      </c>
      <c r="E45" s="39">
        <v>96838907</v>
      </c>
      <c r="F45" s="39">
        <v>71366105</v>
      </c>
      <c r="G45" s="39">
        <v>85715496</v>
      </c>
      <c r="H45" s="39">
        <v>78561667</v>
      </c>
      <c r="I45" s="39">
        <v>91592874</v>
      </c>
      <c r="J45" s="39">
        <v>70711694</v>
      </c>
      <c r="K45" s="39">
        <v>65916628</v>
      </c>
      <c r="L45" s="39">
        <v>81511038</v>
      </c>
      <c r="M45" s="39">
        <v>82630749</v>
      </c>
      <c r="N45" s="39">
        <v>108355351</v>
      </c>
      <c r="O45" s="39">
        <v>92103888</v>
      </c>
      <c r="P45" s="39">
        <v>74764071</v>
      </c>
      <c r="Q45" s="39">
        <v>82931634</v>
      </c>
      <c r="R45" s="39">
        <v>85428516</v>
      </c>
      <c r="S45" s="39">
        <v>93765248</v>
      </c>
      <c r="T45" s="39">
        <v>104750228</v>
      </c>
      <c r="U45" s="39">
        <v>80061529</v>
      </c>
      <c r="V45" s="39">
        <v>77353766</v>
      </c>
      <c r="W45" s="39">
        <v>85547184</v>
      </c>
      <c r="X45" s="39">
        <v>85237969</v>
      </c>
      <c r="Y45" s="39">
        <v>79748462</v>
      </c>
      <c r="Z45" s="39">
        <v>75763683</v>
      </c>
      <c r="AA45" s="39">
        <v>79470123</v>
      </c>
      <c r="AB45" s="39">
        <v>71464822</v>
      </c>
    </row>
    <row r="47" spans="2:28" x14ac:dyDescent="0.45">
      <c r="B47" s="68"/>
    </row>
    <row r="49" spans="2:6" x14ac:dyDescent="0.45">
      <c r="E49" s="70"/>
      <c r="F49" s="70"/>
    </row>
    <row r="50" spans="2:6" x14ac:dyDescent="0.45">
      <c r="E50" s="70"/>
      <c r="F50" s="70"/>
    </row>
    <row r="51" spans="2:6" x14ac:dyDescent="0.45">
      <c r="E51" s="70"/>
      <c r="F51" s="70"/>
    </row>
    <row r="52" spans="2:6" x14ac:dyDescent="0.45">
      <c r="E52" s="70"/>
      <c r="F52" s="70"/>
    </row>
    <row r="53" spans="2:6" x14ac:dyDescent="0.45">
      <c r="E53" s="70"/>
      <c r="F53" s="70"/>
    </row>
    <row r="54" spans="2:6" x14ac:dyDescent="0.45">
      <c r="B54" s="34"/>
      <c r="E54" s="70"/>
      <c r="F54" s="70"/>
    </row>
    <row r="55" spans="2:6" x14ac:dyDescent="0.45">
      <c r="B55" s="34"/>
      <c r="E55" s="70"/>
      <c r="F55" s="70"/>
    </row>
    <row r="56" spans="2:6" x14ac:dyDescent="0.45">
      <c r="B56" s="34"/>
      <c r="E56" s="70"/>
      <c r="F56" s="70"/>
    </row>
    <row r="57" spans="2:6" x14ac:dyDescent="0.45">
      <c r="B57" s="34"/>
      <c r="E57" s="70"/>
      <c r="F57" s="70"/>
    </row>
    <row r="58" spans="2:6" x14ac:dyDescent="0.45">
      <c r="B58" s="34"/>
      <c r="E58" s="70"/>
      <c r="F58" s="70"/>
    </row>
    <row r="59" spans="2:6" x14ac:dyDescent="0.45">
      <c r="B59" s="34"/>
      <c r="E59" s="70"/>
      <c r="F59" s="70"/>
    </row>
    <row r="60" spans="2:6" x14ac:dyDescent="0.45">
      <c r="B60" s="34"/>
      <c r="E60" s="70"/>
      <c r="F60" s="70"/>
    </row>
    <row r="61" spans="2:6" x14ac:dyDescent="0.45">
      <c r="B61" s="34"/>
      <c r="E61" s="70"/>
      <c r="F61" s="70"/>
    </row>
    <row r="62" spans="2:6" x14ac:dyDescent="0.45">
      <c r="B62" s="34"/>
      <c r="E62" s="70"/>
      <c r="F62" s="70"/>
    </row>
    <row r="63" spans="2:6" x14ac:dyDescent="0.45">
      <c r="B63" s="34"/>
      <c r="E63" s="70"/>
      <c r="F63" s="70"/>
    </row>
    <row r="64" spans="2:6" x14ac:dyDescent="0.45">
      <c r="B64" s="34"/>
      <c r="E64" s="70"/>
      <c r="F64" s="70"/>
    </row>
    <row r="66" spans="2:3" x14ac:dyDescent="0.45">
      <c r="C66" s="47"/>
    </row>
    <row r="77" spans="2:3" x14ac:dyDescent="0.45">
      <c r="B77" s="34"/>
    </row>
    <row r="78" spans="2:3" x14ac:dyDescent="0.45">
      <c r="B78" s="34"/>
    </row>
    <row r="79" spans="2:3" x14ac:dyDescent="0.45">
      <c r="B79" s="34"/>
    </row>
    <row r="80" spans="2:3" x14ac:dyDescent="0.45">
      <c r="B80" s="34"/>
    </row>
    <row r="81" spans="2:2" x14ac:dyDescent="0.45">
      <c r="B81" s="34"/>
    </row>
    <row r="82" spans="2:2" x14ac:dyDescent="0.45">
      <c r="B82" s="34"/>
    </row>
    <row r="83" spans="2:2" x14ac:dyDescent="0.45">
      <c r="B83" s="34"/>
    </row>
    <row r="84" spans="2:2" x14ac:dyDescent="0.45">
      <c r="B84" s="34"/>
    </row>
    <row r="85" spans="2:2" x14ac:dyDescent="0.45">
      <c r="B85" s="34"/>
    </row>
    <row r="86" spans="2:2" x14ac:dyDescent="0.45">
      <c r="B86" s="34"/>
    </row>
    <row r="87" spans="2:2" x14ac:dyDescent="0.45">
      <c r="B87" s="34"/>
    </row>
  </sheetData>
  <mergeCells count="2">
    <mergeCell ref="C2:F2"/>
    <mergeCell ref="G2:J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AJ87"/>
  <sheetViews>
    <sheetView zoomScale="88" zoomScaleNormal="110" workbookViewId="0">
      <selection activeCell="L14" sqref="L14"/>
    </sheetView>
  </sheetViews>
  <sheetFormatPr defaultColWidth="10.640625" defaultRowHeight="15.9" x14ac:dyDescent="0.45"/>
  <cols>
    <col min="1" max="1" width="10.640625" style="34"/>
    <col min="2" max="2" width="13.140625" style="39" customWidth="1"/>
    <col min="3" max="3" width="12.640625" style="39" bestFit="1" customWidth="1"/>
    <col min="4" max="4" width="13.640625" style="39" bestFit="1" customWidth="1"/>
    <col min="5" max="28" width="12.640625" style="39" bestFit="1" customWidth="1"/>
    <col min="29" max="29" width="11.140625" style="39" bestFit="1" customWidth="1"/>
    <col min="30" max="30" width="14" style="39" bestFit="1" customWidth="1"/>
    <col min="31" max="31" width="12.640625" style="39" bestFit="1" customWidth="1"/>
    <col min="32" max="36" width="10.640625" style="39"/>
    <col min="37" max="16384" width="10.640625" style="34"/>
  </cols>
  <sheetData>
    <row r="2" spans="2:8" x14ac:dyDescent="0.45">
      <c r="B2" s="74" t="s">
        <v>127</v>
      </c>
      <c r="C2" s="146" t="s">
        <v>128</v>
      </c>
      <c r="D2" s="146"/>
      <c r="E2" s="146"/>
      <c r="F2" s="146" t="s">
        <v>129</v>
      </c>
      <c r="G2" s="146"/>
      <c r="H2" s="146"/>
    </row>
    <row r="3" spans="2:8" x14ac:dyDescent="0.45">
      <c r="B3" s="73"/>
      <c r="C3" s="75" t="s">
        <v>130</v>
      </c>
      <c r="D3" s="73" t="s">
        <v>132</v>
      </c>
      <c r="E3" s="75" t="s">
        <v>156</v>
      </c>
      <c r="F3" s="75" t="s">
        <v>133</v>
      </c>
      <c r="G3" s="73" t="s">
        <v>134</v>
      </c>
      <c r="H3" s="75" t="s">
        <v>156</v>
      </c>
    </row>
    <row r="4" spans="2:8" x14ac:dyDescent="0.45">
      <c r="B4" s="73" t="s">
        <v>135</v>
      </c>
      <c r="C4" s="69">
        <v>4994842</v>
      </c>
      <c r="D4" s="39">
        <v>2444871</v>
      </c>
      <c r="E4" s="69">
        <f t="shared" ref="E4:E19" si="0">D4*(1+$C$21)</f>
        <v>2689358.1</v>
      </c>
      <c r="F4" s="71">
        <v>16.053999999999998</v>
      </c>
      <c r="G4" s="70">
        <v>11.032</v>
      </c>
      <c r="H4" s="71">
        <f t="shared" ref="H4:H19" si="1">G4*(1+$C$21)</f>
        <v>12.135200000000001</v>
      </c>
    </row>
    <row r="5" spans="2:8" x14ac:dyDescent="0.45">
      <c r="B5" s="73" t="s">
        <v>136</v>
      </c>
      <c r="C5" s="69">
        <v>349744</v>
      </c>
      <c r="D5" s="39">
        <v>177975</v>
      </c>
      <c r="E5" s="69">
        <f t="shared" si="0"/>
        <v>195772.50000000003</v>
      </c>
      <c r="F5" s="71">
        <v>34.720999999999997</v>
      </c>
      <c r="G5" s="70">
        <v>15.882999999999999</v>
      </c>
      <c r="H5" s="71">
        <f t="shared" si="1"/>
        <v>17.471299999999999</v>
      </c>
    </row>
    <row r="6" spans="2:8" x14ac:dyDescent="0.45">
      <c r="B6" s="73" t="s">
        <v>137</v>
      </c>
      <c r="C6" s="69">
        <v>295101</v>
      </c>
      <c r="D6" s="39">
        <v>92296</v>
      </c>
      <c r="E6" s="69">
        <f t="shared" si="0"/>
        <v>101525.6</v>
      </c>
      <c r="F6" s="71">
        <v>27.379000000000001</v>
      </c>
      <c r="G6" s="70">
        <v>15.257</v>
      </c>
      <c r="H6" s="71">
        <f t="shared" si="1"/>
        <v>16.782700000000002</v>
      </c>
    </row>
    <row r="7" spans="2:8" x14ac:dyDescent="0.45">
      <c r="B7" s="73" t="s">
        <v>138</v>
      </c>
      <c r="C7" s="69">
        <v>62030</v>
      </c>
      <c r="D7" s="39">
        <v>6712</v>
      </c>
      <c r="E7" s="69">
        <f t="shared" si="0"/>
        <v>7383.2000000000007</v>
      </c>
      <c r="F7" s="71">
        <v>20.443999999999999</v>
      </c>
      <c r="G7" s="70">
        <v>12.521000000000001</v>
      </c>
      <c r="H7" s="71">
        <f t="shared" si="1"/>
        <v>13.773100000000001</v>
      </c>
    </row>
    <row r="8" spans="2:8" x14ac:dyDescent="0.45">
      <c r="B8" s="73" t="s">
        <v>139</v>
      </c>
      <c r="C8" s="69">
        <v>755133</v>
      </c>
      <c r="D8" s="39">
        <v>1865</v>
      </c>
      <c r="E8" s="69">
        <f t="shared" si="0"/>
        <v>2051.5</v>
      </c>
      <c r="F8" s="71">
        <v>22.635999999999999</v>
      </c>
      <c r="G8" s="70">
        <v>6.5</v>
      </c>
      <c r="H8" s="71">
        <f t="shared" si="1"/>
        <v>7.15</v>
      </c>
    </row>
    <row r="9" spans="2:8" x14ac:dyDescent="0.45">
      <c r="B9" s="23" t="s">
        <v>140</v>
      </c>
      <c r="C9" s="69">
        <v>1041921</v>
      </c>
      <c r="D9" s="39">
        <v>40605</v>
      </c>
      <c r="E9" s="69">
        <f t="shared" si="0"/>
        <v>44665.5</v>
      </c>
      <c r="F9" s="71">
        <v>21.488</v>
      </c>
      <c r="G9" s="70">
        <v>17.228999999999999</v>
      </c>
      <c r="H9" s="71">
        <f t="shared" si="1"/>
        <v>18.951900000000002</v>
      </c>
    </row>
    <row r="10" spans="2:8" x14ac:dyDescent="0.45">
      <c r="B10" s="23" t="s">
        <v>141</v>
      </c>
      <c r="C10" s="69">
        <v>27291</v>
      </c>
      <c r="D10" s="39">
        <v>12009</v>
      </c>
      <c r="E10" s="69">
        <f t="shared" si="0"/>
        <v>13209.900000000001</v>
      </c>
      <c r="F10" s="71">
        <v>17.350999999999999</v>
      </c>
      <c r="G10" s="70">
        <v>10.263</v>
      </c>
      <c r="H10" s="71">
        <f t="shared" si="1"/>
        <v>11.289300000000001</v>
      </c>
    </row>
    <row r="11" spans="2:8" x14ac:dyDescent="0.45">
      <c r="B11" s="23" t="s">
        <v>142</v>
      </c>
      <c r="C11" s="69">
        <v>6870</v>
      </c>
      <c r="D11" s="39">
        <v>654</v>
      </c>
      <c r="E11" s="69">
        <f t="shared" si="0"/>
        <v>719.40000000000009</v>
      </c>
      <c r="F11" s="71">
        <v>21.367999999999999</v>
      </c>
      <c r="G11" s="70">
        <v>5.3760000000000003</v>
      </c>
      <c r="H11" s="71">
        <f t="shared" si="1"/>
        <v>5.9136000000000006</v>
      </c>
    </row>
    <row r="12" spans="2:8" x14ac:dyDescent="0.45">
      <c r="B12" s="23" t="s">
        <v>143</v>
      </c>
      <c r="C12" s="69">
        <v>3540</v>
      </c>
      <c r="D12" s="39">
        <v>659</v>
      </c>
      <c r="E12" s="69">
        <f t="shared" si="0"/>
        <v>724.90000000000009</v>
      </c>
      <c r="F12" s="71">
        <v>56.777999999999999</v>
      </c>
      <c r="G12" s="70">
        <v>27.632999999999999</v>
      </c>
      <c r="H12" s="71">
        <f t="shared" si="1"/>
        <v>30.3963</v>
      </c>
    </row>
    <row r="13" spans="2:8" x14ac:dyDescent="0.45">
      <c r="B13" s="23" t="s">
        <v>144</v>
      </c>
      <c r="C13" s="69">
        <v>160011</v>
      </c>
      <c r="D13" s="39">
        <v>56542</v>
      </c>
      <c r="E13" s="69">
        <f t="shared" si="0"/>
        <v>62196.200000000004</v>
      </c>
      <c r="F13" s="71">
        <v>45.369</v>
      </c>
      <c r="G13" s="70">
        <v>31.416</v>
      </c>
      <c r="H13" s="71">
        <f t="shared" si="1"/>
        <v>34.557600000000001</v>
      </c>
    </row>
    <row r="14" spans="2:8" x14ac:dyDescent="0.45">
      <c r="B14" s="23" t="s">
        <v>145</v>
      </c>
      <c r="C14" s="69">
        <v>2312</v>
      </c>
      <c r="D14" s="39">
        <v>185</v>
      </c>
      <c r="E14" s="69">
        <f t="shared" si="0"/>
        <v>203.50000000000003</v>
      </c>
      <c r="F14" s="71">
        <v>16.89</v>
      </c>
      <c r="G14" s="70">
        <v>5.6390000000000002</v>
      </c>
      <c r="H14" s="71">
        <f t="shared" si="1"/>
        <v>6.2029000000000005</v>
      </c>
    </row>
    <row r="15" spans="2:8" x14ac:dyDescent="0.45">
      <c r="B15" s="23" t="s">
        <v>146</v>
      </c>
      <c r="C15" s="69">
        <v>191407</v>
      </c>
      <c r="D15" s="39">
        <v>314</v>
      </c>
      <c r="E15" s="69">
        <f t="shared" si="0"/>
        <v>345.40000000000003</v>
      </c>
      <c r="F15" s="71">
        <v>7.1470000000000002</v>
      </c>
      <c r="G15" s="70">
        <v>2</v>
      </c>
      <c r="H15" s="71">
        <f t="shared" si="1"/>
        <v>2.2000000000000002</v>
      </c>
    </row>
    <row r="16" spans="2:8" x14ac:dyDescent="0.45">
      <c r="B16" s="23" t="s">
        <v>147</v>
      </c>
      <c r="C16" s="69">
        <v>1232</v>
      </c>
      <c r="D16" s="39">
        <v>103</v>
      </c>
      <c r="E16" s="69">
        <f t="shared" si="0"/>
        <v>113.30000000000001</v>
      </c>
      <c r="F16" s="71">
        <v>79.674999999999997</v>
      </c>
      <c r="G16" s="70">
        <v>28.423999999999999</v>
      </c>
      <c r="H16" s="71">
        <f t="shared" si="1"/>
        <v>31.266400000000001</v>
      </c>
    </row>
    <row r="17" spans="2:28" x14ac:dyDescent="0.45">
      <c r="B17" s="23" t="s">
        <v>148</v>
      </c>
      <c r="C17" s="69">
        <v>84402</v>
      </c>
      <c r="D17" s="39">
        <v>16220</v>
      </c>
      <c r="E17" s="69">
        <f t="shared" si="0"/>
        <v>17842</v>
      </c>
      <c r="F17" s="71">
        <v>17.689</v>
      </c>
      <c r="G17" s="70">
        <v>10.791</v>
      </c>
      <c r="H17" s="71">
        <f t="shared" si="1"/>
        <v>11.870100000000001</v>
      </c>
    </row>
    <row r="18" spans="2:28" x14ac:dyDescent="0.45">
      <c r="B18" s="23" t="s">
        <v>149</v>
      </c>
      <c r="C18" s="69">
        <v>2201</v>
      </c>
      <c r="D18" s="39">
        <v>51</v>
      </c>
      <c r="E18" s="69">
        <f t="shared" si="0"/>
        <v>56.1</v>
      </c>
      <c r="F18" s="71">
        <v>13.021000000000001</v>
      </c>
      <c r="G18" s="70">
        <v>8.4120000000000008</v>
      </c>
      <c r="H18" s="71">
        <f t="shared" si="1"/>
        <v>9.2532000000000014</v>
      </c>
    </row>
    <row r="19" spans="2:28" x14ac:dyDescent="0.45">
      <c r="B19" s="23" t="s">
        <v>150</v>
      </c>
      <c r="C19" s="69">
        <v>48472</v>
      </c>
      <c r="D19" s="39">
        <v>562</v>
      </c>
      <c r="E19" s="69">
        <f t="shared" si="0"/>
        <v>618.20000000000005</v>
      </c>
      <c r="F19" s="71">
        <v>24.541</v>
      </c>
      <c r="G19" s="70">
        <v>1</v>
      </c>
      <c r="H19" s="71">
        <f t="shared" si="1"/>
        <v>1.1000000000000001</v>
      </c>
    </row>
    <row r="20" spans="2:28" x14ac:dyDescent="0.45">
      <c r="B20" s="73"/>
    </row>
    <row r="21" spans="2:28" x14ac:dyDescent="0.45">
      <c r="B21" s="73" t="s">
        <v>157</v>
      </c>
      <c r="C21" s="41">
        <v>0.1</v>
      </c>
    </row>
    <row r="24" spans="2:28" x14ac:dyDescent="0.45">
      <c r="B24" s="72"/>
      <c r="C24" s="72">
        <v>0</v>
      </c>
      <c r="D24" s="72">
        <v>1</v>
      </c>
      <c r="E24" s="72">
        <v>2</v>
      </c>
      <c r="F24" s="72">
        <v>3</v>
      </c>
      <c r="G24" s="72">
        <v>4</v>
      </c>
      <c r="H24" s="72">
        <v>5</v>
      </c>
      <c r="I24" s="72">
        <v>6</v>
      </c>
      <c r="J24" s="72">
        <v>7</v>
      </c>
      <c r="K24" s="72">
        <v>8</v>
      </c>
      <c r="L24" s="72">
        <v>9</v>
      </c>
      <c r="M24" s="72">
        <v>10</v>
      </c>
      <c r="N24" s="72">
        <v>11</v>
      </c>
      <c r="O24" s="72">
        <v>12</v>
      </c>
      <c r="P24" s="72">
        <v>13</v>
      </c>
      <c r="Q24" s="72">
        <v>14</v>
      </c>
      <c r="R24" s="72">
        <v>15</v>
      </c>
      <c r="S24" s="72">
        <v>16</v>
      </c>
      <c r="T24" s="72">
        <v>17</v>
      </c>
      <c r="U24" s="72">
        <v>18</v>
      </c>
      <c r="V24" s="72">
        <v>19</v>
      </c>
      <c r="W24" s="72">
        <v>20</v>
      </c>
      <c r="X24" s="72">
        <v>21</v>
      </c>
      <c r="Y24" s="72">
        <v>22</v>
      </c>
      <c r="Z24" s="72">
        <v>23</v>
      </c>
      <c r="AA24" s="72">
        <v>24</v>
      </c>
      <c r="AB24" s="72">
        <v>25</v>
      </c>
    </row>
    <row r="25" spans="2:28" x14ac:dyDescent="0.45">
      <c r="B25" s="72" t="s">
        <v>37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2:28" x14ac:dyDescent="0.45">
      <c r="B26" s="73" t="s">
        <v>135</v>
      </c>
      <c r="D26" s="39">
        <f t="shared" ref="D26:AB26" ca="1" si="2">RANDBETWEEN($E4,$C4)*(RANDBETWEEN($H4,$F4))</f>
        <v>54208425</v>
      </c>
      <c r="E26" s="39">
        <f t="shared" ca="1" si="2"/>
        <v>47069126</v>
      </c>
      <c r="F26" s="39">
        <f t="shared" ca="1" si="2"/>
        <v>62994930</v>
      </c>
      <c r="G26" s="39">
        <f t="shared" ca="1" si="2"/>
        <v>42544656</v>
      </c>
      <c r="H26" s="39">
        <f t="shared" ca="1" si="2"/>
        <v>62260072</v>
      </c>
      <c r="I26" s="39">
        <f t="shared" ca="1" si="2"/>
        <v>42443072</v>
      </c>
      <c r="J26" s="39">
        <f t="shared" ca="1" si="2"/>
        <v>51431926</v>
      </c>
      <c r="K26" s="39">
        <f t="shared" ca="1" si="2"/>
        <v>44919930</v>
      </c>
      <c r="L26" s="39">
        <f t="shared" ca="1" si="2"/>
        <v>52623136</v>
      </c>
      <c r="M26" s="39">
        <f t="shared" ca="1" si="2"/>
        <v>52603460</v>
      </c>
      <c r="N26" s="39">
        <f t="shared" ca="1" si="2"/>
        <v>56460885</v>
      </c>
      <c r="O26" s="39">
        <f t="shared" ca="1" si="2"/>
        <v>45121695</v>
      </c>
      <c r="P26" s="39">
        <f t="shared" ca="1" si="2"/>
        <v>48183239</v>
      </c>
      <c r="Q26" s="39">
        <f t="shared" ca="1" si="2"/>
        <v>56593194</v>
      </c>
      <c r="R26" s="39">
        <f t="shared" ca="1" si="2"/>
        <v>53412540</v>
      </c>
      <c r="S26" s="39">
        <f t="shared" ca="1" si="2"/>
        <v>70348140</v>
      </c>
      <c r="T26" s="39">
        <f t="shared" ca="1" si="2"/>
        <v>66737085</v>
      </c>
      <c r="U26" s="39">
        <f t="shared" ca="1" si="2"/>
        <v>64060725</v>
      </c>
      <c r="V26" s="39">
        <f t="shared" ca="1" si="2"/>
        <v>50585509</v>
      </c>
      <c r="W26" s="39">
        <f t="shared" ca="1" si="2"/>
        <v>65440992</v>
      </c>
      <c r="X26" s="39">
        <f t="shared" ca="1" si="2"/>
        <v>43639008</v>
      </c>
      <c r="Y26" s="39">
        <f t="shared" ca="1" si="2"/>
        <v>58757625</v>
      </c>
      <c r="Z26" s="39">
        <f t="shared" ca="1" si="2"/>
        <v>75779632</v>
      </c>
      <c r="AA26" s="39">
        <f t="shared" ca="1" si="2"/>
        <v>63683872</v>
      </c>
      <c r="AB26" s="39">
        <f t="shared" ca="1" si="2"/>
        <v>46246815</v>
      </c>
    </row>
    <row r="27" spans="2:28" x14ac:dyDescent="0.45">
      <c r="B27" s="73" t="s">
        <v>136</v>
      </c>
      <c r="D27" s="39">
        <f t="shared" ref="D27:AB27" ca="1" si="3">RANDBETWEEN($E5,$C5)*(RANDBETWEEN($H5,$F5))</f>
        <v>8331157</v>
      </c>
      <c r="E27" s="39">
        <f t="shared" ca="1" si="3"/>
        <v>10663692</v>
      </c>
      <c r="F27" s="39">
        <f t="shared" ca="1" si="3"/>
        <v>6284196</v>
      </c>
      <c r="G27" s="39">
        <f t="shared" ca="1" si="3"/>
        <v>8735013</v>
      </c>
      <c r="H27" s="39">
        <f t="shared" ca="1" si="3"/>
        <v>8329472</v>
      </c>
      <c r="I27" s="39">
        <f t="shared" ca="1" si="3"/>
        <v>8986816</v>
      </c>
      <c r="J27" s="39">
        <f t="shared" ca="1" si="3"/>
        <v>7954584</v>
      </c>
      <c r="K27" s="39">
        <f t="shared" ca="1" si="3"/>
        <v>7124275</v>
      </c>
      <c r="L27" s="39">
        <f t="shared" ca="1" si="3"/>
        <v>6444658</v>
      </c>
      <c r="M27" s="39">
        <f t="shared" ca="1" si="3"/>
        <v>7708542</v>
      </c>
      <c r="N27" s="39">
        <f t="shared" ca="1" si="3"/>
        <v>5065620</v>
      </c>
      <c r="O27" s="39">
        <f t="shared" ca="1" si="3"/>
        <v>8789430</v>
      </c>
      <c r="P27" s="39">
        <f t="shared" ca="1" si="3"/>
        <v>7237167</v>
      </c>
      <c r="Q27" s="39">
        <f t="shared" ca="1" si="3"/>
        <v>8296464</v>
      </c>
      <c r="R27" s="39">
        <f t="shared" ca="1" si="3"/>
        <v>9086922</v>
      </c>
      <c r="S27" s="39">
        <f t="shared" ca="1" si="3"/>
        <v>6003875</v>
      </c>
      <c r="T27" s="39">
        <f t="shared" ca="1" si="3"/>
        <v>5364240</v>
      </c>
      <c r="U27" s="39">
        <f t="shared" ca="1" si="3"/>
        <v>6678518</v>
      </c>
      <c r="V27" s="39">
        <f t="shared" ca="1" si="3"/>
        <v>5879610</v>
      </c>
      <c r="W27" s="39">
        <f t="shared" ca="1" si="3"/>
        <v>9748320</v>
      </c>
      <c r="X27" s="39">
        <f t="shared" ca="1" si="3"/>
        <v>7591142</v>
      </c>
      <c r="Y27" s="39">
        <f t="shared" ca="1" si="3"/>
        <v>8613100</v>
      </c>
      <c r="Z27" s="39">
        <f t="shared" ca="1" si="3"/>
        <v>8059075</v>
      </c>
      <c r="AA27" s="39">
        <f t="shared" ca="1" si="3"/>
        <v>5948770</v>
      </c>
      <c r="AB27" s="39">
        <f t="shared" ca="1" si="3"/>
        <v>8375532</v>
      </c>
    </row>
    <row r="28" spans="2:28" x14ac:dyDescent="0.45">
      <c r="B28" s="73" t="s">
        <v>137</v>
      </c>
      <c r="D28" s="39">
        <f t="shared" ref="D28:AB28" ca="1" si="4">RANDBETWEEN($E6,$C6)*(RANDBETWEEN($H6,$F6))</f>
        <v>5681786</v>
      </c>
      <c r="E28" s="39">
        <f t="shared" ca="1" si="4"/>
        <v>4297580</v>
      </c>
      <c r="F28" s="39">
        <f t="shared" ca="1" si="4"/>
        <v>6271341</v>
      </c>
      <c r="G28" s="39">
        <f t="shared" ca="1" si="4"/>
        <v>5376150</v>
      </c>
      <c r="H28" s="39">
        <f t="shared" ca="1" si="4"/>
        <v>4267085</v>
      </c>
      <c r="I28" s="39">
        <f t="shared" ca="1" si="4"/>
        <v>4668984</v>
      </c>
      <c r="J28" s="39">
        <f t="shared" ca="1" si="4"/>
        <v>2853960</v>
      </c>
      <c r="K28" s="39">
        <f t="shared" ca="1" si="4"/>
        <v>3338375</v>
      </c>
      <c r="L28" s="39">
        <f t="shared" ca="1" si="4"/>
        <v>2938826</v>
      </c>
      <c r="M28" s="39">
        <f t="shared" ca="1" si="4"/>
        <v>4307072</v>
      </c>
      <c r="N28" s="39">
        <f t="shared" ca="1" si="4"/>
        <v>4129254</v>
      </c>
      <c r="O28" s="39">
        <f t="shared" ca="1" si="4"/>
        <v>4912056</v>
      </c>
      <c r="P28" s="39">
        <f t="shared" ca="1" si="4"/>
        <v>3594725</v>
      </c>
      <c r="Q28" s="39">
        <f t="shared" ca="1" si="4"/>
        <v>3217746</v>
      </c>
      <c r="R28" s="39">
        <f t="shared" ca="1" si="4"/>
        <v>3491400</v>
      </c>
      <c r="S28" s="39">
        <f t="shared" ca="1" si="4"/>
        <v>2075520</v>
      </c>
      <c r="T28" s="39">
        <f t="shared" ca="1" si="4"/>
        <v>5978799</v>
      </c>
      <c r="U28" s="39">
        <f t="shared" ca="1" si="4"/>
        <v>3805858</v>
      </c>
      <c r="V28" s="39">
        <f t="shared" ca="1" si="4"/>
        <v>6601325</v>
      </c>
      <c r="W28" s="39">
        <f t="shared" ca="1" si="4"/>
        <v>5476842</v>
      </c>
      <c r="X28" s="39">
        <f t="shared" ca="1" si="4"/>
        <v>4728504</v>
      </c>
      <c r="Y28" s="39">
        <f t="shared" ca="1" si="4"/>
        <v>4278540</v>
      </c>
      <c r="Z28" s="39">
        <f t="shared" ca="1" si="4"/>
        <v>4660884</v>
      </c>
      <c r="AA28" s="39">
        <f t="shared" ca="1" si="4"/>
        <v>3396640</v>
      </c>
      <c r="AB28" s="39">
        <f t="shared" ca="1" si="4"/>
        <v>6097356</v>
      </c>
    </row>
    <row r="29" spans="2:28" x14ac:dyDescent="0.45">
      <c r="B29" s="73" t="s">
        <v>138</v>
      </c>
      <c r="D29" s="39">
        <f t="shared" ref="D29:AB29" ca="1" si="5">RANDBETWEEN($E7,$C7)*(RANDBETWEEN($H7,$F7))</f>
        <v>974320</v>
      </c>
      <c r="E29" s="39">
        <f t="shared" ca="1" si="5"/>
        <v>518154</v>
      </c>
      <c r="F29" s="39">
        <f t="shared" ca="1" si="5"/>
        <v>648615</v>
      </c>
      <c r="G29" s="39">
        <f t="shared" ca="1" si="5"/>
        <v>1016974</v>
      </c>
      <c r="H29" s="39">
        <f t="shared" ca="1" si="5"/>
        <v>784520</v>
      </c>
      <c r="I29" s="39">
        <f t="shared" ca="1" si="5"/>
        <v>443240</v>
      </c>
      <c r="J29" s="39">
        <f t="shared" ca="1" si="5"/>
        <v>843999</v>
      </c>
      <c r="K29" s="39">
        <f t="shared" ca="1" si="5"/>
        <v>915480</v>
      </c>
      <c r="L29" s="39">
        <f t="shared" ca="1" si="5"/>
        <v>789184</v>
      </c>
      <c r="M29" s="39">
        <f t="shared" ca="1" si="5"/>
        <v>450775</v>
      </c>
      <c r="N29" s="39">
        <f t="shared" ca="1" si="5"/>
        <v>1130620</v>
      </c>
      <c r="O29" s="39">
        <f t="shared" ca="1" si="5"/>
        <v>518551</v>
      </c>
      <c r="P29" s="39">
        <f t="shared" ca="1" si="5"/>
        <v>504780</v>
      </c>
      <c r="Q29" s="39">
        <f t="shared" ca="1" si="5"/>
        <v>635880</v>
      </c>
      <c r="R29" s="39">
        <f t="shared" ca="1" si="5"/>
        <v>861264</v>
      </c>
      <c r="S29" s="39">
        <f t="shared" ca="1" si="5"/>
        <v>383976</v>
      </c>
      <c r="T29" s="39">
        <f t="shared" ca="1" si="5"/>
        <v>280815</v>
      </c>
      <c r="U29" s="39">
        <f t="shared" ca="1" si="5"/>
        <v>738766</v>
      </c>
      <c r="V29" s="39">
        <f t="shared" ca="1" si="5"/>
        <v>667400</v>
      </c>
      <c r="W29" s="39">
        <f t="shared" ca="1" si="5"/>
        <v>610182</v>
      </c>
      <c r="X29" s="39">
        <f t="shared" ca="1" si="5"/>
        <v>875754</v>
      </c>
      <c r="Y29" s="39">
        <f t="shared" ca="1" si="5"/>
        <v>268974</v>
      </c>
      <c r="Z29" s="39">
        <f t="shared" ca="1" si="5"/>
        <v>1114654</v>
      </c>
      <c r="AA29" s="39">
        <f t="shared" ca="1" si="5"/>
        <v>577711</v>
      </c>
      <c r="AB29" s="39">
        <f t="shared" ca="1" si="5"/>
        <v>205344</v>
      </c>
    </row>
    <row r="30" spans="2:28" x14ac:dyDescent="0.45">
      <c r="B30" s="73" t="s">
        <v>139</v>
      </c>
      <c r="D30" s="39">
        <f t="shared" ref="D30:AB30" ca="1" si="6">RANDBETWEEN($E8,$C8)*(RANDBETWEEN($H8,$F8))</f>
        <v>10126160</v>
      </c>
      <c r="E30" s="39">
        <f t="shared" ca="1" si="6"/>
        <v>5304222</v>
      </c>
      <c r="F30" s="39">
        <f t="shared" ca="1" si="6"/>
        <v>2606742</v>
      </c>
      <c r="G30" s="39">
        <f t="shared" ca="1" si="6"/>
        <v>12880206</v>
      </c>
      <c r="H30" s="39">
        <f t="shared" ca="1" si="6"/>
        <v>11799200</v>
      </c>
      <c r="I30" s="39">
        <f t="shared" ca="1" si="6"/>
        <v>11646054</v>
      </c>
      <c r="J30" s="39">
        <f t="shared" ca="1" si="6"/>
        <v>3089088</v>
      </c>
      <c r="K30" s="39">
        <f t="shared" ca="1" si="6"/>
        <v>6229366</v>
      </c>
      <c r="L30" s="39">
        <f t="shared" ca="1" si="6"/>
        <v>6933232</v>
      </c>
      <c r="M30" s="39">
        <f t="shared" ca="1" si="6"/>
        <v>10648460</v>
      </c>
      <c r="N30" s="39">
        <f t="shared" ca="1" si="6"/>
        <v>1416360</v>
      </c>
      <c r="O30" s="39">
        <f t="shared" ca="1" si="6"/>
        <v>4252751</v>
      </c>
      <c r="P30" s="39">
        <f t="shared" ca="1" si="6"/>
        <v>13907520</v>
      </c>
      <c r="Q30" s="39">
        <f t="shared" ca="1" si="6"/>
        <v>1269650</v>
      </c>
      <c r="R30" s="39">
        <f t="shared" ca="1" si="6"/>
        <v>2146293</v>
      </c>
      <c r="S30" s="39">
        <f t="shared" ca="1" si="6"/>
        <v>3742610</v>
      </c>
      <c r="T30" s="39">
        <f t="shared" ca="1" si="6"/>
        <v>4432544</v>
      </c>
      <c r="U30" s="39">
        <f t="shared" ca="1" si="6"/>
        <v>6814433</v>
      </c>
      <c r="V30" s="39">
        <f t="shared" ca="1" si="6"/>
        <v>10075212</v>
      </c>
      <c r="W30" s="39">
        <f t="shared" ca="1" si="6"/>
        <v>1980160</v>
      </c>
      <c r="X30" s="39">
        <f t="shared" ca="1" si="6"/>
        <v>2179740</v>
      </c>
      <c r="Y30" s="39">
        <f t="shared" ca="1" si="6"/>
        <v>762512</v>
      </c>
      <c r="Z30" s="39">
        <f t="shared" ca="1" si="6"/>
        <v>3260680</v>
      </c>
      <c r="AA30" s="39">
        <f t="shared" ca="1" si="6"/>
        <v>3777576</v>
      </c>
      <c r="AB30" s="39">
        <f t="shared" ca="1" si="6"/>
        <v>1574136</v>
      </c>
    </row>
    <row r="31" spans="2:28" x14ac:dyDescent="0.45">
      <c r="B31" s="23" t="s">
        <v>140</v>
      </c>
      <c r="D31" s="39">
        <f t="shared" ref="D31:AB31" ca="1" si="7">RANDBETWEEN($E9,$C9)*(RANDBETWEEN($H9,$F9))</f>
        <v>1336745</v>
      </c>
      <c r="E31" s="39">
        <f t="shared" ca="1" si="7"/>
        <v>16368260</v>
      </c>
      <c r="F31" s="39">
        <f t="shared" ca="1" si="7"/>
        <v>14541346</v>
      </c>
      <c r="G31" s="39">
        <f t="shared" ca="1" si="7"/>
        <v>19415907</v>
      </c>
      <c r="H31" s="39">
        <f t="shared" ca="1" si="7"/>
        <v>13607660</v>
      </c>
      <c r="I31" s="39">
        <f t="shared" ca="1" si="7"/>
        <v>18564539</v>
      </c>
      <c r="J31" s="39">
        <f t="shared" ca="1" si="7"/>
        <v>2662420</v>
      </c>
      <c r="K31" s="39">
        <f t="shared" ca="1" si="7"/>
        <v>20491821</v>
      </c>
      <c r="L31" s="39">
        <f t="shared" ca="1" si="7"/>
        <v>12089322</v>
      </c>
      <c r="M31" s="39">
        <f t="shared" ca="1" si="7"/>
        <v>7903497</v>
      </c>
      <c r="N31" s="39">
        <f t="shared" ca="1" si="7"/>
        <v>11861358</v>
      </c>
      <c r="O31" s="39">
        <f t="shared" ca="1" si="7"/>
        <v>4005981</v>
      </c>
      <c r="P31" s="39">
        <f t="shared" ca="1" si="7"/>
        <v>17951340</v>
      </c>
      <c r="Q31" s="39">
        <f t="shared" ca="1" si="7"/>
        <v>4806837</v>
      </c>
      <c r="R31" s="39">
        <f t="shared" ca="1" si="7"/>
        <v>5672754</v>
      </c>
      <c r="S31" s="39">
        <f t="shared" ca="1" si="7"/>
        <v>18662826</v>
      </c>
      <c r="T31" s="39">
        <f t="shared" ca="1" si="7"/>
        <v>15055068</v>
      </c>
      <c r="U31" s="39">
        <f t="shared" ca="1" si="7"/>
        <v>20524120</v>
      </c>
      <c r="V31" s="39">
        <f t="shared" ca="1" si="7"/>
        <v>17650731</v>
      </c>
      <c r="W31" s="39">
        <f t="shared" ca="1" si="7"/>
        <v>14956116</v>
      </c>
      <c r="X31" s="39">
        <f t="shared" ca="1" si="7"/>
        <v>13419273</v>
      </c>
      <c r="Y31" s="39">
        <f t="shared" ca="1" si="7"/>
        <v>14821880</v>
      </c>
      <c r="Z31" s="39">
        <f t="shared" ca="1" si="7"/>
        <v>11582046</v>
      </c>
      <c r="AA31" s="39">
        <f t="shared" ca="1" si="7"/>
        <v>5482412</v>
      </c>
      <c r="AB31" s="39">
        <f t="shared" ca="1" si="7"/>
        <v>7610660</v>
      </c>
    </row>
    <row r="32" spans="2:28" x14ac:dyDescent="0.45">
      <c r="B32" s="23" t="s">
        <v>141</v>
      </c>
      <c r="D32" s="39">
        <f t="shared" ref="D32:AB32" ca="1" si="8">RANDBETWEEN($E10,$C10)*(RANDBETWEEN($H10,$F10))</f>
        <v>340000</v>
      </c>
      <c r="E32" s="39">
        <f t="shared" ca="1" si="8"/>
        <v>368458</v>
      </c>
      <c r="F32" s="39">
        <f t="shared" ca="1" si="8"/>
        <v>260806</v>
      </c>
      <c r="G32" s="39">
        <f t="shared" ca="1" si="8"/>
        <v>307920</v>
      </c>
      <c r="H32" s="39">
        <f t="shared" ca="1" si="8"/>
        <v>407984</v>
      </c>
      <c r="I32" s="39">
        <f t="shared" ca="1" si="8"/>
        <v>280378</v>
      </c>
      <c r="J32" s="39">
        <f t="shared" ca="1" si="8"/>
        <v>233550</v>
      </c>
      <c r="K32" s="39">
        <f t="shared" ca="1" si="8"/>
        <v>409155</v>
      </c>
      <c r="L32" s="39">
        <f t="shared" ca="1" si="8"/>
        <v>384735</v>
      </c>
      <c r="M32" s="39">
        <f t="shared" ca="1" si="8"/>
        <v>274672</v>
      </c>
      <c r="N32" s="39">
        <f t="shared" ca="1" si="8"/>
        <v>414128</v>
      </c>
      <c r="O32" s="39">
        <f t="shared" ca="1" si="8"/>
        <v>356342</v>
      </c>
      <c r="P32" s="39">
        <f t="shared" ca="1" si="8"/>
        <v>249564</v>
      </c>
      <c r="Q32" s="39">
        <f t="shared" ca="1" si="8"/>
        <v>280084</v>
      </c>
      <c r="R32" s="39">
        <f t="shared" ca="1" si="8"/>
        <v>251073</v>
      </c>
      <c r="S32" s="39">
        <f t="shared" ca="1" si="8"/>
        <v>231126</v>
      </c>
      <c r="T32" s="39">
        <f t="shared" ca="1" si="8"/>
        <v>270924</v>
      </c>
      <c r="U32" s="39">
        <f t="shared" ca="1" si="8"/>
        <v>309060</v>
      </c>
      <c r="V32" s="39">
        <f t="shared" ca="1" si="8"/>
        <v>331175</v>
      </c>
      <c r="W32" s="39">
        <f t="shared" ca="1" si="8"/>
        <v>358615</v>
      </c>
      <c r="X32" s="39">
        <f t="shared" ca="1" si="8"/>
        <v>282660</v>
      </c>
      <c r="Y32" s="39">
        <f t="shared" ca="1" si="8"/>
        <v>208364</v>
      </c>
      <c r="Z32" s="39">
        <f t="shared" ca="1" si="8"/>
        <v>296868</v>
      </c>
      <c r="AA32" s="39">
        <f t="shared" ca="1" si="8"/>
        <v>350693</v>
      </c>
      <c r="AB32" s="39">
        <f t="shared" ca="1" si="8"/>
        <v>316652</v>
      </c>
    </row>
    <row r="33" spans="2:28" x14ac:dyDescent="0.45">
      <c r="B33" s="23" t="s">
        <v>142</v>
      </c>
      <c r="D33" s="39">
        <f t="shared" ref="D33:AB33" ca="1" si="9">RANDBETWEEN($E11,$C11)*(RANDBETWEEN($H11,$F11))</f>
        <v>23085</v>
      </c>
      <c r="E33" s="39">
        <f t="shared" ca="1" si="9"/>
        <v>67350</v>
      </c>
      <c r="F33" s="39">
        <f t="shared" ca="1" si="9"/>
        <v>33016</v>
      </c>
      <c r="G33" s="39">
        <f t="shared" ca="1" si="9"/>
        <v>33957</v>
      </c>
      <c r="H33" s="39">
        <f t="shared" ca="1" si="9"/>
        <v>16170</v>
      </c>
      <c r="I33" s="39">
        <f t="shared" ca="1" si="9"/>
        <v>35152</v>
      </c>
      <c r="J33" s="39">
        <f t="shared" ca="1" si="9"/>
        <v>19616</v>
      </c>
      <c r="K33" s="39">
        <f t="shared" ca="1" si="9"/>
        <v>29220</v>
      </c>
      <c r="L33" s="39">
        <f t="shared" ca="1" si="9"/>
        <v>8480</v>
      </c>
      <c r="M33" s="39">
        <f t="shared" ca="1" si="9"/>
        <v>52990</v>
      </c>
      <c r="N33" s="39">
        <f t="shared" ca="1" si="9"/>
        <v>37043</v>
      </c>
      <c r="O33" s="39">
        <f t="shared" ca="1" si="9"/>
        <v>23856</v>
      </c>
      <c r="P33" s="39">
        <f t="shared" ca="1" si="9"/>
        <v>54050</v>
      </c>
      <c r="Q33" s="39">
        <f t="shared" ca="1" si="9"/>
        <v>83889</v>
      </c>
      <c r="R33" s="39">
        <f t="shared" ca="1" si="9"/>
        <v>28175</v>
      </c>
      <c r="S33" s="39">
        <f t="shared" ca="1" si="9"/>
        <v>13788</v>
      </c>
      <c r="T33" s="39">
        <f t="shared" ca="1" si="9"/>
        <v>50847</v>
      </c>
      <c r="U33" s="39">
        <f t="shared" ca="1" si="9"/>
        <v>77350</v>
      </c>
      <c r="V33" s="39">
        <f t="shared" ca="1" si="9"/>
        <v>35260</v>
      </c>
      <c r="W33" s="39">
        <f t="shared" ca="1" si="9"/>
        <v>57780</v>
      </c>
      <c r="X33" s="39">
        <f t="shared" ca="1" si="9"/>
        <v>46746</v>
      </c>
      <c r="Y33" s="39">
        <f t="shared" ca="1" si="9"/>
        <v>7536</v>
      </c>
      <c r="Z33" s="39">
        <f t="shared" ca="1" si="9"/>
        <v>22875</v>
      </c>
      <c r="AA33" s="39">
        <f t="shared" ca="1" si="9"/>
        <v>39492</v>
      </c>
      <c r="AB33" s="39">
        <f t="shared" ca="1" si="9"/>
        <v>15480</v>
      </c>
    </row>
    <row r="34" spans="2:28" x14ac:dyDescent="0.45">
      <c r="B34" s="23" t="s">
        <v>143</v>
      </c>
      <c r="D34" s="39">
        <f t="shared" ref="D34:AB34" ca="1" si="10">RANDBETWEEN($E12,$C12)*(RANDBETWEEN($H12,$F12))</f>
        <v>156240</v>
      </c>
      <c r="E34" s="39">
        <f t="shared" ca="1" si="10"/>
        <v>174928</v>
      </c>
      <c r="F34" s="39">
        <f t="shared" ca="1" si="10"/>
        <v>124572</v>
      </c>
      <c r="G34" s="39">
        <f t="shared" ca="1" si="10"/>
        <v>78819</v>
      </c>
      <c r="H34" s="39">
        <f t="shared" ca="1" si="10"/>
        <v>139062</v>
      </c>
      <c r="I34" s="39">
        <f t="shared" ca="1" si="10"/>
        <v>111520</v>
      </c>
      <c r="J34" s="39">
        <f t="shared" ca="1" si="10"/>
        <v>112224</v>
      </c>
      <c r="K34" s="39">
        <f t="shared" ca="1" si="10"/>
        <v>66080</v>
      </c>
      <c r="L34" s="39">
        <f t="shared" ca="1" si="10"/>
        <v>113076</v>
      </c>
      <c r="M34" s="39">
        <f t="shared" ca="1" si="10"/>
        <v>105408</v>
      </c>
      <c r="N34" s="39">
        <f t="shared" ca="1" si="10"/>
        <v>73778</v>
      </c>
      <c r="O34" s="39">
        <f t="shared" ca="1" si="10"/>
        <v>136578</v>
      </c>
      <c r="P34" s="39">
        <f t="shared" ca="1" si="10"/>
        <v>66654</v>
      </c>
      <c r="Q34" s="39">
        <f t="shared" ca="1" si="10"/>
        <v>160176</v>
      </c>
      <c r="R34" s="39">
        <f t="shared" ca="1" si="10"/>
        <v>100100</v>
      </c>
      <c r="S34" s="39">
        <f t="shared" ca="1" si="10"/>
        <v>136366</v>
      </c>
      <c r="T34" s="39">
        <f t="shared" ca="1" si="10"/>
        <v>52576</v>
      </c>
      <c r="U34" s="39">
        <f t="shared" ca="1" si="10"/>
        <v>81861</v>
      </c>
      <c r="V34" s="39">
        <f t="shared" ca="1" si="10"/>
        <v>53256</v>
      </c>
      <c r="W34" s="39">
        <f t="shared" ca="1" si="10"/>
        <v>72204</v>
      </c>
      <c r="X34" s="39">
        <f t="shared" ca="1" si="10"/>
        <v>24321</v>
      </c>
      <c r="Y34" s="39">
        <f t="shared" ca="1" si="10"/>
        <v>120400</v>
      </c>
      <c r="Z34" s="39">
        <f t="shared" ca="1" si="10"/>
        <v>75184</v>
      </c>
      <c r="AA34" s="39">
        <f t="shared" ca="1" si="10"/>
        <v>35860</v>
      </c>
      <c r="AB34" s="39">
        <f t="shared" ca="1" si="10"/>
        <v>31160</v>
      </c>
    </row>
    <row r="35" spans="2:28" x14ac:dyDescent="0.45">
      <c r="B35" s="23" t="s">
        <v>144</v>
      </c>
      <c r="D35" s="39">
        <f t="shared" ref="D35:AB35" ca="1" si="11">RANDBETWEEN($E13,$C13)*(RANDBETWEEN($H13,$F13))</f>
        <v>5003093</v>
      </c>
      <c r="E35" s="39">
        <f t="shared" ca="1" si="11"/>
        <v>4163356</v>
      </c>
      <c r="F35" s="39">
        <f t="shared" ca="1" si="11"/>
        <v>6209736</v>
      </c>
      <c r="G35" s="39">
        <f t="shared" ca="1" si="11"/>
        <v>3027744</v>
      </c>
      <c r="H35" s="39">
        <f t="shared" ca="1" si="11"/>
        <v>3705198</v>
      </c>
      <c r="I35" s="39">
        <f t="shared" ca="1" si="11"/>
        <v>3596971</v>
      </c>
      <c r="J35" s="39">
        <f t="shared" ca="1" si="11"/>
        <v>5936964</v>
      </c>
      <c r="K35" s="39">
        <f t="shared" ca="1" si="11"/>
        <v>3932040</v>
      </c>
      <c r="L35" s="39">
        <f t="shared" ca="1" si="11"/>
        <v>5839899</v>
      </c>
      <c r="M35" s="39">
        <f t="shared" ca="1" si="11"/>
        <v>4037715</v>
      </c>
      <c r="N35" s="39">
        <f t="shared" ca="1" si="11"/>
        <v>3497184</v>
      </c>
      <c r="O35" s="39">
        <f t="shared" ca="1" si="11"/>
        <v>5618476</v>
      </c>
      <c r="P35" s="39">
        <f t="shared" ca="1" si="11"/>
        <v>3055410</v>
      </c>
      <c r="Q35" s="39">
        <f t="shared" ca="1" si="11"/>
        <v>6362832</v>
      </c>
      <c r="R35" s="39">
        <f t="shared" ca="1" si="11"/>
        <v>3084460</v>
      </c>
      <c r="S35" s="39">
        <f t="shared" ca="1" si="11"/>
        <v>5113710</v>
      </c>
      <c r="T35" s="39">
        <f t="shared" ca="1" si="11"/>
        <v>5249206</v>
      </c>
      <c r="U35" s="39">
        <f t="shared" ca="1" si="11"/>
        <v>3503250</v>
      </c>
      <c r="V35" s="39">
        <f t="shared" ca="1" si="11"/>
        <v>2749565</v>
      </c>
      <c r="W35" s="39">
        <f t="shared" ca="1" si="11"/>
        <v>4658878</v>
      </c>
      <c r="X35" s="39">
        <f t="shared" ca="1" si="11"/>
        <v>4694328</v>
      </c>
      <c r="Y35" s="39">
        <f t="shared" ca="1" si="11"/>
        <v>5592735</v>
      </c>
      <c r="Z35" s="39">
        <f t="shared" ca="1" si="11"/>
        <v>4484556</v>
      </c>
      <c r="AA35" s="39">
        <f t="shared" ca="1" si="11"/>
        <v>4722948</v>
      </c>
      <c r="AB35" s="39">
        <f t="shared" ca="1" si="11"/>
        <v>3478320</v>
      </c>
    </row>
    <row r="36" spans="2:28" x14ac:dyDescent="0.45">
      <c r="B36" s="23" t="s">
        <v>145</v>
      </c>
      <c r="D36" s="39">
        <f t="shared" ref="D36:AB36" ca="1" si="12">RANDBETWEEN($E14,$C14)*(RANDBETWEEN($H14,$F14))</f>
        <v>18996</v>
      </c>
      <c r="E36" s="39">
        <f t="shared" ca="1" si="12"/>
        <v>27690</v>
      </c>
      <c r="F36" s="39">
        <f t="shared" ca="1" si="12"/>
        <v>23136</v>
      </c>
      <c r="G36" s="39">
        <f t="shared" ca="1" si="12"/>
        <v>18000</v>
      </c>
      <c r="H36" s="39">
        <f t="shared" ca="1" si="12"/>
        <v>18495</v>
      </c>
      <c r="I36" s="39">
        <f t="shared" ca="1" si="12"/>
        <v>18732</v>
      </c>
      <c r="J36" s="39">
        <f t="shared" ca="1" si="12"/>
        <v>17766</v>
      </c>
      <c r="K36" s="39">
        <f t="shared" ca="1" si="12"/>
        <v>4014</v>
      </c>
      <c r="L36" s="39">
        <f t="shared" ca="1" si="12"/>
        <v>13928</v>
      </c>
      <c r="M36" s="39">
        <f t="shared" ca="1" si="12"/>
        <v>17640</v>
      </c>
      <c r="N36" s="39">
        <f t="shared" ca="1" si="12"/>
        <v>15316</v>
      </c>
      <c r="O36" s="39">
        <f t="shared" ca="1" si="12"/>
        <v>19630</v>
      </c>
      <c r="P36" s="39">
        <f t="shared" ca="1" si="12"/>
        <v>14248</v>
      </c>
      <c r="Q36" s="39">
        <f t="shared" ca="1" si="12"/>
        <v>33840</v>
      </c>
      <c r="R36" s="39">
        <f t="shared" ca="1" si="12"/>
        <v>29458</v>
      </c>
      <c r="S36" s="39">
        <f t="shared" ca="1" si="12"/>
        <v>4592</v>
      </c>
      <c r="T36" s="39">
        <f t="shared" ca="1" si="12"/>
        <v>12090</v>
      </c>
      <c r="U36" s="39">
        <f t="shared" ca="1" si="12"/>
        <v>25284</v>
      </c>
      <c r="V36" s="39">
        <f t="shared" ca="1" si="12"/>
        <v>31995</v>
      </c>
      <c r="W36" s="39">
        <f t="shared" ca="1" si="12"/>
        <v>23296</v>
      </c>
      <c r="X36" s="39">
        <f t="shared" ca="1" si="12"/>
        <v>7224</v>
      </c>
      <c r="Y36" s="39">
        <f t="shared" ca="1" si="12"/>
        <v>25074</v>
      </c>
      <c r="Z36" s="39">
        <f t="shared" ca="1" si="12"/>
        <v>17628</v>
      </c>
      <c r="AA36" s="39">
        <f t="shared" ca="1" si="12"/>
        <v>18045</v>
      </c>
      <c r="AB36" s="39">
        <f t="shared" ca="1" si="12"/>
        <v>6440</v>
      </c>
    </row>
    <row r="37" spans="2:28" x14ac:dyDescent="0.45">
      <c r="B37" s="23" t="s">
        <v>146</v>
      </c>
      <c r="D37" s="39">
        <f t="shared" ref="D37:AB37" ca="1" si="13">RANDBETWEEN($E15,$C15)*(RANDBETWEEN($H15,$F15))</f>
        <v>490548</v>
      </c>
      <c r="E37" s="39">
        <f t="shared" ca="1" si="13"/>
        <v>799302</v>
      </c>
      <c r="F37" s="39">
        <f t="shared" ca="1" si="13"/>
        <v>670650</v>
      </c>
      <c r="G37" s="39">
        <f t="shared" ca="1" si="13"/>
        <v>124119</v>
      </c>
      <c r="H37" s="39">
        <f t="shared" ca="1" si="13"/>
        <v>754026</v>
      </c>
      <c r="I37" s="39">
        <f t="shared" ca="1" si="13"/>
        <v>177296</v>
      </c>
      <c r="J37" s="39">
        <f t="shared" ca="1" si="13"/>
        <v>17353</v>
      </c>
      <c r="K37" s="39">
        <f t="shared" ca="1" si="13"/>
        <v>937153</v>
      </c>
      <c r="L37" s="39">
        <f t="shared" ca="1" si="13"/>
        <v>478060</v>
      </c>
      <c r="M37" s="39">
        <f t="shared" ca="1" si="13"/>
        <v>564466</v>
      </c>
      <c r="N37" s="39">
        <f t="shared" ca="1" si="13"/>
        <v>1072122</v>
      </c>
      <c r="O37" s="39">
        <f t="shared" ca="1" si="13"/>
        <v>732035</v>
      </c>
      <c r="P37" s="39">
        <f t="shared" ca="1" si="13"/>
        <v>164748</v>
      </c>
      <c r="Q37" s="39">
        <f t="shared" ca="1" si="13"/>
        <v>772110</v>
      </c>
      <c r="R37" s="39">
        <f t="shared" ca="1" si="13"/>
        <v>613242</v>
      </c>
      <c r="S37" s="39">
        <f t="shared" ca="1" si="13"/>
        <v>602126</v>
      </c>
      <c r="T37" s="39">
        <f t="shared" ca="1" si="13"/>
        <v>142758</v>
      </c>
      <c r="U37" s="39">
        <f t="shared" ca="1" si="13"/>
        <v>932430</v>
      </c>
      <c r="V37" s="39">
        <f t="shared" ca="1" si="13"/>
        <v>397810</v>
      </c>
      <c r="W37" s="39">
        <f t="shared" ca="1" si="13"/>
        <v>89645</v>
      </c>
      <c r="X37" s="39">
        <f t="shared" ca="1" si="13"/>
        <v>139608</v>
      </c>
      <c r="Y37" s="39">
        <f t="shared" ca="1" si="13"/>
        <v>627608</v>
      </c>
      <c r="Z37" s="39">
        <f t="shared" ca="1" si="13"/>
        <v>215440</v>
      </c>
      <c r="AA37" s="39">
        <f t="shared" ca="1" si="13"/>
        <v>369858</v>
      </c>
      <c r="AB37" s="39">
        <f t="shared" ca="1" si="13"/>
        <v>290196</v>
      </c>
    </row>
    <row r="38" spans="2:28" x14ac:dyDescent="0.45">
      <c r="B38" s="23" t="s">
        <v>147</v>
      </c>
      <c r="D38" s="39">
        <f t="shared" ref="D38:AB38" ca="1" si="14">RANDBETWEEN($E16,$C16)*(RANDBETWEEN($H16,$F16))</f>
        <v>13398</v>
      </c>
      <c r="E38" s="39">
        <f t="shared" ca="1" si="14"/>
        <v>35280</v>
      </c>
      <c r="F38" s="39">
        <f t="shared" ca="1" si="14"/>
        <v>45090</v>
      </c>
      <c r="G38" s="39">
        <f t="shared" ca="1" si="14"/>
        <v>19049</v>
      </c>
      <c r="H38" s="39">
        <f t="shared" ca="1" si="14"/>
        <v>77910</v>
      </c>
      <c r="I38" s="39">
        <f t="shared" ca="1" si="14"/>
        <v>68488</v>
      </c>
      <c r="J38" s="39">
        <f t="shared" ca="1" si="14"/>
        <v>40734</v>
      </c>
      <c r="K38" s="39">
        <f t="shared" ca="1" si="14"/>
        <v>60650</v>
      </c>
      <c r="L38" s="39">
        <f t="shared" ca="1" si="14"/>
        <v>29820</v>
      </c>
      <c r="M38" s="39">
        <f t="shared" ca="1" si="14"/>
        <v>48872</v>
      </c>
      <c r="N38" s="39">
        <f t="shared" ca="1" si="14"/>
        <v>27838</v>
      </c>
      <c r="O38" s="39">
        <f t="shared" ca="1" si="14"/>
        <v>24601</v>
      </c>
      <c r="P38" s="39">
        <f t="shared" ca="1" si="14"/>
        <v>44500</v>
      </c>
      <c r="Q38" s="39">
        <f t="shared" ca="1" si="14"/>
        <v>17464</v>
      </c>
      <c r="R38" s="39">
        <f t="shared" ca="1" si="14"/>
        <v>39776</v>
      </c>
      <c r="S38" s="39">
        <f t="shared" ca="1" si="14"/>
        <v>40369</v>
      </c>
      <c r="T38" s="39">
        <f t="shared" ca="1" si="14"/>
        <v>18020</v>
      </c>
      <c r="U38" s="39">
        <f t="shared" ca="1" si="14"/>
        <v>15876</v>
      </c>
      <c r="V38" s="39">
        <f t="shared" ca="1" si="14"/>
        <v>33760</v>
      </c>
      <c r="W38" s="39">
        <f t="shared" ca="1" si="14"/>
        <v>26910</v>
      </c>
      <c r="X38" s="39">
        <f t="shared" ca="1" si="14"/>
        <v>49774</v>
      </c>
      <c r="Y38" s="39">
        <f t="shared" ca="1" si="14"/>
        <v>45600</v>
      </c>
      <c r="Z38" s="39">
        <f t="shared" ca="1" si="14"/>
        <v>14756</v>
      </c>
      <c r="AA38" s="39">
        <f t="shared" ca="1" si="14"/>
        <v>55584</v>
      </c>
      <c r="AB38" s="39">
        <f t="shared" ca="1" si="14"/>
        <v>49140</v>
      </c>
    </row>
    <row r="39" spans="2:28" x14ac:dyDescent="0.45">
      <c r="B39" s="23" t="s">
        <v>148</v>
      </c>
      <c r="D39" s="39">
        <f t="shared" ref="D39:AB39" ca="1" si="15">RANDBETWEEN($E17,$C17)*(RANDBETWEEN($H17,$F17))</f>
        <v>453460</v>
      </c>
      <c r="E39" s="39">
        <f t="shared" ca="1" si="15"/>
        <v>1280128</v>
      </c>
      <c r="F39" s="39">
        <f t="shared" ca="1" si="15"/>
        <v>572796</v>
      </c>
      <c r="G39" s="39">
        <f t="shared" ca="1" si="15"/>
        <v>731535</v>
      </c>
      <c r="H39" s="39">
        <f t="shared" ca="1" si="15"/>
        <v>950416</v>
      </c>
      <c r="I39" s="39">
        <f t="shared" ca="1" si="15"/>
        <v>861913</v>
      </c>
      <c r="J39" s="39">
        <f t="shared" ca="1" si="15"/>
        <v>891228</v>
      </c>
      <c r="K39" s="39">
        <f t="shared" ca="1" si="15"/>
        <v>441008</v>
      </c>
      <c r="L39" s="39">
        <f t="shared" ca="1" si="15"/>
        <v>861804</v>
      </c>
      <c r="M39" s="39">
        <f t="shared" ca="1" si="15"/>
        <v>1088711</v>
      </c>
      <c r="N39" s="39">
        <f t="shared" ca="1" si="15"/>
        <v>796133</v>
      </c>
      <c r="O39" s="39">
        <f t="shared" ca="1" si="15"/>
        <v>674394</v>
      </c>
      <c r="P39" s="39">
        <f t="shared" ca="1" si="15"/>
        <v>1006179</v>
      </c>
      <c r="Q39" s="39">
        <f t="shared" ca="1" si="15"/>
        <v>541366</v>
      </c>
      <c r="R39" s="39">
        <f t="shared" ca="1" si="15"/>
        <v>701267</v>
      </c>
      <c r="S39" s="39">
        <f t="shared" ca="1" si="15"/>
        <v>953377</v>
      </c>
      <c r="T39" s="39">
        <f t="shared" ca="1" si="15"/>
        <v>707512</v>
      </c>
      <c r="U39" s="39">
        <f t="shared" ca="1" si="15"/>
        <v>334672</v>
      </c>
      <c r="V39" s="39">
        <f t="shared" ca="1" si="15"/>
        <v>746025</v>
      </c>
      <c r="W39" s="39">
        <f t="shared" ca="1" si="15"/>
        <v>1081680</v>
      </c>
      <c r="X39" s="39">
        <f t="shared" ca="1" si="15"/>
        <v>411434</v>
      </c>
      <c r="Y39" s="39">
        <f t="shared" ca="1" si="15"/>
        <v>870233</v>
      </c>
      <c r="Z39" s="39">
        <f t="shared" ca="1" si="15"/>
        <v>902550</v>
      </c>
      <c r="AA39" s="39">
        <f t="shared" ca="1" si="15"/>
        <v>962010</v>
      </c>
      <c r="AB39" s="39">
        <f t="shared" ca="1" si="15"/>
        <v>516300</v>
      </c>
    </row>
    <row r="40" spans="2:28" x14ac:dyDescent="0.45">
      <c r="B40" s="23" t="s">
        <v>149</v>
      </c>
      <c r="D40" s="39">
        <f t="shared" ref="D40:AB40" ca="1" si="16">RANDBETWEEN($E18,$C18)*(RANDBETWEEN($H18,$F18))</f>
        <v>2893</v>
      </c>
      <c r="E40" s="39">
        <f t="shared" ca="1" si="16"/>
        <v>741</v>
      </c>
      <c r="F40" s="39">
        <f t="shared" ca="1" si="16"/>
        <v>7360</v>
      </c>
      <c r="G40" s="39">
        <f t="shared" ca="1" si="16"/>
        <v>10461</v>
      </c>
      <c r="H40" s="39">
        <f t="shared" ca="1" si="16"/>
        <v>15410</v>
      </c>
      <c r="I40" s="39">
        <f t="shared" ca="1" si="16"/>
        <v>2740</v>
      </c>
      <c r="J40" s="39">
        <f t="shared" ca="1" si="16"/>
        <v>7601</v>
      </c>
      <c r="K40" s="39">
        <f t="shared" ca="1" si="16"/>
        <v>4680</v>
      </c>
      <c r="L40" s="39">
        <f t="shared" ca="1" si="16"/>
        <v>10461</v>
      </c>
      <c r="M40" s="39">
        <f t="shared" ca="1" si="16"/>
        <v>6290</v>
      </c>
      <c r="N40" s="39">
        <f t="shared" ca="1" si="16"/>
        <v>19149</v>
      </c>
      <c r="O40" s="39">
        <f t="shared" ca="1" si="16"/>
        <v>8448</v>
      </c>
      <c r="P40" s="39">
        <f t="shared" ca="1" si="16"/>
        <v>9178</v>
      </c>
      <c r="Q40" s="39">
        <f t="shared" ca="1" si="16"/>
        <v>8570</v>
      </c>
      <c r="R40" s="39">
        <f t="shared" ca="1" si="16"/>
        <v>1220</v>
      </c>
      <c r="S40" s="39">
        <f t="shared" ca="1" si="16"/>
        <v>16412</v>
      </c>
      <c r="T40" s="39">
        <f t="shared" ca="1" si="16"/>
        <v>17916</v>
      </c>
      <c r="U40" s="39">
        <f t="shared" ca="1" si="16"/>
        <v>13968</v>
      </c>
      <c r="V40" s="39">
        <f t="shared" ca="1" si="16"/>
        <v>23640</v>
      </c>
      <c r="W40" s="39">
        <f t="shared" ca="1" si="16"/>
        <v>20050</v>
      </c>
      <c r="X40" s="39">
        <f t="shared" ca="1" si="16"/>
        <v>17472</v>
      </c>
      <c r="Y40" s="39">
        <f t="shared" ca="1" si="16"/>
        <v>5460</v>
      </c>
      <c r="Z40" s="39">
        <f t="shared" ca="1" si="16"/>
        <v>7227</v>
      </c>
      <c r="AA40" s="39">
        <f t="shared" ca="1" si="16"/>
        <v>16978</v>
      </c>
      <c r="AB40" s="39">
        <f t="shared" ca="1" si="16"/>
        <v>3410</v>
      </c>
    </row>
    <row r="41" spans="2:28" x14ac:dyDescent="0.45">
      <c r="B41" s="23" t="s">
        <v>150</v>
      </c>
      <c r="D41" s="39">
        <f t="shared" ref="D41:AB41" ca="1" si="17">RANDBETWEEN($E19,$C19)*(RANDBETWEEN($H19,$F19))</f>
        <v>161292</v>
      </c>
      <c r="E41" s="39">
        <f t="shared" ca="1" si="17"/>
        <v>329238</v>
      </c>
      <c r="F41" s="39">
        <f t="shared" ca="1" si="17"/>
        <v>47152</v>
      </c>
      <c r="G41" s="39">
        <f t="shared" ca="1" si="17"/>
        <v>118752</v>
      </c>
      <c r="H41" s="39">
        <f t="shared" ca="1" si="17"/>
        <v>203472</v>
      </c>
      <c r="I41" s="39">
        <f t="shared" ca="1" si="17"/>
        <v>220920</v>
      </c>
      <c r="J41" s="39">
        <f t="shared" ca="1" si="17"/>
        <v>768768</v>
      </c>
      <c r="K41" s="39">
        <f t="shared" ca="1" si="17"/>
        <v>632676</v>
      </c>
      <c r="L41" s="39">
        <f t="shared" ca="1" si="17"/>
        <v>496509</v>
      </c>
      <c r="M41" s="39">
        <f t="shared" ca="1" si="17"/>
        <v>79434</v>
      </c>
      <c r="N41" s="39">
        <f t="shared" ca="1" si="17"/>
        <v>345735</v>
      </c>
      <c r="O41" s="39">
        <f t="shared" ca="1" si="17"/>
        <v>232506</v>
      </c>
      <c r="P41" s="39">
        <f t="shared" ca="1" si="17"/>
        <v>401280</v>
      </c>
      <c r="Q41" s="39">
        <f t="shared" ca="1" si="17"/>
        <v>188664</v>
      </c>
      <c r="R41" s="39">
        <f t="shared" ca="1" si="17"/>
        <v>281556</v>
      </c>
      <c r="S41" s="39">
        <f t="shared" ca="1" si="17"/>
        <v>95640</v>
      </c>
      <c r="T41" s="39">
        <f t="shared" ca="1" si="17"/>
        <v>23562</v>
      </c>
      <c r="U41" s="39">
        <f t="shared" ca="1" si="17"/>
        <v>241043</v>
      </c>
      <c r="V41" s="39">
        <f t="shared" ca="1" si="17"/>
        <v>221752</v>
      </c>
      <c r="W41" s="39">
        <f t="shared" ca="1" si="17"/>
        <v>821882</v>
      </c>
      <c r="X41" s="39">
        <f t="shared" ca="1" si="17"/>
        <v>93232</v>
      </c>
      <c r="Y41" s="39">
        <f t="shared" ca="1" si="17"/>
        <v>128320</v>
      </c>
      <c r="Z41" s="39">
        <f t="shared" ca="1" si="17"/>
        <v>53631</v>
      </c>
      <c r="AA41" s="39">
        <f t="shared" ca="1" si="17"/>
        <v>381705</v>
      </c>
      <c r="AB41" s="39">
        <f t="shared" ca="1" si="17"/>
        <v>685824</v>
      </c>
    </row>
    <row r="42" spans="2:28" x14ac:dyDescent="0.45">
      <c r="B42" s="73"/>
    </row>
    <row r="43" spans="2:28" x14ac:dyDescent="0.45">
      <c r="B43" s="73" t="s">
        <v>116</v>
      </c>
      <c r="D43" s="39">
        <f t="shared" ref="D43:AB43" ca="1" si="18">SUM(D26:D41)</f>
        <v>87321598</v>
      </c>
      <c r="E43" s="39">
        <f t="shared" ca="1" si="18"/>
        <v>91467505</v>
      </c>
      <c r="F43" s="39">
        <f t="shared" ca="1" si="18"/>
        <v>101341484</v>
      </c>
      <c r="G43" s="39">
        <f t="shared" ca="1" si="18"/>
        <v>94439262</v>
      </c>
      <c r="H43" s="39">
        <f t="shared" ca="1" si="18"/>
        <v>107336152</v>
      </c>
      <c r="I43" s="39">
        <f t="shared" ca="1" si="18"/>
        <v>92126815</v>
      </c>
      <c r="J43" s="39">
        <f t="shared" ca="1" si="18"/>
        <v>76881781</v>
      </c>
      <c r="K43" s="39">
        <f t="shared" ca="1" si="18"/>
        <v>89535923</v>
      </c>
      <c r="L43" s="39">
        <f t="shared" ca="1" si="18"/>
        <v>90055130</v>
      </c>
      <c r="M43" s="39">
        <f t="shared" ca="1" si="18"/>
        <v>89898004</v>
      </c>
      <c r="N43" s="39">
        <f t="shared" ca="1" si="18"/>
        <v>86362523</v>
      </c>
      <c r="O43" s="39">
        <f t="shared" ca="1" si="18"/>
        <v>75427330</v>
      </c>
      <c r="P43" s="39">
        <f t="shared" ca="1" si="18"/>
        <v>96444582</v>
      </c>
      <c r="Q43" s="39">
        <f t="shared" ca="1" si="18"/>
        <v>83268766</v>
      </c>
      <c r="R43" s="39">
        <f t="shared" ca="1" si="18"/>
        <v>79801500</v>
      </c>
      <c r="S43" s="39">
        <f t="shared" ca="1" si="18"/>
        <v>108424453</v>
      </c>
      <c r="T43" s="39">
        <f t="shared" ca="1" si="18"/>
        <v>104393962</v>
      </c>
      <c r="U43" s="39">
        <f t="shared" ca="1" si="18"/>
        <v>108157214</v>
      </c>
      <c r="V43" s="39">
        <f t="shared" ca="1" si="18"/>
        <v>96084025</v>
      </c>
      <c r="W43" s="39">
        <f t="shared" ca="1" si="18"/>
        <v>105423552</v>
      </c>
      <c r="X43" s="39">
        <f t="shared" ca="1" si="18"/>
        <v>78200220</v>
      </c>
      <c r="Y43" s="39">
        <f t="shared" ca="1" si="18"/>
        <v>95133961</v>
      </c>
      <c r="Z43" s="39">
        <f t="shared" ca="1" si="18"/>
        <v>110547686</v>
      </c>
      <c r="AA43" s="39">
        <f t="shared" ca="1" si="18"/>
        <v>89820154</v>
      </c>
      <c r="AB43" s="39">
        <f t="shared" ca="1" si="18"/>
        <v>75502765</v>
      </c>
    </row>
    <row r="44" spans="2:28" x14ac:dyDescent="0.45">
      <c r="B44" s="73"/>
    </row>
    <row r="45" spans="2:28" x14ac:dyDescent="0.45">
      <c r="B45" s="73" t="s">
        <v>152</v>
      </c>
      <c r="D45" s="39">
        <v>98799808</v>
      </c>
      <c r="E45" s="39">
        <v>102474034</v>
      </c>
      <c r="F45" s="39">
        <v>102634112</v>
      </c>
      <c r="G45" s="39">
        <v>81181527</v>
      </c>
      <c r="H45" s="39">
        <v>80602837</v>
      </c>
      <c r="I45" s="39">
        <v>80361120</v>
      </c>
      <c r="J45" s="39">
        <v>95416718</v>
      </c>
      <c r="K45" s="39">
        <v>96123300</v>
      </c>
      <c r="L45" s="39">
        <v>95304308</v>
      </c>
      <c r="M45" s="39">
        <v>114516402</v>
      </c>
      <c r="N45" s="39">
        <v>112778474</v>
      </c>
      <c r="O45" s="39">
        <v>92573067</v>
      </c>
      <c r="P45" s="39">
        <v>82054853</v>
      </c>
      <c r="Q45" s="39">
        <v>98388171</v>
      </c>
      <c r="R45" s="39">
        <v>81112765</v>
      </c>
      <c r="S45" s="39">
        <v>94692205</v>
      </c>
      <c r="T45" s="39">
        <v>95778814</v>
      </c>
      <c r="U45" s="39">
        <v>100604682</v>
      </c>
      <c r="V45" s="39">
        <v>92855974</v>
      </c>
      <c r="W45" s="39">
        <v>92481373</v>
      </c>
      <c r="X45" s="39">
        <v>118009800</v>
      </c>
      <c r="Y45" s="39">
        <v>93532181</v>
      </c>
      <c r="Z45" s="39">
        <v>91811142</v>
      </c>
      <c r="AA45" s="39">
        <v>108810917</v>
      </c>
      <c r="AB45" s="39">
        <v>93586157</v>
      </c>
    </row>
    <row r="47" spans="2:28" x14ac:dyDescent="0.45">
      <c r="B47" s="68"/>
    </row>
    <row r="49" spans="2:6" x14ac:dyDescent="0.45">
      <c r="E49" s="70"/>
      <c r="F49" s="70"/>
    </row>
    <row r="50" spans="2:6" x14ac:dyDescent="0.45">
      <c r="E50" s="70"/>
      <c r="F50" s="70"/>
    </row>
    <row r="51" spans="2:6" x14ac:dyDescent="0.45">
      <c r="E51" s="70"/>
      <c r="F51" s="70"/>
    </row>
    <row r="52" spans="2:6" x14ac:dyDescent="0.45">
      <c r="E52" s="70"/>
      <c r="F52" s="70"/>
    </row>
    <row r="53" spans="2:6" x14ac:dyDescent="0.45">
      <c r="E53" s="70"/>
      <c r="F53" s="70"/>
    </row>
    <row r="54" spans="2:6" x14ac:dyDescent="0.45">
      <c r="B54" s="34"/>
      <c r="E54" s="70"/>
      <c r="F54" s="70"/>
    </row>
    <row r="55" spans="2:6" x14ac:dyDescent="0.45">
      <c r="B55" s="34"/>
      <c r="E55" s="70"/>
      <c r="F55" s="70"/>
    </row>
    <row r="56" spans="2:6" x14ac:dyDescent="0.45">
      <c r="B56" s="34"/>
      <c r="E56" s="70"/>
      <c r="F56" s="70"/>
    </row>
    <row r="57" spans="2:6" x14ac:dyDescent="0.45">
      <c r="B57" s="34"/>
      <c r="E57" s="70"/>
      <c r="F57" s="70"/>
    </row>
    <row r="58" spans="2:6" x14ac:dyDescent="0.45">
      <c r="B58" s="34"/>
      <c r="E58" s="70"/>
      <c r="F58" s="70"/>
    </row>
    <row r="59" spans="2:6" x14ac:dyDescent="0.45">
      <c r="B59" s="34"/>
      <c r="E59" s="70"/>
      <c r="F59" s="70"/>
    </row>
    <row r="60" spans="2:6" x14ac:dyDescent="0.45">
      <c r="B60" s="34"/>
      <c r="E60" s="70"/>
      <c r="F60" s="70"/>
    </row>
    <row r="61" spans="2:6" x14ac:dyDescent="0.45">
      <c r="B61" s="34"/>
      <c r="E61" s="70"/>
      <c r="F61" s="70"/>
    </row>
    <row r="62" spans="2:6" x14ac:dyDescent="0.45">
      <c r="B62" s="34"/>
      <c r="E62" s="70"/>
      <c r="F62" s="70"/>
    </row>
    <row r="63" spans="2:6" x14ac:dyDescent="0.45">
      <c r="B63" s="34"/>
      <c r="E63" s="70"/>
      <c r="F63" s="70"/>
    </row>
    <row r="64" spans="2:6" x14ac:dyDescent="0.45">
      <c r="B64" s="34"/>
      <c r="E64" s="70"/>
      <c r="F64" s="70"/>
    </row>
    <row r="66" spans="2:3" x14ac:dyDescent="0.45">
      <c r="C66" s="47"/>
    </row>
    <row r="77" spans="2:3" x14ac:dyDescent="0.45">
      <c r="B77" s="34"/>
    </row>
    <row r="78" spans="2:3" x14ac:dyDescent="0.45">
      <c r="B78" s="34"/>
    </row>
    <row r="79" spans="2:3" x14ac:dyDescent="0.45">
      <c r="B79" s="34"/>
    </row>
    <row r="80" spans="2:3" x14ac:dyDescent="0.45">
      <c r="B80" s="34"/>
    </row>
    <row r="81" spans="2:2" x14ac:dyDescent="0.45">
      <c r="B81" s="34"/>
    </row>
    <row r="82" spans="2:2" x14ac:dyDescent="0.45">
      <c r="B82" s="34"/>
    </row>
    <row r="83" spans="2:2" x14ac:dyDescent="0.45">
      <c r="B83" s="34"/>
    </row>
    <row r="84" spans="2:2" x14ac:dyDescent="0.45">
      <c r="B84" s="34"/>
    </row>
    <row r="85" spans="2:2" x14ac:dyDescent="0.45">
      <c r="B85" s="34"/>
    </row>
    <row r="86" spans="2:2" x14ac:dyDescent="0.45">
      <c r="B86" s="34"/>
    </row>
    <row r="87" spans="2:2" x14ac:dyDescent="0.45">
      <c r="B87" s="34"/>
    </row>
  </sheetData>
  <mergeCells count="2">
    <mergeCell ref="C2:E2"/>
    <mergeCell ref="F2:H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AG112"/>
  <sheetViews>
    <sheetView zoomScale="90" zoomScaleNormal="90" workbookViewId="0">
      <selection activeCell="D26" sqref="D26"/>
    </sheetView>
  </sheetViews>
  <sheetFormatPr defaultColWidth="10.85546875" defaultRowHeight="15.9" x14ac:dyDescent="0.45"/>
  <cols>
    <col min="1" max="1" width="10.85546875" style="34"/>
    <col min="2" max="2" width="17.640625" style="39" customWidth="1"/>
    <col min="3" max="3" width="12.640625" style="39" bestFit="1" customWidth="1"/>
    <col min="4" max="4" width="14" style="39" bestFit="1" customWidth="1"/>
    <col min="5" max="7" width="10.85546875" style="39"/>
    <col min="8" max="8" width="10.5" style="39" customWidth="1"/>
    <col min="9" max="33" width="10.85546875" style="39"/>
    <col min="34" max="16384" width="10.85546875" style="34"/>
  </cols>
  <sheetData>
    <row r="2" spans="2:9" x14ac:dyDescent="0.45">
      <c r="B2" s="74" t="s">
        <v>127</v>
      </c>
      <c r="C2" s="146" t="s">
        <v>158</v>
      </c>
      <c r="D2" s="146"/>
      <c r="E2" s="146" t="s">
        <v>159</v>
      </c>
      <c r="F2" s="146"/>
      <c r="H2" s="151" t="s">
        <v>160</v>
      </c>
      <c r="I2" s="152"/>
    </row>
    <row r="3" spans="2:9" x14ac:dyDescent="0.45">
      <c r="B3" s="73"/>
      <c r="C3" s="73" t="s">
        <v>130</v>
      </c>
      <c r="D3" s="73" t="s">
        <v>132</v>
      </c>
      <c r="E3" s="73" t="s">
        <v>133</v>
      </c>
      <c r="F3" s="73" t="s">
        <v>134</v>
      </c>
      <c r="H3" s="89" t="s">
        <v>161</v>
      </c>
      <c r="I3" s="86">
        <v>0.15</v>
      </c>
    </row>
    <row r="4" spans="2:9" x14ac:dyDescent="0.45">
      <c r="B4" s="73" t="s">
        <v>135</v>
      </c>
      <c r="C4" s="39">
        <v>4994842</v>
      </c>
      <c r="D4" s="39">
        <v>2444871</v>
      </c>
      <c r="E4" s="39">
        <v>16.053999999999998</v>
      </c>
      <c r="F4" s="39">
        <v>11.032</v>
      </c>
      <c r="H4" s="89" t="s">
        <v>162</v>
      </c>
      <c r="I4" s="86">
        <v>0.44</v>
      </c>
    </row>
    <row r="5" spans="2:9" x14ac:dyDescent="0.45">
      <c r="B5" s="73" t="s">
        <v>136</v>
      </c>
      <c r="C5" s="39">
        <v>349744</v>
      </c>
      <c r="D5" s="39">
        <v>177975</v>
      </c>
      <c r="E5" s="39">
        <v>34.720999999999997</v>
      </c>
      <c r="F5" s="39">
        <v>15.882999999999999</v>
      </c>
      <c r="H5" s="89" t="s">
        <v>163</v>
      </c>
      <c r="I5" s="86">
        <v>0.3</v>
      </c>
    </row>
    <row r="6" spans="2:9" x14ac:dyDescent="0.45">
      <c r="B6" s="73" t="s">
        <v>137</v>
      </c>
      <c r="C6" s="39">
        <v>295101</v>
      </c>
      <c r="D6" s="39">
        <v>92296</v>
      </c>
      <c r="E6" s="39">
        <v>27.379000000000001</v>
      </c>
      <c r="F6" s="39">
        <v>15.257</v>
      </c>
      <c r="H6" s="79" t="s">
        <v>164</v>
      </c>
      <c r="I6" s="87">
        <v>2.06</v>
      </c>
    </row>
    <row r="7" spans="2:9" x14ac:dyDescent="0.45">
      <c r="B7" s="73" t="s">
        <v>138</v>
      </c>
      <c r="C7" s="39">
        <v>62030</v>
      </c>
      <c r="D7" s="39">
        <v>6712</v>
      </c>
      <c r="E7" s="39">
        <v>20.443999999999999</v>
      </c>
      <c r="F7" s="39">
        <v>12.521000000000001</v>
      </c>
      <c r="H7" s="79" t="s">
        <v>165</v>
      </c>
      <c r="I7" s="86">
        <v>0.02</v>
      </c>
    </row>
    <row r="8" spans="2:9" x14ac:dyDescent="0.45">
      <c r="B8" s="73" t="s">
        <v>139</v>
      </c>
      <c r="C8" s="39">
        <v>755133</v>
      </c>
      <c r="D8" s="39">
        <v>1865</v>
      </c>
      <c r="E8" s="39">
        <v>22.635999999999999</v>
      </c>
      <c r="F8" s="39">
        <v>6.5</v>
      </c>
    </row>
    <row r="9" spans="2:9" x14ac:dyDescent="0.45">
      <c r="B9" s="73" t="s">
        <v>140</v>
      </c>
      <c r="C9" s="39">
        <v>1041921</v>
      </c>
      <c r="D9" s="39">
        <v>40605</v>
      </c>
      <c r="E9" s="39">
        <v>21.488</v>
      </c>
      <c r="F9" s="39">
        <v>17.228999999999999</v>
      </c>
    </row>
    <row r="10" spans="2:9" x14ac:dyDescent="0.45">
      <c r="B10" s="73" t="s">
        <v>141</v>
      </c>
      <c r="C10" s="39">
        <v>27291</v>
      </c>
      <c r="D10" s="39">
        <v>12009</v>
      </c>
      <c r="E10" s="39">
        <v>17.350999999999999</v>
      </c>
      <c r="F10" s="39">
        <v>10.263</v>
      </c>
    </row>
    <row r="11" spans="2:9" x14ac:dyDescent="0.45">
      <c r="B11" s="73" t="s">
        <v>142</v>
      </c>
      <c r="C11" s="39">
        <v>6870</v>
      </c>
      <c r="D11" s="39">
        <v>654</v>
      </c>
      <c r="E11" s="39">
        <v>21.367999999999999</v>
      </c>
      <c r="F11" s="39">
        <v>5.3760000000000003</v>
      </c>
    </row>
    <row r="12" spans="2:9" x14ac:dyDescent="0.45">
      <c r="B12" s="73" t="s">
        <v>143</v>
      </c>
      <c r="C12" s="39">
        <v>3540</v>
      </c>
      <c r="D12" s="39">
        <v>659</v>
      </c>
      <c r="E12" s="39">
        <v>56.777999999999999</v>
      </c>
      <c r="F12" s="39">
        <v>27.632999999999999</v>
      </c>
    </row>
    <row r="13" spans="2:9" x14ac:dyDescent="0.45">
      <c r="B13" s="73" t="s">
        <v>144</v>
      </c>
      <c r="C13" s="39">
        <v>160011</v>
      </c>
      <c r="D13" s="39">
        <v>56542</v>
      </c>
      <c r="E13" s="39">
        <v>45.369</v>
      </c>
      <c r="F13" s="39">
        <v>31.416</v>
      </c>
    </row>
    <row r="14" spans="2:9" x14ac:dyDescent="0.45">
      <c r="B14" s="73" t="s">
        <v>145</v>
      </c>
      <c r="C14" s="39">
        <v>2312</v>
      </c>
      <c r="D14" s="39">
        <v>185</v>
      </c>
      <c r="E14" s="39">
        <v>16.89</v>
      </c>
      <c r="F14" s="39">
        <v>5.6390000000000002</v>
      </c>
    </row>
    <row r="15" spans="2:9" x14ac:dyDescent="0.45">
      <c r="B15" s="73" t="s">
        <v>146</v>
      </c>
      <c r="C15" s="39">
        <v>191407</v>
      </c>
      <c r="D15" s="39">
        <v>314</v>
      </c>
      <c r="E15" s="39">
        <v>7.1470000000000002</v>
      </c>
      <c r="F15" s="39">
        <v>2</v>
      </c>
    </row>
    <row r="16" spans="2:9" x14ac:dyDescent="0.45">
      <c r="B16" s="73" t="s">
        <v>147</v>
      </c>
      <c r="C16" s="39">
        <v>1232</v>
      </c>
      <c r="D16" s="39">
        <v>103</v>
      </c>
      <c r="E16" s="39">
        <v>79.674999999999997</v>
      </c>
      <c r="F16" s="39">
        <v>28.423999999999999</v>
      </c>
    </row>
    <row r="17" spans="2:28" x14ac:dyDescent="0.45">
      <c r="B17" s="73" t="s">
        <v>148</v>
      </c>
      <c r="C17" s="39">
        <v>84402</v>
      </c>
      <c r="D17" s="39">
        <v>16220</v>
      </c>
      <c r="E17" s="39">
        <v>17.689</v>
      </c>
      <c r="F17" s="39">
        <v>10.791</v>
      </c>
    </row>
    <row r="18" spans="2:28" x14ac:dyDescent="0.45">
      <c r="B18" s="73" t="s">
        <v>149</v>
      </c>
      <c r="C18" s="39">
        <v>2201</v>
      </c>
      <c r="D18" s="39">
        <v>51</v>
      </c>
      <c r="E18" s="39">
        <v>13.021000000000001</v>
      </c>
      <c r="F18" s="39">
        <v>8.4120000000000008</v>
      </c>
    </row>
    <row r="20" spans="2:28" x14ac:dyDescent="0.45">
      <c r="B20" s="69" t="s">
        <v>36</v>
      </c>
    </row>
    <row r="21" spans="2:28" x14ac:dyDescent="0.45">
      <c r="B21" s="72"/>
      <c r="C21" s="72">
        <v>0</v>
      </c>
      <c r="D21" s="72">
        <v>1</v>
      </c>
      <c r="E21" s="72">
        <v>2</v>
      </c>
      <c r="F21" s="72">
        <v>3</v>
      </c>
      <c r="G21" s="72">
        <v>4</v>
      </c>
      <c r="H21" s="72">
        <v>5</v>
      </c>
      <c r="I21" s="72">
        <v>6</v>
      </c>
      <c r="J21" s="72">
        <v>7</v>
      </c>
      <c r="K21" s="72">
        <v>8</v>
      </c>
      <c r="L21" s="72">
        <v>9</v>
      </c>
      <c r="M21" s="72">
        <v>10</v>
      </c>
      <c r="N21" s="72">
        <v>11</v>
      </c>
      <c r="O21" s="72">
        <v>12</v>
      </c>
      <c r="P21" s="72">
        <v>13</v>
      </c>
      <c r="Q21" s="72">
        <v>14</v>
      </c>
      <c r="R21" s="72">
        <v>15</v>
      </c>
      <c r="S21" s="72">
        <v>16</v>
      </c>
      <c r="T21" s="72">
        <v>17</v>
      </c>
      <c r="U21" s="72">
        <v>18</v>
      </c>
      <c r="V21" s="72">
        <v>19</v>
      </c>
      <c r="W21" s="72">
        <v>20</v>
      </c>
      <c r="X21" s="72">
        <v>21</v>
      </c>
      <c r="Y21" s="72">
        <v>22</v>
      </c>
      <c r="Z21" s="72">
        <v>23</v>
      </c>
      <c r="AA21" s="72">
        <v>24</v>
      </c>
      <c r="AB21" s="72">
        <v>25</v>
      </c>
    </row>
    <row r="22" spans="2:28" x14ac:dyDescent="0.45">
      <c r="B22" s="72" t="s">
        <v>37</v>
      </c>
      <c r="C22" s="72"/>
      <c r="D22" s="72">
        <v>2022</v>
      </c>
      <c r="E22" s="72">
        <v>2023</v>
      </c>
      <c r="F22" s="72">
        <v>2024</v>
      </c>
      <c r="G22" s="72">
        <v>2025</v>
      </c>
      <c r="H22" s="72">
        <v>2026</v>
      </c>
      <c r="I22" s="72">
        <v>2027</v>
      </c>
      <c r="J22" s="72">
        <v>2028</v>
      </c>
      <c r="K22" s="72">
        <v>2029</v>
      </c>
      <c r="L22" s="72">
        <v>2030</v>
      </c>
      <c r="M22" s="72">
        <v>2031</v>
      </c>
      <c r="N22" s="72">
        <v>2032</v>
      </c>
      <c r="O22" s="72">
        <v>2033</v>
      </c>
      <c r="P22" s="72">
        <v>2034</v>
      </c>
      <c r="Q22" s="72">
        <v>2035</v>
      </c>
      <c r="R22" s="72">
        <v>2036</v>
      </c>
      <c r="S22" s="72">
        <v>2037</v>
      </c>
      <c r="T22" s="72">
        <v>2038</v>
      </c>
      <c r="U22" s="72">
        <v>2039</v>
      </c>
      <c r="V22" s="72">
        <v>2040</v>
      </c>
      <c r="W22" s="72">
        <v>2041</v>
      </c>
      <c r="X22" s="72">
        <v>2042</v>
      </c>
      <c r="Y22" s="72">
        <v>2043</v>
      </c>
      <c r="Z22" s="72">
        <v>2044</v>
      </c>
      <c r="AA22" s="72">
        <v>2045</v>
      </c>
      <c r="AB22" s="72">
        <v>2046</v>
      </c>
    </row>
    <row r="23" spans="2:28" x14ac:dyDescent="0.45">
      <c r="B23" s="77" t="s">
        <v>135</v>
      </c>
    </row>
    <row r="24" spans="2:28" x14ac:dyDescent="0.45">
      <c r="B24" s="75" t="s">
        <v>166</v>
      </c>
      <c r="D24" s="39">
        <f ca="1">RANDBETWEEN($D4,$C4)</f>
        <v>3979616</v>
      </c>
      <c r="E24" s="39">
        <f t="shared" ref="E24:AB24" ca="1" si="0">RANDBETWEEN($D4,$C4)</f>
        <v>2810162</v>
      </c>
      <c r="F24" s="39">
        <f t="shared" ca="1" si="0"/>
        <v>2854636</v>
      </c>
      <c r="G24" s="39">
        <f t="shared" ca="1" si="0"/>
        <v>3522181</v>
      </c>
      <c r="H24" s="39">
        <f t="shared" ca="1" si="0"/>
        <v>4881226</v>
      </c>
      <c r="I24" s="39">
        <f t="shared" ca="1" si="0"/>
        <v>4378577</v>
      </c>
      <c r="J24" s="39">
        <f t="shared" ca="1" si="0"/>
        <v>3984035</v>
      </c>
      <c r="K24" s="39">
        <f t="shared" ca="1" si="0"/>
        <v>4972046</v>
      </c>
      <c r="L24" s="39">
        <f t="shared" ca="1" si="0"/>
        <v>4879829</v>
      </c>
      <c r="M24" s="39">
        <f t="shared" ca="1" si="0"/>
        <v>4578040</v>
      </c>
      <c r="N24" s="39">
        <f t="shared" ca="1" si="0"/>
        <v>4783974</v>
      </c>
      <c r="O24" s="39">
        <f t="shared" ca="1" si="0"/>
        <v>4087618</v>
      </c>
      <c r="P24" s="39">
        <f t="shared" ca="1" si="0"/>
        <v>3307538</v>
      </c>
      <c r="Q24" s="39">
        <f t="shared" ca="1" si="0"/>
        <v>2604619</v>
      </c>
      <c r="R24" s="39">
        <f t="shared" ca="1" si="0"/>
        <v>4868389</v>
      </c>
      <c r="S24" s="39">
        <f t="shared" ca="1" si="0"/>
        <v>3030331</v>
      </c>
      <c r="T24" s="39">
        <f t="shared" ca="1" si="0"/>
        <v>3150783</v>
      </c>
      <c r="U24" s="39">
        <f t="shared" ca="1" si="0"/>
        <v>3303995</v>
      </c>
      <c r="V24" s="39">
        <f t="shared" ca="1" si="0"/>
        <v>4167588</v>
      </c>
      <c r="W24" s="39">
        <f t="shared" ca="1" si="0"/>
        <v>2505280</v>
      </c>
      <c r="X24" s="39">
        <f t="shared" ca="1" si="0"/>
        <v>4932109</v>
      </c>
      <c r="Y24" s="39">
        <f t="shared" ca="1" si="0"/>
        <v>3136639</v>
      </c>
      <c r="Z24" s="39">
        <f t="shared" ca="1" si="0"/>
        <v>3590126</v>
      </c>
      <c r="AA24" s="39">
        <f t="shared" ca="1" si="0"/>
        <v>3199851</v>
      </c>
      <c r="AB24" s="39">
        <f t="shared" ca="1" si="0"/>
        <v>4965497</v>
      </c>
    </row>
    <row r="25" spans="2:28" x14ac:dyDescent="0.45">
      <c r="B25" s="85" t="s">
        <v>167</v>
      </c>
      <c r="D25" s="39">
        <f ca="1">D24/0.7</f>
        <v>5685165.7142857146</v>
      </c>
      <c r="E25" s="39">
        <f t="shared" ref="E25:AB25" ca="1" si="1">E24/0.7</f>
        <v>4014517.1428571432</v>
      </c>
      <c r="F25" s="39">
        <f t="shared" ca="1" si="1"/>
        <v>4078051.4285714286</v>
      </c>
      <c r="G25" s="39">
        <f t="shared" ca="1" si="1"/>
        <v>5031687.1428571427</v>
      </c>
      <c r="H25" s="39">
        <f t="shared" ca="1" si="1"/>
        <v>6973180</v>
      </c>
      <c r="I25" s="39">
        <f t="shared" ca="1" si="1"/>
        <v>6255110</v>
      </c>
      <c r="J25" s="39">
        <f t="shared" ca="1" si="1"/>
        <v>5691478.5714285718</v>
      </c>
      <c r="K25" s="39">
        <f t="shared" ca="1" si="1"/>
        <v>7102922.8571428573</v>
      </c>
      <c r="L25" s="39">
        <f t="shared" ca="1" si="1"/>
        <v>6971184.2857142864</v>
      </c>
      <c r="M25" s="39">
        <f t="shared" ca="1" si="1"/>
        <v>6540057.1428571437</v>
      </c>
      <c r="N25" s="39">
        <f t="shared" ca="1" si="1"/>
        <v>6834248.5714285718</v>
      </c>
      <c r="O25" s="39">
        <f t="shared" ca="1" si="1"/>
        <v>5839454.2857142864</v>
      </c>
      <c r="P25" s="39">
        <f t="shared" ca="1" si="1"/>
        <v>4725054.2857142864</v>
      </c>
      <c r="Q25" s="39">
        <f t="shared" ca="1" si="1"/>
        <v>3720884.2857142859</v>
      </c>
      <c r="R25" s="39">
        <f t="shared" ca="1" si="1"/>
        <v>6954841.4285714291</v>
      </c>
      <c r="S25" s="39">
        <f t="shared" ca="1" si="1"/>
        <v>4329044.2857142864</v>
      </c>
      <c r="T25" s="39">
        <f t="shared" ca="1" si="1"/>
        <v>4501118.5714285718</v>
      </c>
      <c r="U25" s="39">
        <f t="shared" ca="1" si="1"/>
        <v>4719992.8571428573</v>
      </c>
      <c r="V25" s="39">
        <f t="shared" ca="1" si="1"/>
        <v>5953697.1428571437</v>
      </c>
      <c r="W25" s="39">
        <f t="shared" ca="1" si="1"/>
        <v>3578971.4285714286</v>
      </c>
      <c r="X25" s="39">
        <f t="shared" ca="1" si="1"/>
        <v>7045870</v>
      </c>
      <c r="Y25" s="39">
        <f t="shared" ca="1" si="1"/>
        <v>4480912.8571428573</v>
      </c>
      <c r="Z25" s="39">
        <f t="shared" ca="1" si="1"/>
        <v>5128751.4285714291</v>
      </c>
      <c r="AA25" s="39">
        <f t="shared" ca="1" si="1"/>
        <v>4571215.7142857146</v>
      </c>
      <c r="AB25" s="39">
        <f t="shared" ca="1" si="1"/>
        <v>7093567.1428571437</v>
      </c>
    </row>
    <row r="26" spans="2:28" x14ac:dyDescent="0.45">
      <c r="B26" s="85" t="s">
        <v>39</v>
      </c>
      <c r="D26" s="39">
        <f t="shared" ref="D26:AB26" ca="1" si="2">D25*$I$3</f>
        <v>852774.85714285716</v>
      </c>
      <c r="E26" s="39">
        <f t="shared" ca="1" si="2"/>
        <v>602177.57142857148</v>
      </c>
      <c r="F26" s="39">
        <f t="shared" ca="1" si="2"/>
        <v>611707.71428571432</v>
      </c>
      <c r="G26" s="39">
        <f t="shared" ca="1" si="2"/>
        <v>754753.07142857136</v>
      </c>
      <c r="H26" s="39">
        <f t="shared" ca="1" si="2"/>
        <v>1045977</v>
      </c>
      <c r="I26" s="39">
        <f t="shared" ca="1" si="2"/>
        <v>938266.5</v>
      </c>
      <c r="J26" s="39">
        <f t="shared" ca="1" si="2"/>
        <v>853721.7857142858</v>
      </c>
      <c r="K26" s="39">
        <f t="shared" ca="1" si="2"/>
        <v>1065438.4285714286</v>
      </c>
      <c r="L26" s="39">
        <f t="shared" ca="1" si="2"/>
        <v>1045677.642857143</v>
      </c>
      <c r="M26" s="39">
        <f t="shared" ca="1" si="2"/>
        <v>981008.57142857148</v>
      </c>
      <c r="N26" s="39">
        <f t="shared" ca="1" si="2"/>
        <v>1025137.2857142857</v>
      </c>
      <c r="O26" s="39">
        <f t="shared" ca="1" si="2"/>
        <v>875918.14285714296</v>
      </c>
      <c r="P26" s="39">
        <f t="shared" ca="1" si="2"/>
        <v>708758.14285714296</v>
      </c>
      <c r="Q26" s="39">
        <f t="shared" ca="1" si="2"/>
        <v>558132.64285714284</v>
      </c>
      <c r="R26" s="39">
        <f t="shared" ca="1" si="2"/>
        <v>1043226.2142857143</v>
      </c>
      <c r="S26" s="39">
        <f t="shared" ca="1" si="2"/>
        <v>649356.64285714296</v>
      </c>
      <c r="T26" s="39">
        <f t="shared" ca="1" si="2"/>
        <v>675167.7857142858</v>
      </c>
      <c r="U26" s="39">
        <f t="shared" ca="1" si="2"/>
        <v>707998.92857142852</v>
      </c>
      <c r="V26" s="39">
        <f t="shared" ca="1" si="2"/>
        <v>893054.57142857148</v>
      </c>
      <c r="W26" s="39">
        <f t="shared" ca="1" si="2"/>
        <v>536845.71428571432</v>
      </c>
      <c r="X26" s="39">
        <f t="shared" ca="1" si="2"/>
        <v>1056880.5</v>
      </c>
      <c r="Y26" s="39">
        <f t="shared" ca="1" si="2"/>
        <v>672136.92857142852</v>
      </c>
      <c r="Z26" s="39">
        <f t="shared" ca="1" si="2"/>
        <v>769312.71428571432</v>
      </c>
      <c r="AA26" s="39">
        <f t="shared" ca="1" si="2"/>
        <v>685682.35714285716</v>
      </c>
      <c r="AB26" s="39">
        <f t="shared" ca="1" si="2"/>
        <v>1064035.0714285716</v>
      </c>
    </row>
    <row r="27" spans="2:28" x14ac:dyDescent="0.45">
      <c r="B27" s="85" t="s">
        <v>168</v>
      </c>
      <c r="D27" s="39">
        <f t="shared" ref="D27:AB27" ca="1" si="3">(D26*$I$6)*(1+$I$7)^C21</f>
        <v>1756716.2057142858</v>
      </c>
      <c r="E27" s="39">
        <f t="shared" ca="1" si="3"/>
        <v>1265295.5130857143</v>
      </c>
      <c r="F27" s="39">
        <f t="shared" ca="1" si="3"/>
        <v>1311026.6542422858</v>
      </c>
      <c r="G27" s="39">
        <f t="shared" ca="1" si="3"/>
        <v>1649956.9946946169</v>
      </c>
      <c r="H27" s="39">
        <f t="shared" ca="1" si="3"/>
        <v>2332330.2354458594</v>
      </c>
      <c r="I27" s="39">
        <f t="shared" ca="1" si="3"/>
        <v>2133999.3837274448</v>
      </c>
      <c r="J27" s="39">
        <f t="shared" ca="1" si="3"/>
        <v>1980544.5466514677</v>
      </c>
      <c r="K27" s="39">
        <f t="shared" ca="1" si="3"/>
        <v>2521138.9364853087</v>
      </c>
      <c r="L27" s="39">
        <f t="shared" ca="1" si="3"/>
        <v>2523866.7207012908</v>
      </c>
      <c r="M27" s="39">
        <f t="shared" ca="1" si="3"/>
        <v>2415135.8701462951</v>
      </c>
      <c r="N27" s="39">
        <f t="shared" ca="1" si="3"/>
        <v>2574251.4598894278</v>
      </c>
      <c r="O27" s="39">
        <f t="shared" ca="1" si="3"/>
        <v>2243533.877075776</v>
      </c>
      <c r="P27" s="39">
        <f t="shared" ca="1" si="3"/>
        <v>1851685.9999563973</v>
      </c>
      <c r="Q27" s="39">
        <f t="shared" ca="1" si="3"/>
        <v>1487328.4201937632</v>
      </c>
      <c r="R27" s="39">
        <f t="shared" ca="1" si="3"/>
        <v>2835620.5597301829</v>
      </c>
      <c r="S27" s="39">
        <f t="shared" ca="1" si="3"/>
        <v>1800334.0045578687</v>
      </c>
      <c r="T27" s="39">
        <f t="shared" ca="1" si="3"/>
        <v>1909333.0106184816</v>
      </c>
      <c r="U27" s="39">
        <f t="shared" ca="1" si="3"/>
        <v>2042221.0145309204</v>
      </c>
      <c r="V27" s="39">
        <f t="shared" ca="1" si="3"/>
        <v>2627533.791478809</v>
      </c>
      <c r="W27" s="39">
        <f t="shared" ca="1" si="3"/>
        <v>1611090.6390598952</v>
      </c>
      <c r="X27" s="39">
        <f t="shared" ca="1" si="3"/>
        <v>3235165.78328072</v>
      </c>
      <c r="Y27" s="39">
        <f t="shared" ca="1" si="3"/>
        <v>2098594.7615208691</v>
      </c>
      <c r="Z27" s="39">
        <f t="shared" ca="1" si="3"/>
        <v>2450044.1425155615</v>
      </c>
      <c r="AA27" s="39">
        <f t="shared" ca="1" si="3"/>
        <v>2227379.1291620443</v>
      </c>
      <c r="AB27" s="39">
        <f t="shared" ca="1" si="3"/>
        <v>3525553.305885517</v>
      </c>
    </row>
    <row r="28" spans="2:28" x14ac:dyDescent="0.45">
      <c r="B28" s="73"/>
    </row>
    <row r="29" spans="2:28" x14ac:dyDescent="0.45">
      <c r="B29" s="77" t="s">
        <v>136</v>
      </c>
    </row>
    <row r="30" spans="2:28" x14ac:dyDescent="0.45">
      <c r="B30" s="75" t="s">
        <v>166</v>
      </c>
      <c r="D30" s="39">
        <f t="shared" ref="D30:AB30" ca="1" si="4">RANDBETWEEN($D5,$C5)</f>
        <v>329077</v>
      </c>
      <c r="E30" s="39">
        <f t="shared" ca="1" si="4"/>
        <v>265056</v>
      </c>
      <c r="F30" s="39">
        <f t="shared" ca="1" si="4"/>
        <v>254103</v>
      </c>
      <c r="G30" s="39">
        <f t="shared" ca="1" si="4"/>
        <v>274651</v>
      </c>
      <c r="H30" s="39">
        <f t="shared" ca="1" si="4"/>
        <v>208651</v>
      </c>
      <c r="I30" s="39">
        <f t="shared" ca="1" si="4"/>
        <v>256541</v>
      </c>
      <c r="J30" s="39">
        <f t="shared" ca="1" si="4"/>
        <v>273637</v>
      </c>
      <c r="K30" s="39">
        <f t="shared" ca="1" si="4"/>
        <v>190741</v>
      </c>
      <c r="L30" s="39">
        <f t="shared" ca="1" si="4"/>
        <v>284309</v>
      </c>
      <c r="M30" s="39">
        <f t="shared" ca="1" si="4"/>
        <v>210325</v>
      </c>
      <c r="N30" s="39">
        <f t="shared" ca="1" si="4"/>
        <v>337527</v>
      </c>
      <c r="O30" s="39">
        <f t="shared" ca="1" si="4"/>
        <v>188404</v>
      </c>
      <c r="P30" s="39">
        <f t="shared" ca="1" si="4"/>
        <v>316850</v>
      </c>
      <c r="Q30" s="39">
        <f t="shared" ca="1" si="4"/>
        <v>187605</v>
      </c>
      <c r="R30" s="39">
        <f t="shared" ca="1" si="4"/>
        <v>199183</v>
      </c>
      <c r="S30" s="39">
        <f t="shared" ca="1" si="4"/>
        <v>244322</v>
      </c>
      <c r="T30" s="39">
        <f t="shared" ca="1" si="4"/>
        <v>276943</v>
      </c>
      <c r="U30" s="39">
        <f t="shared" ca="1" si="4"/>
        <v>296743</v>
      </c>
      <c r="V30" s="39">
        <f t="shared" ca="1" si="4"/>
        <v>328064</v>
      </c>
      <c r="W30" s="39">
        <f t="shared" ca="1" si="4"/>
        <v>298457</v>
      </c>
      <c r="X30" s="39">
        <f t="shared" ca="1" si="4"/>
        <v>334178</v>
      </c>
      <c r="Y30" s="39">
        <f t="shared" ca="1" si="4"/>
        <v>306621</v>
      </c>
      <c r="Z30" s="39">
        <f t="shared" ca="1" si="4"/>
        <v>318116</v>
      </c>
      <c r="AA30" s="39">
        <f t="shared" ca="1" si="4"/>
        <v>223496</v>
      </c>
      <c r="AB30" s="39">
        <f t="shared" ca="1" si="4"/>
        <v>276670</v>
      </c>
    </row>
    <row r="31" spans="2:28" x14ac:dyDescent="0.45">
      <c r="B31" s="85" t="s">
        <v>167</v>
      </c>
      <c r="D31" s="39">
        <f t="shared" ref="D31:AB31" ca="1" si="5">D30/0.7</f>
        <v>470110.00000000006</v>
      </c>
      <c r="E31" s="39">
        <f t="shared" ca="1" si="5"/>
        <v>378651.42857142858</v>
      </c>
      <c r="F31" s="39">
        <f t="shared" ca="1" si="5"/>
        <v>363004.28571428574</v>
      </c>
      <c r="G31" s="39">
        <f t="shared" ca="1" si="5"/>
        <v>392358.57142857148</v>
      </c>
      <c r="H31" s="39">
        <f t="shared" ca="1" si="5"/>
        <v>298072.85714285716</v>
      </c>
      <c r="I31" s="39">
        <f t="shared" ca="1" si="5"/>
        <v>366487.1428571429</v>
      </c>
      <c r="J31" s="39">
        <f t="shared" ca="1" si="5"/>
        <v>390910</v>
      </c>
      <c r="K31" s="39">
        <f t="shared" ca="1" si="5"/>
        <v>272487.1428571429</v>
      </c>
      <c r="L31" s="39">
        <f t="shared" ca="1" si="5"/>
        <v>406155.71428571432</v>
      </c>
      <c r="M31" s="39">
        <f t="shared" ca="1" si="5"/>
        <v>300464.28571428574</v>
      </c>
      <c r="N31" s="39">
        <f t="shared" ca="1" si="5"/>
        <v>482181.42857142858</v>
      </c>
      <c r="O31" s="39">
        <f t="shared" ca="1" si="5"/>
        <v>269148.57142857142</v>
      </c>
      <c r="P31" s="39">
        <f t="shared" ca="1" si="5"/>
        <v>452642.85714285716</v>
      </c>
      <c r="Q31" s="39">
        <f t="shared" ca="1" si="5"/>
        <v>268007.1428571429</v>
      </c>
      <c r="R31" s="39">
        <f t="shared" ca="1" si="5"/>
        <v>284547.1428571429</v>
      </c>
      <c r="S31" s="39">
        <f t="shared" ca="1" si="5"/>
        <v>349031.42857142858</v>
      </c>
      <c r="T31" s="39">
        <f t="shared" ca="1" si="5"/>
        <v>395632.85714285716</v>
      </c>
      <c r="U31" s="39">
        <f t="shared" ca="1" si="5"/>
        <v>423918.57142857148</v>
      </c>
      <c r="V31" s="39">
        <f t="shared" ca="1" si="5"/>
        <v>468662.85714285716</v>
      </c>
      <c r="W31" s="39">
        <f t="shared" ca="1" si="5"/>
        <v>426367.1428571429</v>
      </c>
      <c r="X31" s="39">
        <f t="shared" ca="1" si="5"/>
        <v>477397.1428571429</v>
      </c>
      <c r="Y31" s="39">
        <f t="shared" ca="1" si="5"/>
        <v>438030</v>
      </c>
      <c r="Z31" s="39">
        <f t="shared" ca="1" si="5"/>
        <v>454451.42857142858</v>
      </c>
      <c r="AA31" s="39">
        <f t="shared" ca="1" si="5"/>
        <v>319280</v>
      </c>
      <c r="AB31" s="39">
        <f t="shared" ca="1" si="5"/>
        <v>395242.85714285716</v>
      </c>
    </row>
    <row r="32" spans="2:28" x14ac:dyDescent="0.45">
      <c r="B32" s="85" t="s">
        <v>39</v>
      </c>
      <c r="D32" s="39">
        <f ca="1">D31*0.3</f>
        <v>141033</v>
      </c>
      <c r="E32" s="39">
        <f t="shared" ref="E32:AB32" ca="1" si="6">E31*0.3</f>
        <v>113595.42857142857</v>
      </c>
      <c r="F32" s="39">
        <f t="shared" ca="1" si="6"/>
        <v>108901.28571428572</v>
      </c>
      <c r="G32" s="39">
        <f t="shared" ca="1" si="6"/>
        <v>117707.57142857143</v>
      </c>
      <c r="H32" s="39">
        <f t="shared" ca="1" si="6"/>
        <v>89421.857142857145</v>
      </c>
      <c r="I32" s="39">
        <f t="shared" ca="1" si="6"/>
        <v>109946.14285714287</v>
      </c>
      <c r="J32" s="39">
        <f t="shared" ca="1" si="6"/>
        <v>117273</v>
      </c>
      <c r="K32" s="39">
        <f t="shared" ca="1" si="6"/>
        <v>81746.14285714287</v>
      </c>
      <c r="L32" s="39">
        <f t="shared" ca="1" si="6"/>
        <v>121846.71428571429</v>
      </c>
      <c r="M32" s="39">
        <f t="shared" ca="1" si="6"/>
        <v>90139.285714285725</v>
      </c>
      <c r="N32" s="39">
        <f t="shared" ca="1" si="6"/>
        <v>144654.42857142858</v>
      </c>
      <c r="O32" s="39">
        <f t="shared" ca="1" si="6"/>
        <v>80744.57142857142</v>
      </c>
      <c r="P32" s="39">
        <f t="shared" ca="1" si="6"/>
        <v>135792.85714285713</v>
      </c>
      <c r="Q32" s="39">
        <f t="shared" ca="1" si="6"/>
        <v>80402.14285714287</v>
      </c>
      <c r="R32" s="39">
        <f t="shared" ca="1" si="6"/>
        <v>85364.14285714287</v>
      </c>
      <c r="S32" s="39">
        <f t="shared" ca="1" si="6"/>
        <v>104709.42857142857</v>
      </c>
      <c r="T32" s="39">
        <f t="shared" ca="1" si="6"/>
        <v>118689.85714285714</v>
      </c>
      <c r="U32" s="39">
        <f t="shared" ca="1" si="6"/>
        <v>127175.57142857143</v>
      </c>
      <c r="V32" s="39">
        <f t="shared" ca="1" si="6"/>
        <v>140598.85714285713</v>
      </c>
      <c r="W32" s="39">
        <f t="shared" ca="1" si="6"/>
        <v>127910.14285714287</v>
      </c>
      <c r="X32" s="39">
        <f t="shared" ca="1" si="6"/>
        <v>143219.14285714287</v>
      </c>
      <c r="Y32" s="39">
        <f t="shared" ca="1" si="6"/>
        <v>131409</v>
      </c>
      <c r="Z32" s="39">
        <f t="shared" ca="1" si="6"/>
        <v>136335.42857142858</v>
      </c>
      <c r="AA32" s="39">
        <f t="shared" ca="1" si="6"/>
        <v>95784</v>
      </c>
      <c r="AB32" s="39">
        <f t="shared" ca="1" si="6"/>
        <v>118572.85714285714</v>
      </c>
    </row>
    <row r="33" spans="2:33" x14ac:dyDescent="0.45">
      <c r="B33" s="85" t="s">
        <v>168</v>
      </c>
      <c r="D33" s="39">
        <f t="shared" ref="D33:AB33" ca="1" si="7">(D32*$I$6)*(1+$I$7)^D21</f>
        <v>296338.53959999996</v>
      </c>
      <c r="E33" s="39">
        <f t="shared" ca="1" si="7"/>
        <v>243460.44880457141</v>
      </c>
      <c r="F33" s="39">
        <f t="shared" ca="1" si="7"/>
        <v>238067.84615718859</v>
      </c>
      <c r="G33" s="39">
        <f t="shared" ca="1" si="7"/>
        <v>262465.54922695272</v>
      </c>
      <c r="H33" s="39">
        <f t="shared" ca="1" si="7"/>
        <v>203381.64906731804</v>
      </c>
      <c r="I33" s="39">
        <f t="shared" ca="1" si="7"/>
        <v>255063.46131121548</v>
      </c>
      <c r="J33" s="39">
        <f t="shared" ca="1" si="7"/>
        <v>277502.21746260201</v>
      </c>
      <c r="K33" s="39">
        <f t="shared" ca="1" si="7"/>
        <v>197303.98838700494</v>
      </c>
      <c r="L33" s="39">
        <f t="shared" ca="1" si="7"/>
        <v>299973.29167304042</v>
      </c>
      <c r="M33" s="39">
        <f t="shared" ca="1" si="7"/>
        <v>226351.32979453652</v>
      </c>
      <c r="N33" s="39">
        <f t="shared" ca="1" si="7"/>
        <v>370510.77616732061</v>
      </c>
      <c r="O33" s="39">
        <f t="shared" ca="1" si="7"/>
        <v>210951.49874969537</v>
      </c>
      <c r="P33" s="39">
        <f t="shared" ca="1" si="7"/>
        <v>361864.8331586261</v>
      </c>
      <c r="Q33" s="39">
        <f t="shared" ca="1" si="7"/>
        <v>218543.17520977926</v>
      </c>
      <c r="R33" s="39">
        <f t="shared" ca="1" si="7"/>
        <v>236671.1280251893</v>
      </c>
      <c r="S33" s="39">
        <f t="shared" ca="1" si="7"/>
        <v>296111.82986599108</v>
      </c>
      <c r="T33" s="39">
        <f t="shared" ca="1" si="7"/>
        <v>342360.57525948843</v>
      </c>
      <c r="U33" s="39">
        <f t="shared" ca="1" si="7"/>
        <v>374174.34731302434</v>
      </c>
      <c r="V33" s="39">
        <f t="shared" ca="1" si="7"/>
        <v>421941.53101652936</v>
      </c>
      <c r="W33" s="39">
        <f t="shared" ca="1" si="7"/>
        <v>391539.55201744894</v>
      </c>
      <c r="X33" s="39">
        <f t="shared" ca="1" si="7"/>
        <v>447169.2153387884</v>
      </c>
      <c r="Y33" s="39">
        <f t="shared" ca="1" si="7"/>
        <v>418500.62366739439</v>
      </c>
      <c r="Z33" s="39">
        <f t="shared" ca="1" si="7"/>
        <v>442873.70821485925</v>
      </c>
      <c r="AA33" s="39">
        <f t="shared" ca="1" si="7"/>
        <v>317368.86021769402</v>
      </c>
      <c r="AB33" s="39">
        <f t="shared" ca="1" si="7"/>
        <v>400734.56083132583</v>
      </c>
    </row>
    <row r="34" spans="2:33" x14ac:dyDescent="0.45">
      <c r="B34" s="73"/>
    </row>
    <row r="35" spans="2:33" x14ac:dyDescent="0.45">
      <c r="B35" s="77" t="s">
        <v>137</v>
      </c>
    </row>
    <row r="36" spans="2:33" x14ac:dyDescent="0.45">
      <c r="B36" s="75" t="s">
        <v>166</v>
      </c>
      <c r="D36" s="39">
        <f t="shared" ref="D36:AB36" ca="1" si="8">RANDBETWEEN($D6,$C6)</f>
        <v>112508</v>
      </c>
      <c r="E36" s="39">
        <f t="shared" ca="1" si="8"/>
        <v>105223</v>
      </c>
      <c r="F36" s="39">
        <f t="shared" ca="1" si="8"/>
        <v>178046</v>
      </c>
      <c r="G36" s="39">
        <f t="shared" ca="1" si="8"/>
        <v>281806</v>
      </c>
      <c r="H36" s="39">
        <f t="shared" ca="1" si="8"/>
        <v>232010</v>
      </c>
      <c r="I36" s="39">
        <f t="shared" ca="1" si="8"/>
        <v>235892</v>
      </c>
      <c r="J36" s="39">
        <f t="shared" ca="1" si="8"/>
        <v>141188</v>
      </c>
      <c r="K36" s="39">
        <f t="shared" ca="1" si="8"/>
        <v>105919</v>
      </c>
      <c r="L36" s="39">
        <f t="shared" ca="1" si="8"/>
        <v>110426</v>
      </c>
      <c r="M36" s="39">
        <f t="shared" ca="1" si="8"/>
        <v>273258</v>
      </c>
      <c r="N36" s="39">
        <f t="shared" ca="1" si="8"/>
        <v>215448</v>
      </c>
      <c r="O36" s="39">
        <f t="shared" ca="1" si="8"/>
        <v>241886</v>
      </c>
      <c r="P36" s="39">
        <f t="shared" ca="1" si="8"/>
        <v>192812</v>
      </c>
      <c r="Q36" s="39">
        <f t="shared" ca="1" si="8"/>
        <v>164084</v>
      </c>
      <c r="R36" s="39">
        <f t="shared" ca="1" si="8"/>
        <v>136103</v>
      </c>
      <c r="S36" s="39">
        <f t="shared" ca="1" si="8"/>
        <v>210963</v>
      </c>
      <c r="T36" s="39">
        <f t="shared" ca="1" si="8"/>
        <v>244685</v>
      </c>
      <c r="U36" s="39">
        <f t="shared" ca="1" si="8"/>
        <v>257287</v>
      </c>
      <c r="V36" s="39">
        <f t="shared" ca="1" si="8"/>
        <v>164430</v>
      </c>
      <c r="W36" s="39">
        <f t="shared" ca="1" si="8"/>
        <v>129647</v>
      </c>
      <c r="X36" s="39">
        <f t="shared" ca="1" si="8"/>
        <v>291983</v>
      </c>
      <c r="Y36" s="39">
        <f t="shared" ca="1" si="8"/>
        <v>124232</v>
      </c>
      <c r="Z36" s="39">
        <f t="shared" ca="1" si="8"/>
        <v>110012</v>
      </c>
      <c r="AA36" s="39">
        <f t="shared" ca="1" si="8"/>
        <v>277228</v>
      </c>
      <c r="AB36" s="39">
        <f t="shared" ca="1" si="8"/>
        <v>279853</v>
      </c>
      <c r="AD36" s="34"/>
      <c r="AE36" s="34"/>
      <c r="AF36" s="34"/>
      <c r="AG36" s="34"/>
    </row>
    <row r="37" spans="2:33" x14ac:dyDescent="0.45">
      <c r="B37" s="85" t="s">
        <v>167</v>
      </c>
      <c r="D37" s="39">
        <f t="shared" ref="D37:AB37" ca="1" si="9">D36/0.7</f>
        <v>160725.71428571429</v>
      </c>
      <c r="E37" s="39">
        <f t="shared" ca="1" si="9"/>
        <v>150318.57142857145</v>
      </c>
      <c r="F37" s="39">
        <f t="shared" ca="1" si="9"/>
        <v>254351.42857142858</v>
      </c>
      <c r="G37" s="39">
        <f t="shared" ca="1" si="9"/>
        <v>402580</v>
      </c>
      <c r="H37" s="39">
        <f t="shared" ca="1" si="9"/>
        <v>331442.85714285716</v>
      </c>
      <c r="I37" s="39">
        <f t="shared" ca="1" si="9"/>
        <v>336988.57142857148</v>
      </c>
      <c r="J37" s="39">
        <f t="shared" ca="1" si="9"/>
        <v>201697.14285714287</v>
      </c>
      <c r="K37" s="39">
        <f t="shared" ca="1" si="9"/>
        <v>151312.85714285716</v>
      </c>
      <c r="L37" s="39">
        <f t="shared" ca="1" si="9"/>
        <v>157751.42857142858</v>
      </c>
      <c r="M37" s="39">
        <f t="shared" ca="1" si="9"/>
        <v>390368.57142857148</v>
      </c>
      <c r="N37" s="39">
        <f t="shared" ca="1" si="9"/>
        <v>307782.85714285716</v>
      </c>
      <c r="O37" s="39">
        <f t="shared" ca="1" si="9"/>
        <v>345551.42857142858</v>
      </c>
      <c r="P37" s="39">
        <f t="shared" ca="1" si="9"/>
        <v>275445.71428571432</v>
      </c>
      <c r="Q37" s="39">
        <f t="shared" ca="1" si="9"/>
        <v>234405.71428571429</v>
      </c>
      <c r="R37" s="39">
        <f t="shared" ca="1" si="9"/>
        <v>194432.85714285716</v>
      </c>
      <c r="S37" s="39">
        <f t="shared" ca="1" si="9"/>
        <v>301375.71428571432</v>
      </c>
      <c r="T37" s="39">
        <f t="shared" ca="1" si="9"/>
        <v>349550</v>
      </c>
      <c r="U37" s="39">
        <f t="shared" ca="1" si="9"/>
        <v>367552.85714285716</v>
      </c>
      <c r="V37" s="39">
        <f t="shared" ca="1" si="9"/>
        <v>234900.00000000003</v>
      </c>
      <c r="W37" s="39">
        <f t="shared" ca="1" si="9"/>
        <v>185210</v>
      </c>
      <c r="X37" s="39">
        <f t="shared" ca="1" si="9"/>
        <v>417118.57142857148</v>
      </c>
      <c r="Y37" s="39">
        <f t="shared" ca="1" si="9"/>
        <v>177474.28571428574</v>
      </c>
      <c r="Z37" s="39">
        <f t="shared" ca="1" si="9"/>
        <v>157160</v>
      </c>
      <c r="AA37" s="39">
        <f t="shared" ca="1" si="9"/>
        <v>396040</v>
      </c>
      <c r="AB37" s="39">
        <f t="shared" ca="1" si="9"/>
        <v>399790</v>
      </c>
    </row>
    <row r="38" spans="2:33" x14ac:dyDescent="0.45">
      <c r="B38" s="85" t="s">
        <v>39</v>
      </c>
      <c r="D38" s="39">
        <f ca="1">D37*0.3</f>
        <v>48217.714285714283</v>
      </c>
      <c r="E38" s="39">
        <f t="shared" ref="E38:AB38" ca="1" si="10">E37*0.3</f>
        <v>45095.571428571435</v>
      </c>
      <c r="F38" s="39">
        <f t="shared" ca="1" si="10"/>
        <v>76305.428571428565</v>
      </c>
      <c r="G38" s="39">
        <f t="shared" ca="1" si="10"/>
        <v>120774</v>
      </c>
      <c r="H38" s="39">
        <f t="shared" ca="1" si="10"/>
        <v>99432.857142857145</v>
      </c>
      <c r="I38" s="39">
        <f t="shared" ca="1" si="10"/>
        <v>101096.57142857143</v>
      </c>
      <c r="J38" s="39">
        <f t="shared" ca="1" si="10"/>
        <v>60509.142857142855</v>
      </c>
      <c r="K38" s="39">
        <f t="shared" ca="1" si="10"/>
        <v>45393.857142857145</v>
      </c>
      <c r="L38" s="39">
        <f t="shared" ca="1" si="10"/>
        <v>47325.428571428572</v>
      </c>
      <c r="M38" s="39">
        <f t="shared" ca="1" si="10"/>
        <v>117110.57142857143</v>
      </c>
      <c r="N38" s="39">
        <f t="shared" ca="1" si="10"/>
        <v>92334.857142857145</v>
      </c>
      <c r="O38" s="39">
        <f t="shared" ca="1" si="10"/>
        <v>103665.42857142857</v>
      </c>
      <c r="P38" s="39">
        <f t="shared" ca="1" si="10"/>
        <v>82633.71428571429</v>
      </c>
      <c r="Q38" s="39">
        <f t="shared" ca="1" si="10"/>
        <v>70321.71428571429</v>
      </c>
      <c r="R38" s="39">
        <f t="shared" ca="1" si="10"/>
        <v>58329.857142857145</v>
      </c>
      <c r="S38" s="39">
        <f t="shared" ca="1" si="10"/>
        <v>90412.71428571429</v>
      </c>
      <c r="T38" s="39">
        <f t="shared" ca="1" si="10"/>
        <v>104865</v>
      </c>
      <c r="U38" s="39">
        <f t="shared" ca="1" si="10"/>
        <v>110265.85714285714</v>
      </c>
      <c r="V38" s="39">
        <f t="shared" ca="1" si="10"/>
        <v>70470</v>
      </c>
      <c r="W38" s="39">
        <f t="shared" ca="1" si="10"/>
        <v>55563</v>
      </c>
      <c r="X38" s="39">
        <f t="shared" ca="1" si="10"/>
        <v>125135.57142857143</v>
      </c>
      <c r="Y38" s="39">
        <f t="shared" ca="1" si="10"/>
        <v>53242.285714285717</v>
      </c>
      <c r="Z38" s="39">
        <f t="shared" ca="1" si="10"/>
        <v>47148</v>
      </c>
      <c r="AA38" s="39">
        <f t="shared" ca="1" si="10"/>
        <v>118812</v>
      </c>
      <c r="AB38" s="39">
        <f t="shared" ca="1" si="10"/>
        <v>119937</v>
      </c>
    </row>
    <row r="39" spans="2:33" x14ac:dyDescent="0.45">
      <c r="B39" s="85" t="s">
        <v>168</v>
      </c>
      <c r="D39" s="39">
        <f ca="1">(D38*$I$6)*(1+I7)^D21</f>
        <v>101315.06125714285</v>
      </c>
      <c r="E39" s="39">
        <f t="shared" ref="E39:AB39" ca="1" si="11">(E38*$I$6)*(1+D107)^E21</f>
        <v>92896.877142857164</v>
      </c>
      <c r="F39" s="39">
        <f t="shared" ca="1" si="11"/>
        <v>157189.18285714285</v>
      </c>
      <c r="G39" s="39">
        <f t="shared" ca="1" si="11"/>
        <v>248794.44</v>
      </c>
      <c r="H39" s="39">
        <f t="shared" ca="1" si="11"/>
        <v>204831.68571428573</v>
      </c>
      <c r="I39" s="39">
        <f t="shared" ca="1" si="11"/>
        <v>208258.93714285715</v>
      </c>
      <c r="J39" s="39">
        <f t="shared" ca="1" si="11"/>
        <v>124648.83428571429</v>
      </c>
      <c r="K39" s="39">
        <f t="shared" ca="1" si="11"/>
        <v>93511.345714285722</v>
      </c>
      <c r="L39" s="39">
        <f t="shared" ca="1" si="11"/>
        <v>97490.38285714286</v>
      </c>
      <c r="M39" s="39">
        <f t="shared" ca="1" si="11"/>
        <v>241247.77714285717</v>
      </c>
      <c r="N39" s="39">
        <f t="shared" ca="1" si="11"/>
        <v>190209.80571428573</v>
      </c>
      <c r="O39" s="39">
        <f t="shared" ca="1" si="11"/>
        <v>213550.78285714285</v>
      </c>
      <c r="P39" s="39">
        <f t="shared" ca="1" si="11"/>
        <v>170225.45142857145</v>
      </c>
      <c r="Q39" s="39">
        <f t="shared" ca="1" si="11"/>
        <v>144862.73142857145</v>
      </c>
      <c r="R39" s="39">
        <f t="shared" ca="1" si="11"/>
        <v>120159.50571428573</v>
      </c>
      <c r="S39" s="39">
        <f t="shared" ca="1" si="11"/>
        <v>186250.19142857144</v>
      </c>
      <c r="T39" s="39">
        <f t="shared" ca="1" si="11"/>
        <v>216021.9</v>
      </c>
      <c r="U39" s="39">
        <f t="shared" ca="1" si="11"/>
        <v>227147.66571428571</v>
      </c>
      <c r="V39" s="39">
        <f t="shared" ca="1" si="11"/>
        <v>145168.20000000001</v>
      </c>
      <c r="W39" s="39">
        <f t="shared" ca="1" si="11"/>
        <v>114459.78</v>
      </c>
      <c r="X39" s="39">
        <f t="shared" ca="1" si="11"/>
        <v>257779.27714285717</v>
      </c>
      <c r="Y39" s="39">
        <f t="shared" ca="1" si="11"/>
        <v>109679.10857142859</v>
      </c>
      <c r="Z39" s="39">
        <f t="shared" ca="1" si="11"/>
        <v>97124.88</v>
      </c>
      <c r="AA39" s="39">
        <f t="shared" ca="1" si="11"/>
        <v>244752.72</v>
      </c>
      <c r="AB39" s="39">
        <f t="shared" ca="1" si="11"/>
        <v>247070.22</v>
      </c>
    </row>
    <row r="40" spans="2:33" x14ac:dyDescent="0.45">
      <c r="B40" s="73"/>
    </row>
    <row r="41" spans="2:33" x14ac:dyDescent="0.45">
      <c r="B41" s="77" t="s">
        <v>138</v>
      </c>
    </row>
    <row r="42" spans="2:33" x14ac:dyDescent="0.45">
      <c r="B42" s="75" t="s">
        <v>166</v>
      </c>
      <c r="D42" s="39">
        <f t="shared" ref="D42:AB42" ca="1" si="12">RANDBETWEEN($D7,$C7)</f>
        <v>14996</v>
      </c>
      <c r="E42" s="39">
        <f t="shared" ca="1" si="12"/>
        <v>30223</v>
      </c>
      <c r="F42" s="39">
        <f t="shared" ca="1" si="12"/>
        <v>15469</v>
      </c>
      <c r="G42" s="39">
        <f t="shared" ca="1" si="12"/>
        <v>19248</v>
      </c>
      <c r="H42" s="39">
        <f t="shared" ca="1" si="12"/>
        <v>16633</v>
      </c>
      <c r="I42" s="39">
        <f t="shared" ca="1" si="12"/>
        <v>12760</v>
      </c>
      <c r="J42" s="39">
        <f t="shared" ca="1" si="12"/>
        <v>42293</v>
      </c>
      <c r="K42" s="39">
        <f t="shared" ca="1" si="12"/>
        <v>14119</v>
      </c>
      <c r="L42" s="39">
        <f t="shared" ca="1" si="12"/>
        <v>15456</v>
      </c>
      <c r="M42" s="39">
        <f t="shared" ca="1" si="12"/>
        <v>44692</v>
      </c>
      <c r="N42" s="39">
        <f t="shared" ca="1" si="12"/>
        <v>21311</v>
      </c>
      <c r="O42" s="39">
        <f t="shared" ca="1" si="12"/>
        <v>27195</v>
      </c>
      <c r="P42" s="39">
        <f t="shared" ca="1" si="12"/>
        <v>24262</v>
      </c>
      <c r="Q42" s="39">
        <f t="shared" ca="1" si="12"/>
        <v>10884</v>
      </c>
      <c r="R42" s="39">
        <f t="shared" ca="1" si="12"/>
        <v>48163</v>
      </c>
      <c r="S42" s="39">
        <f t="shared" ca="1" si="12"/>
        <v>30474</v>
      </c>
      <c r="T42" s="39">
        <f t="shared" ca="1" si="12"/>
        <v>30632</v>
      </c>
      <c r="U42" s="39">
        <f t="shared" ca="1" si="12"/>
        <v>40313</v>
      </c>
      <c r="V42" s="39">
        <f t="shared" ca="1" si="12"/>
        <v>53172</v>
      </c>
      <c r="W42" s="39">
        <f t="shared" ca="1" si="12"/>
        <v>50597</v>
      </c>
      <c r="X42" s="39">
        <f t="shared" ca="1" si="12"/>
        <v>57091</v>
      </c>
      <c r="Y42" s="39">
        <f t="shared" ca="1" si="12"/>
        <v>42690</v>
      </c>
      <c r="Z42" s="39">
        <f t="shared" ca="1" si="12"/>
        <v>54997</v>
      </c>
      <c r="AA42" s="39">
        <f t="shared" ca="1" si="12"/>
        <v>34794</v>
      </c>
      <c r="AB42" s="39">
        <f t="shared" ca="1" si="12"/>
        <v>38100</v>
      </c>
      <c r="AD42" s="34"/>
      <c r="AE42" s="34"/>
      <c r="AF42" s="34"/>
      <c r="AG42" s="34"/>
    </row>
    <row r="43" spans="2:33" x14ac:dyDescent="0.45">
      <c r="B43" s="85" t="s">
        <v>167</v>
      </c>
      <c r="D43" s="39">
        <f t="shared" ref="D43:AB43" ca="1" si="13">D42/0.7</f>
        <v>21422.857142857145</v>
      </c>
      <c r="E43" s="39">
        <f t="shared" ca="1" si="13"/>
        <v>43175.71428571429</v>
      </c>
      <c r="F43" s="39">
        <f t="shared" ca="1" si="13"/>
        <v>22098.571428571431</v>
      </c>
      <c r="G43" s="39">
        <f t="shared" ca="1" si="13"/>
        <v>27497.142857142859</v>
      </c>
      <c r="H43" s="39">
        <f t="shared" ca="1" si="13"/>
        <v>23761.428571428572</v>
      </c>
      <c r="I43" s="39">
        <f t="shared" ca="1" si="13"/>
        <v>18228.571428571431</v>
      </c>
      <c r="J43" s="39">
        <f t="shared" ca="1" si="13"/>
        <v>60418.571428571435</v>
      </c>
      <c r="K43" s="39">
        <f t="shared" ca="1" si="13"/>
        <v>20170</v>
      </c>
      <c r="L43" s="39">
        <f t="shared" ca="1" si="13"/>
        <v>22080</v>
      </c>
      <c r="M43" s="39">
        <f t="shared" ca="1" si="13"/>
        <v>63845.71428571429</v>
      </c>
      <c r="N43" s="39">
        <f t="shared" ca="1" si="13"/>
        <v>30444.285714285717</v>
      </c>
      <c r="O43" s="39">
        <f t="shared" ca="1" si="13"/>
        <v>38850</v>
      </c>
      <c r="P43" s="39">
        <f t="shared" ca="1" si="13"/>
        <v>34660</v>
      </c>
      <c r="Q43" s="39">
        <f t="shared" ca="1" si="13"/>
        <v>15548.571428571429</v>
      </c>
      <c r="R43" s="39">
        <f t="shared" ca="1" si="13"/>
        <v>68804.285714285725</v>
      </c>
      <c r="S43" s="39">
        <f t="shared" ca="1" si="13"/>
        <v>43534.285714285717</v>
      </c>
      <c r="T43" s="39">
        <f t="shared" ca="1" si="13"/>
        <v>43760</v>
      </c>
      <c r="U43" s="39">
        <f t="shared" ca="1" si="13"/>
        <v>57590.000000000007</v>
      </c>
      <c r="V43" s="39">
        <f t="shared" ca="1" si="13"/>
        <v>75960</v>
      </c>
      <c r="W43" s="39">
        <f t="shared" ca="1" si="13"/>
        <v>72281.42857142858</v>
      </c>
      <c r="X43" s="39">
        <f t="shared" ca="1" si="13"/>
        <v>81558.571428571435</v>
      </c>
      <c r="Y43" s="39">
        <f t="shared" ca="1" si="13"/>
        <v>60985.71428571429</v>
      </c>
      <c r="Z43" s="39">
        <f t="shared" ca="1" si="13"/>
        <v>78567.142857142855</v>
      </c>
      <c r="AA43" s="39">
        <f t="shared" ca="1" si="13"/>
        <v>49705.71428571429</v>
      </c>
      <c r="AB43" s="39">
        <f t="shared" ca="1" si="13"/>
        <v>54428.571428571435</v>
      </c>
      <c r="AD43" s="34"/>
      <c r="AE43" s="34"/>
      <c r="AF43" s="34"/>
      <c r="AG43" s="34"/>
    </row>
    <row r="44" spans="2:33" x14ac:dyDescent="0.45">
      <c r="B44" s="85" t="s">
        <v>39</v>
      </c>
      <c r="D44" s="39">
        <f t="shared" ref="D44:AB44" ca="1" si="14">D42*0.3</f>
        <v>4498.8</v>
      </c>
      <c r="E44" s="39">
        <f t="shared" ca="1" si="14"/>
        <v>9066.9</v>
      </c>
      <c r="F44" s="39">
        <f t="shared" ca="1" si="14"/>
        <v>4640.7</v>
      </c>
      <c r="G44" s="39">
        <f t="shared" ca="1" si="14"/>
        <v>5774.4</v>
      </c>
      <c r="H44" s="39">
        <f t="shared" ca="1" si="14"/>
        <v>4989.8999999999996</v>
      </c>
      <c r="I44" s="39">
        <f t="shared" ca="1" si="14"/>
        <v>3828</v>
      </c>
      <c r="J44" s="39">
        <f t="shared" ca="1" si="14"/>
        <v>12687.9</v>
      </c>
      <c r="K44" s="39">
        <f t="shared" ca="1" si="14"/>
        <v>4235.7</v>
      </c>
      <c r="L44" s="39">
        <f t="shared" ca="1" si="14"/>
        <v>4636.8</v>
      </c>
      <c r="M44" s="39">
        <f t="shared" ca="1" si="14"/>
        <v>13407.6</v>
      </c>
      <c r="N44" s="39">
        <f t="shared" ca="1" si="14"/>
        <v>6393.3</v>
      </c>
      <c r="O44" s="39">
        <f t="shared" ca="1" si="14"/>
        <v>8158.5</v>
      </c>
      <c r="P44" s="39">
        <f t="shared" ca="1" si="14"/>
        <v>7278.5999999999995</v>
      </c>
      <c r="Q44" s="39">
        <f t="shared" ca="1" si="14"/>
        <v>3265.2</v>
      </c>
      <c r="R44" s="39">
        <f t="shared" ca="1" si="14"/>
        <v>14448.9</v>
      </c>
      <c r="S44" s="39">
        <f t="shared" ca="1" si="14"/>
        <v>9142.1999999999989</v>
      </c>
      <c r="T44" s="39">
        <f t="shared" ca="1" si="14"/>
        <v>9189.6</v>
      </c>
      <c r="U44" s="39">
        <f t="shared" ca="1" si="14"/>
        <v>12093.9</v>
      </c>
      <c r="V44" s="39">
        <f t="shared" ca="1" si="14"/>
        <v>15951.599999999999</v>
      </c>
      <c r="W44" s="39">
        <f t="shared" ca="1" si="14"/>
        <v>15179.099999999999</v>
      </c>
      <c r="X44" s="39">
        <f t="shared" ca="1" si="14"/>
        <v>17127.3</v>
      </c>
      <c r="Y44" s="39">
        <f t="shared" ca="1" si="14"/>
        <v>12807</v>
      </c>
      <c r="Z44" s="39">
        <f t="shared" ca="1" si="14"/>
        <v>16499.099999999999</v>
      </c>
      <c r="AA44" s="39">
        <f t="shared" ca="1" si="14"/>
        <v>10438.199999999999</v>
      </c>
      <c r="AB44" s="39">
        <f t="shared" ca="1" si="14"/>
        <v>11430</v>
      </c>
      <c r="AD44" s="34"/>
      <c r="AE44" s="34"/>
      <c r="AF44" s="34"/>
      <c r="AG44" s="34"/>
    </row>
    <row r="45" spans="2:33" x14ac:dyDescent="0.45">
      <c r="B45" s="85" t="s">
        <v>168</v>
      </c>
      <c r="D45" s="39">
        <f t="shared" ref="D45:AB45" ca="1" si="15">(D44*$I$6)*(1+$I$7)^D21</f>
        <v>9452.878560000001</v>
      </c>
      <c r="E45" s="39">
        <f t="shared" ca="1" si="15"/>
        <v>19432.397685599997</v>
      </c>
      <c r="F45" s="39">
        <f t="shared" ca="1" si="15"/>
        <v>10144.980809135999</v>
      </c>
      <c r="G45" s="39">
        <f t="shared" ca="1" si="15"/>
        <v>12875.816305290238</v>
      </c>
      <c r="H45" s="39">
        <f t="shared" ca="1" si="15"/>
        <v>11349.06076776862</v>
      </c>
      <c r="I45" s="39">
        <f t="shared" ca="1" si="15"/>
        <v>8880.5564663417408</v>
      </c>
      <c r="J45" s="39">
        <f t="shared" ca="1" si="15"/>
        <v>30023.282298088634</v>
      </c>
      <c r="K45" s="39">
        <f t="shared" ca="1" si="15"/>
        <v>10223.363138629269</v>
      </c>
      <c r="L45" s="39">
        <f t="shared" ca="1" si="15"/>
        <v>11415.294757707139</v>
      </c>
      <c r="M45" s="39">
        <f t="shared" ca="1" si="15"/>
        <v>33668.206546174719</v>
      </c>
      <c r="N45" s="39">
        <f t="shared" ca="1" si="15"/>
        <v>16375.48582967063</v>
      </c>
      <c r="O45" s="39">
        <f t="shared" ca="1" si="15"/>
        <v>21314.718402733364</v>
      </c>
      <c r="P45" s="39">
        <f t="shared" ca="1" si="15"/>
        <v>19396.22915406726</v>
      </c>
      <c r="Q45" s="39">
        <f t="shared" ca="1" si="15"/>
        <v>8875.2258377349535</v>
      </c>
      <c r="R45" s="39">
        <f t="shared" ca="1" si="15"/>
        <v>40059.413089239715</v>
      </c>
      <c r="S45" s="39">
        <f t="shared" ca="1" si="15"/>
        <v>25853.579834543547</v>
      </c>
      <c r="T45" s="39">
        <f t="shared" ca="1" si="15"/>
        <v>26507.376604370049</v>
      </c>
      <c r="U45" s="39">
        <f t="shared" ca="1" si="15"/>
        <v>35582.518624739132</v>
      </c>
      <c r="V45" s="39">
        <f t="shared" ca="1" si="15"/>
        <v>47871.246345370506</v>
      </c>
      <c r="W45" s="39">
        <f t="shared" ca="1" si="15"/>
        <v>46464.008883687769</v>
      </c>
      <c r="X45" s="39">
        <f t="shared" ca="1" si="15"/>
        <v>53476.100673996298</v>
      </c>
      <c r="Y45" s="39">
        <f t="shared" ca="1" si="15"/>
        <v>40786.68498587099</v>
      </c>
      <c r="Z45" s="39">
        <f t="shared" ca="1" si="15"/>
        <v>53595.882418629779</v>
      </c>
      <c r="AA45" s="39">
        <f t="shared" ca="1" si="15"/>
        <v>34585.730776792923</v>
      </c>
      <c r="AB45" s="39">
        <f t="shared" ca="1" si="15"/>
        <v>38629.380624467631</v>
      </c>
      <c r="AD45" s="34"/>
      <c r="AE45" s="34"/>
      <c r="AF45" s="34"/>
      <c r="AG45" s="34"/>
    </row>
    <row r="46" spans="2:33" x14ac:dyDescent="0.45">
      <c r="B46" s="73"/>
      <c r="AD46" s="34"/>
      <c r="AE46" s="34"/>
      <c r="AF46" s="34"/>
      <c r="AG46" s="34"/>
    </row>
    <row r="47" spans="2:33" x14ac:dyDescent="0.45">
      <c r="B47" s="77" t="s">
        <v>139</v>
      </c>
      <c r="AD47" s="34"/>
      <c r="AE47" s="34"/>
      <c r="AF47" s="34"/>
      <c r="AG47" s="34"/>
    </row>
    <row r="48" spans="2:33" x14ac:dyDescent="0.45">
      <c r="B48" s="75" t="s">
        <v>166</v>
      </c>
      <c r="D48" s="39">
        <f t="shared" ref="D48:AB48" ca="1" si="16">RANDBETWEEN($D8,$C8)</f>
        <v>262438</v>
      </c>
      <c r="E48" s="39">
        <f t="shared" ca="1" si="16"/>
        <v>14302</v>
      </c>
      <c r="F48" s="39">
        <f t="shared" ca="1" si="16"/>
        <v>41461</v>
      </c>
      <c r="G48" s="39">
        <f t="shared" ca="1" si="16"/>
        <v>745448</v>
      </c>
      <c r="H48" s="39">
        <f t="shared" ca="1" si="16"/>
        <v>103326</v>
      </c>
      <c r="I48" s="39">
        <f t="shared" ca="1" si="16"/>
        <v>167571</v>
      </c>
      <c r="J48" s="39">
        <f t="shared" ca="1" si="16"/>
        <v>127928</v>
      </c>
      <c r="K48" s="39">
        <f t="shared" ca="1" si="16"/>
        <v>168773</v>
      </c>
      <c r="L48" s="39">
        <f t="shared" ca="1" si="16"/>
        <v>738853</v>
      </c>
      <c r="M48" s="39">
        <f t="shared" ca="1" si="16"/>
        <v>641554</v>
      </c>
      <c r="N48" s="39">
        <f t="shared" ca="1" si="16"/>
        <v>99038</v>
      </c>
      <c r="O48" s="39">
        <f t="shared" ca="1" si="16"/>
        <v>632567</v>
      </c>
      <c r="P48" s="39">
        <f t="shared" ca="1" si="16"/>
        <v>14565</v>
      </c>
      <c r="Q48" s="39">
        <f t="shared" ca="1" si="16"/>
        <v>547014</v>
      </c>
      <c r="R48" s="39">
        <f t="shared" ca="1" si="16"/>
        <v>77266</v>
      </c>
      <c r="S48" s="39">
        <f t="shared" ca="1" si="16"/>
        <v>337570</v>
      </c>
      <c r="T48" s="39">
        <f t="shared" ca="1" si="16"/>
        <v>483780</v>
      </c>
      <c r="U48" s="39">
        <f t="shared" ca="1" si="16"/>
        <v>557709</v>
      </c>
      <c r="V48" s="39">
        <f t="shared" ca="1" si="16"/>
        <v>44014</v>
      </c>
      <c r="W48" s="39">
        <f t="shared" ca="1" si="16"/>
        <v>257776</v>
      </c>
      <c r="X48" s="39">
        <f t="shared" ca="1" si="16"/>
        <v>421813</v>
      </c>
      <c r="Y48" s="39">
        <f t="shared" ca="1" si="16"/>
        <v>140581</v>
      </c>
      <c r="Z48" s="39">
        <f t="shared" ca="1" si="16"/>
        <v>237008</v>
      </c>
      <c r="AA48" s="39">
        <f t="shared" ca="1" si="16"/>
        <v>743067</v>
      </c>
      <c r="AB48" s="39">
        <f t="shared" ca="1" si="16"/>
        <v>286520</v>
      </c>
      <c r="AD48" s="34"/>
      <c r="AE48" s="34"/>
      <c r="AF48" s="34"/>
      <c r="AG48" s="34"/>
    </row>
    <row r="49" spans="2:33" x14ac:dyDescent="0.45">
      <c r="B49" s="85" t="s">
        <v>167</v>
      </c>
      <c r="D49" s="39">
        <f t="shared" ref="D49:AB49" ca="1" si="17">D48/0.7</f>
        <v>374911.42857142858</v>
      </c>
      <c r="E49" s="39">
        <f t="shared" ca="1" si="17"/>
        <v>20431.428571428572</v>
      </c>
      <c r="F49" s="39">
        <f t="shared" ca="1" si="17"/>
        <v>59230.000000000007</v>
      </c>
      <c r="G49" s="39">
        <f t="shared" ca="1" si="17"/>
        <v>1064925.7142857143</v>
      </c>
      <c r="H49" s="39">
        <f t="shared" ca="1" si="17"/>
        <v>147608.57142857145</v>
      </c>
      <c r="I49" s="39">
        <f t="shared" ca="1" si="17"/>
        <v>239387.14285714287</v>
      </c>
      <c r="J49" s="39">
        <f t="shared" ca="1" si="17"/>
        <v>182754.28571428574</v>
      </c>
      <c r="K49" s="39">
        <f t="shared" ca="1" si="17"/>
        <v>241104.28571428574</v>
      </c>
      <c r="L49" s="39">
        <f t="shared" ca="1" si="17"/>
        <v>1055504.2857142857</v>
      </c>
      <c r="M49" s="39">
        <f t="shared" ca="1" si="17"/>
        <v>916505.71428571432</v>
      </c>
      <c r="N49" s="39">
        <f t="shared" ca="1" si="17"/>
        <v>141482.85714285716</v>
      </c>
      <c r="O49" s="39">
        <f t="shared" ca="1" si="17"/>
        <v>903667.14285714296</v>
      </c>
      <c r="P49" s="39">
        <f t="shared" ca="1" si="17"/>
        <v>20807.142857142859</v>
      </c>
      <c r="Q49" s="39">
        <f t="shared" ca="1" si="17"/>
        <v>781448.57142857148</v>
      </c>
      <c r="R49" s="39">
        <f t="shared" ca="1" si="17"/>
        <v>110380</v>
      </c>
      <c r="S49" s="39">
        <f t="shared" ca="1" si="17"/>
        <v>482242.85714285716</v>
      </c>
      <c r="T49" s="39">
        <f t="shared" ca="1" si="17"/>
        <v>691114.2857142858</v>
      </c>
      <c r="U49" s="39">
        <f t="shared" ca="1" si="17"/>
        <v>796727.14285714296</v>
      </c>
      <c r="V49" s="39">
        <f t="shared" ca="1" si="17"/>
        <v>62877.142857142862</v>
      </c>
      <c r="W49" s="39">
        <f t="shared" ca="1" si="17"/>
        <v>368251.42857142858</v>
      </c>
      <c r="X49" s="39">
        <f t="shared" ca="1" si="17"/>
        <v>602590</v>
      </c>
      <c r="Y49" s="39">
        <f t="shared" ca="1" si="17"/>
        <v>200830</v>
      </c>
      <c r="Z49" s="39">
        <f t="shared" ca="1" si="17"/>
        <v>338582.85714285716</v>
      </c>
      <c r="AA49" s="39">
        <f t="shared" ca="1" si="17"/>
        <v>1061524.2857142857</v>
      </c>
      <c r="AB49" s="39">
        <f t="shared" ca="1" si="17"/>
        <v>409314.28571428574</v>
      </c>
      <c r="AD49" s="34"/>
      <c r="AE49" s="34"/>
      <c r="AF49" s="34"/>
      <c r="AG49" s="34"/>
    </row>
    <row r="50" spans="2:33" x14ac:dyDescent="0.45">
      <c r="B50" s="85" t="s">
        <v>39</v>
      </c>
      <c r="D50" s="39">
        <f ca="1">D49*0.3</f>
        <v>112473.42857142857</v>
      </c>
      <c r="E50" s="39">
        <f t="shared" ref="E50:AB50" ca="1" si="18">E49*0.3</f>
        <v>6129.4285714285716</v>
      </c>
      <c r="F50" s="39">
        <f t="shared" ca="1" si="18"/>
        <v>17769</v>
      </c>
      <c r="G50" s="39">
        <f t="shared" ca="1" si="18"/>
        <v>319477.71428571426</v>
      </c>
      <c r="H50" s="39">
        <f t="shared" ca="1" si="18"/>
        <v>44282.571428571435</v>
      </c>
      <c r="I50" s="39">
        <f t="shared" ca="1" si="18"/>
        <v>71816.142857142855</v>
      </c>
      <c r="J50" s="39">
        <f t="shared" ca="1" si="18"/>
        <v>54826.285714285717</v>
      </c>
      <c r="K50" s="39">
        <f t="shared" ca="1" si="18"/>
        <v>72331.285714285725</v>
      </c>
      <c r="L50" s="39">
        <f t="shared" ca="1" si="18"/>
        <v>316651.28571428568</v>
      </c>
      <c r="M50" s="39">
        <f t="shared" ca="1" si="18"/>
        <v>274951.71428571426</v>
      </c>
      <c r="N50" s="39">
        <f t="shared" ca="1" si="18"/>
        <v>42444.857142857145</v>
      </c>
      <c r="O50" s="39">
        <f t="shared" ca="1" si="18"/>
        <v>271100.1428571429</v>
      </c>
      <c r="P50" s="39">
        <f t="shared" ca="1" si="18"/>
        <v>6242.1428571428578</v>
      </c>
      <c r="Q50" s="39">
        <f t="shared" ca="1" si="18"/>
        <v>234434.57142857145</v>
      </c>
      <c r="R50" s="39">
        <f t="shared" ca="1" si="18"/>
        <v>33114</v>
      </c>
      <c r="S50" s="39">
        <f t="shared" ca="1" si="18"/>
        <v>144672.85714285713</v>
      </c>
      <c r="T50" s="39">
        <f t="shared" ca="1" si="18"/>
        <v>207334.28571428574</v>
      </c>
      <c r="U50" s="39">
        <f t="shared" ca="1" si="18"/>
        <v>239018.14285714287</v>
      </c>
      <c r="V50" s="39">
        <f t="shared" ca="1" si="18"/>
        <v>18863.142857142859</v>
      </c>
      <c r="W50" s="39">
        <f t="shared" ca="1" si="18"/>
        <v>110475.42857142857</v>
      </c>
      <c r="X50" s="39">
        <f t="shared" ca="1" si="18"/>
        <v>180777</v>
      </c>
      <c r="Y50" s="39">
        <f t="shared" ca="1" si="18"/>
        <v>60249</v>
      </c>
      <c r="Z50" s="39">
        <f t="shared" ca="1" si="18"/>
        <v>101574.85714285714</v>
      </c>
      <c r="AA50" s="39">
        <f t="shared" ca="1" si="18"/>
        <v>318457.28571428568</v>
      </c>
      <c r="AB50" s="39">
        <f t="shared" ca="1" si="18"/>
        <v>122794.28571428571</v>
      </c>
      <c r="AD50" s="34"/>
      <c r="AE50" s="34"/>
      <c r="AF50" s="34"/>
      <c r="AG50" s="34"/>
    </row>
    <row r="51" spans="2:33" x14ac:dyDescent="0.45">
      <c r="B51" s="85" t="s">
        <v>168</v>
      </c>
      <c r="D51" s="39">
        <f t="shared" ref="D51:AB51" ca="1" si="19">(D50*$I$6)*(1+$I$7)^D21</f>
        <v>236329.16811428568</v>
      </c>
      <c r="E51" s="39">
        <f t="shared" ca="1" si="19"/>
        <v>13136.73842057143</v>
      </c>
      <c r="F51" s="39">
        <f t="shared" ca="1" si="19"/>
        <v>38844.606201119997</v>
      </c>
      <c r="G51" s="39">
        <f t="shared" ca="1" si="19"/>
        <v>712374.68183306605</v>
      </c>
      <c r="H51" s="39">
        <f t="shared" ca="1" si="19"/>
        <v>100716.56628307416</v>
      </c>
      <c r="I51" s="39">
        <f t="shared" ca="1" si="19"/>
        <v>166605.88083535063</v>
      </c>
      <c r="J51" s="39">
        <f t="shared" ca="1" si="19"/>
        <v>129735.0273375156</v>
      </c>
      <c r="K51" s="39">
        <f t="shared" ca="1" si="19"/>
        <v>174580.11666102192</v>
      </c>
      <c r="L51" s="39">
        <f t="shared" ca="1" si="19"/>
        <v>779560.85270779638</v>
      </c>
      <c r="M51" s="39">
        <f t="shared" ca="1" si="19"/>
        <v>690439.08729349368</v>
      </c>
      <c r="N51" s="39">
        <f t="shared" ca="1" si="19"/>
        <v>108716.18048351421</v>
      </c>
      <c r="O51" s="39">
        <f t="shared" ca="1" si="19"/>
        <v>708270.29526760895</v>
      </c>
      <c r="P51" s="39">
        <f t="shared" ca="1" si="19"/>
        <v>16634.247419773994</v>
      </c>
      <c r="Q51" s="39">
        <f t="shared" ca="1" si="19"/>
        <v>637222.76295515674</v>
      </c>
      <c r="R51" s="39">
        <f t="shared" ca="1" si="19"/>
        <v>91808.193359846337</v>
      </c>
      <c r="S51" s="39">
        <f t="shared" ca="1" si="19"/>
        <v>409125.95021268085</v>
      </c>
      <c r="T51" s="39">
        <f t="shared" ca="1" si="19"/>
        <v>598055.19222018728</v>
      </c>
      <c r="U51" s="39">
        <f t="shared" ca="1" si="19"/>
        <v>703236.13721502945</v>
      </c>
      <c r="V51" s="39">
        <f t="shared" ca="1" si="19"/>
        <v>56608.876762343716</v>
      </c>
      <c r="W51" s="39">
        <f t="shared" ca="1" si="19"/>
        <v>338170.99133493233</v>
      </c>
      <c r="X51" s="39">
        <f t="shared" ca="1" si="19"/>
        <v>564435.08618071908</v>
      </c>
      <c r="Y51" s="39">
        <f t="shared" ca="1" si="19"/>
        <v>191876.08212022652</v>
      </c>
      <c r="Z51" s="39">
        <f t="shared" ca="1" si="19"/>
        <v>329957.03402717045</v>
      </c>
      <c r="AA51" s="39">
        <f t="shared" ca="1" si="19"/>
        <v>1055170.2350618409</v>
      </c>
      <c r="AB51" s="39">
        <f t="shared" ca="1" si="19"/>
        <v>415001.50493147603</v>
      </c>
      <c r="AD51" s="34"/>
      <c r="AE51" s="34"/>
      <c r="AF51" s="34"/>
      <c r="AG51" s="34"/>
    </row>
    <row r="52" spans="2:33" x14ac:dyDescent="0.45">
      <c r="B52" s="73"/>
      <c r="AD52" s="34"/>
      <c r="AE52" s="34"/>
      <c r="AF52" s="34"/>
      <c r="AG52" s="34"/>
    </row>
    <row r="53" spans="2:33" x14ac:dyDescent="0.45">
      <c r="B53" s="77" t="s">
        <v>140</v>
      </c>
      <c r="AD53" s="34"/>
      <c r="AE53" s="34"/>
      <c r="AF53" s="34"/>
      <c r="AG53" s="34"/>
    </row>
    <row r="54" spans="2:33" x14ac:dyDescent="0.45">
      <c r="B54" s="75" t="s">
        <v>166</v>
      </c>
      <c r="D54" s="39">
        <f t="shared" ref="D54:AB54" ca="1" si="20">RANDBETWEEN($D9,$C9)</f>
        <v>197417</v>
      </c>
      <c r="E54" s="39">
        <f t="shared" ca="1" si="20"/>
        <v>907635</v>
      </c>
      <c r="F54" s="39">
        <f t="shared" ca="1" si="20"/>
        <v>761261</v>
      </c>
      <c r="G54" s="39">
        <f t="shared" ca="1" si="20"/>
        <v>253533</v>
      </c>
      <c r="H54" s="39">
        <f t="shared" ca="1" si="20"/>
        <v>675119</v>
      </c>
      <c r="I54" s="39">
        <f t="shared" ca="1" si="20"/>
        <v>67689</v>
      </c>
      <c r="J54" s="39">
        <f t="shared" ca="1" si="20"/>
        <v>229473</v>
      </c>
      <c r="K54" s="39">
        <f t="shared" ca="1" si="20"/>
        <v>75387</v>
      </c>
      <c r="L54" s="39">
        <f t="shared" ca="1" si="20"/>
        <v>186102</v>
      </c>
      <c r="M54" s="39">
        <f t="shared" ca="1" si="20"/>
        <v>985664</v>
      </c>
      <c r="N54" s="39">
        <f t="shared" ca="1" si="20"/>
        <v>973005</v>
      </c>
      <c r="O54" s="39">
        <f t="shared" ca="1" si="20"/>
        <v>485118</v>
      </c>
      <c r="P54" s="39">
        <f t="shared" ca="1" si="20"/>
        <v>471340</v>
      </c>
      <c r="Q54" s="39">
        <f t="shared" ca="1" si="20"/>
        <v>435481</v>
      </c>
      <c r="R54" s="39">
        <f t="shared" ca="1" si="20"/>
        <v>702239</v>
      </c>
      <c r="S54" s="39">
        <f t="shared" ca="1" si="20"/>
        <v>918640</v>
      </c>
      <c r="T54" s="39">
        <f t="shared" ca="1" si="20"/>
        <v>843552</v>
      </c>
      <c r="U54" s="39">
        <f t="shared" ca="1" si="20"/>
        <v>123479</v>
      </c>
      <c r="V54" s="39">
        <f t="shared" ca="1" si="20"/>
        <v>244942</v>
      </c>
      <c r="W54" s="39">
        <f t="shared" ca="1" si="20"/>
        <v>828195</v>
      </c>
      <c r="X54" s="39">
        <f t="shared" ca="1" si="20"/>
        <v>419940</v>
      </c>
      <c r="Y54" s="39">
        <f t="shared" ca="1" si="20"/>
        <v>356095</v>
      </c>
      <c r="Z54" s="39">
        <f t="shared" ca="1" si="20"/>
        <v>170786</v>
      </c>
      <c r="AA54" s="39">
        <f t="shared" ca="1" si="20"/>
        <v>145077</v>
      </c>
      <c r="AB54" s="39">
        <f t="shared" ca="1" si="20"/>
        <v>576927</v>
      </c>
      <c r="AD54" s="34"/>
      <c r="AE54" s="34"/>
      <c r="AF54" s="34"/>
      <c r="AG54" s="34"/>
    </row>
    <row r="55" spans="2:33" x14ac:dyDescent="0.45">
      <c r="B55" s="85" t="s">
        <v>167</v>
      </c>
      <c r="D55" s="39">
        <f t="shared" ref="D55:AB55" ca="1" si="21">D54/0.7</f>
        <v>282024.28571428574</v>
      </c>
      <c r="E55" s="39">
        <f t="shared" ca="1" si="21"/>
        <v>1296621.4285714286</v>
      </c>
      <c r="F55" s="39">
        <f t="shared" ca="1" si="21"/>
        <v>1087515.7142857143</v>
      </c>
      <c r="G55" s="39">
        <f t="shared" ca="1" si="21"/>
        <v>362190</v>
      </c>
      <c r="H55" s="39">
        <f t="shared" ca="1" si="21"/>
        <v>964455.71428571432</v>
      </c>
      <c r="I55" s="39">
        <f t="shared" ca="1" si="21"/>
        <v>96698.571428571435</v>
      </c>
      <c r="J55" s="39">
        <f t="shared" ca="1" si="21"/>
        <v>327818.57142857148</v>
      </c>
      <c r="K55" s="39">
        <f t="shared" ca="1" si="21"/>
        <v>107695.71428571429</v>
      </c>
      <c r="L55" s="39">
        <f t="shared" ca="1" si="21"/>
        <v>265860</v>
      </c>
      <c r="M55" s="39">
        <f t="shared" ca="1" si="21"/>
        <v>1408091.4285714286</v>
      </c>
      <c r="N55" s="39">
        <f t="shared" ca="1" si="21"/>
        <v>1390007.142857143</v>
      </c>
      <c r="O55" s="39">
        <f t="shared" ca="1" si="21"/>
        <v>693025.71428571432</v>
      </c>
      <c r="P55" s="39">
        <f t="shared" ca="1" si="21"/>
        <v>673342.85714285716</v>
      </c>
      <c r="Q55" s="39">
        <f t="shared" ca="1" si="21"/>
        <v>622115.71428571432</v>
      </c>
      <c r="R55" s="39">
        <f t="shared" ca="1" si="21"/>
        <v>1003198.5714285715</v>
      </c>
      <c r="S55" s="39">
        <f t="shared" ca="1" si="21"/>
        <v>1312342.8571428573</v>
      </c>
      <c r="T55" s="39">
        <f t="shared" ca="1" si="21"/>
        <v>1205074.2857142857</v>
      </c>
      <c r="U55" s="39">
        <f t="shared" ca="1" si="21"/>
        <v>176398.57142857145</v>
      </c>
      <c r="V55" s="39">
        <f t="shared" ca="1" si="21"/>
        <v>349917.1428571429</v>
      </c>
      <c r="W55" s="39">
        <f t="shared" ca="1" si="21"/>
        <v>1183135.7142857143</v>
      </c>
      <c r="X55" s="39">
        <f t="shared" ca="1" si="21"/>
        <v>599914.2857142858</v>
      </c>
      <c r="Y55" s="39">
        <f t="shared" ca="1" si="21"/>
        <v>508707.1428571429</v>
      </c>
      <c r="Z55" s="39">
        <f t="shared" ca="1" si="21"/>
        <v>243980.00000000003</v>
      </c>
      <c r="AA55" s="39">
        <f t="shared" ca="1" si="21"/>
        <v>207252.85714285716</v>
      </c>
      <c r="AB55" s="39">
        <f t="shared" ca="1" si="21"/>
        <v>824181.42857142864</v>
      </c>
      <c r="AD55" s="34"/>
      <c r="AE55" s="34"/>
      <c r="AF55" s="34"/>
      <c r="AG55" s="34"/>
    </row>
    <row r="56" spans="2:33" x14ac:dyDescent="0.45">
      <c r="B56" s="85" t="s">
        <v>39</v>
      </c>
      <c r="D56" s="39">
        <f ca="1">D55*0.3</f>
        <v>84607.285714285725</v>
      </c>
      <c r="E56" s="39">
        <f t="shared" ref="E56:AB56" ca="1" si="22">E55*0.3</f>
        <v>388986.42857142858</v>
      </c>
      <c r="F56" s="39">
        <f t="shared" ca="1" si="22"/>
        <v>326254.71428571426</v>
      </c>
      <c r="G56" s="39">
        <f t="shared" ca="1" si="22"/>
        <v>108657</v>
      </c>
      <c r="H56" s="39">
        <f t="shared" ca="1" si="22"/>
        <v>289336.71428571426</v>
      </c>
      <c r="I56" s="39">
        <f t="shared" ca="1" si="22"/>
        <v>29009.571428571431</v>
      </c>
      <c r="J56" s="39">
        <f t="shared" ca="1" si="22"/>
        <v>98345.571428571435</v>
      </c>
      <c r="K56" s="39">
        <f t="shared" ca="1" si="22"/>
        <v>32308.714285714286</v>
      </c>
      <c r="L56" s="39">
        <f t="shared" ca="1" si="22"/>
        <v>79758</v>
      </c>
      <c r="M56" s="39">
        <f t="shared" ca="1" si="22"/>
        <v>422427.42857142858</v>
      </c>
      <c r="N56" s="39">
        <f t="shared" ca="1" si="22"/>
        <v>417002.1428571429</v>
      </c>
      <c r="O56" s="39">
        <f t="shared" ca="1" si="22"/>
        <v>207907.71428571429</v>
      </c>
      <c r="P56" s="39">
        <f t="shared" ca="1" si="22"/>
        <v>202002.85714285713</v>
      </c>
      <c r="Q56" s="39">
        <f t="shared" ca="1" si="22"/>
        <v>186634.71428571429</v>
      </c>
      <c r="R56" s="39">
        <f t="shared" ca="1" si="22"/>
        <v>300959.57142857142</v>
      </c>
      <c r="S56" s="39">
        <f t="shared" ca="1" si="22"/>
        <v>393702.85714285716</v>
      </c>
      <c r="T56" s="39">
        <f t="shared" ca="1" si="22"/>
        <v>361522.28571428568</v>
      </c>
      <c r="U56" s="39">
        <f t="shared" ca="1" si="22"/>
        <v>52919.571428571435</v>
      </c>
      <c r="V56" s="39">
        <f t="shared" ca="1" si="22"/>
        <v>104975.14285714287</v>
      </c>
      <c r="W56" s="39">
        <f t="shared" ca="1" si="22"/>
        <v>354940.71428571426</v>
      </c>
      <c r="X56" s="39">
        <f t="shared" ca="1" si="22"/>
        <v>179974.28571428574</v>
      </c>
      <c r="Y56" s="39">
        <f t="shared" ca="1" si="22"/>
        <v>152612.14285714287</v>
      </c>
      <c r="Z56" s="39">
        <f t="shared" ca="1" si="22"/>
        <v>73194</v>
      </c>
      <c r="AA56" s="39">
        <f t="shared" ca="1" si="22"/>
        <v>62175.857142857145</v>
      </c>
      <c r="AB56" s="39">
        <f t="shared" ca="1" si="22"/>
        <v>247254.42857142858</v>
      </c>
      <c r="AD56" s="34"/>
      <c r="AE56" s="34"/>
      <c r="AF56" s="34"/>
      <c r="AG56" s="34"/>
    </row>
    <row r="57" spans="2:33" x14ac:dyDescent="0.45">
      <c r="B57" s="85" t="s">
        <v>168</v>
      </c>
      <c r="D57" s="39">
        <f t="shared" ref="D57:AB57" ca="1" si="23">(D56*$I$6)*(1+$I$7)^D21</f>
        <v>177776.82874285718</v>
      </c>
      <c r="E57" s="39">
        <f t="shared" ca="1" si="23"/>
        <v>833685.04938857141</v>
      </c>
      <c r="F57" s="39">
        <f t="shared" ca="1" si="23"/>
        <v>713221.67244569131</v>
      </c>
      <c r="G57" s="39">
        <f t="shared" ca="1" si="23"/>
        <v>242284.4922907872</v>
      </c>
      <c r="H57" s="39">
        <f t="shared" ca="1" si="23"/>
        <v>658069.2905218699</v>
      </c>
      <c r="I57" s="39">
        <f t="shared" ca="1" si="23"/>
        <v>67299.147632132343</v>
      </c>
      <c r="J57" s="39">
        <f t="shared" ca="1" si="23"/>
        <v>232714.38565616374</v>
      </c>
      <c r="K57" s="39">
        <f t="shared" ca="1" si="23"/>
        <v>77980.90485281685</v>
      </c>
      <c r="L57" s="39">
        <f t="shared" ca="1" si="23"/>
        <v>196355.47776164726</v>
      </c>
      <c r="M57" s="39">
        <f t="shared" ca="1" si="23"/>
        <v>1060769.5572594889</v>
      </c>
      <c r="N57" s="39">
        <f t="shared" ca="1" si="23"/>
        <v>1068088.8870066211</v>
      </c>
      <c r="O57" s="39">
        <f t="shared" ca="1" si="23"/>
        <v>543175.14049836912</v>
      </c>
      <c r="P57" s="39">
        <f t="shared" ca="1" si="23"/>
        <v>538303.20486345864</v>
      </c>
      <c r="Q57" s="39">
        <f t="shared" ca="1" si="23"/>
        <v>507296.71641763207</v>
      </c>
      <c r="R57" s="39">
        <f t="shared" ca="1" si="23"/>
        <v>834407.03410070587</v>
      </c>
      <c r="S57" s="39">
        <f t="shared" ca="1" si="23"/>
        <v>1113367.4879384341</v>
      </c>
      <c r="T57" s="39">
        <f t="shared" ca="1" si="23"/>
        <v>1042810.0655416166</v>
      </c>
      <c r="U57" s="39">
        <f t="shared" ca="1" si="23"/>
        <v>155699.28939137547</v>
      </c>
      <c r="V57" s="39">
        <f t="shared" ca="1" si="23"/>
        <v>315033.65956109407</v>
      </c>
      <c r="W57" s="39">
        <f t="shared" ca="1" si="23"/>
        <v>1086491.8540462817</v>
      </c>
      <c r="X57" s="39">
        <f t="shared" ca="1" si="23"/>
        <v>561928.79330587538</v>
      </c>
      <c r="Y57" s="39">
        <f t="shared" ca="1" si="23"/>
        <v>486026.65696361574</v>
      </c>
      <c r="Z57" s="39">
        <f t="shared" ca="1" si="23"/>
        <v>237764.30337104376</v>
      </c>
      <c r="AA57" s="39">
        <f t="shared" ca="1" si="23"/>
        <v>206012.28717204064</v>
      </c>
      <c r="AB57" s="39">
        <f t="shared" ca="1" si="23"/>
        <v>835633.02120480826</v>
      </c>
      <c r="AD57" s="34"/>
      <c r="AE57" s="34"/>
      <c r="AF57" s="34"/>
      <c r="AG57" s="34"/>
    </row>
    <row r="58" spans="2:33" x14ac:dyDescent="0.45">
      <c r="B58" s="73"/>
      <c r="AD58" s="34"/>
      <c r="AE58" s="34"/>
      <c r="AF58" s="34"/>
      <c r="AG58" s="34"/>
    </row>
    <row r="59" spans="2:33" x14ac:dyDescent="0.45">
      <c r="B59" s="77" t="s">
        <v>141</v>
      </c>
      <c r="AD59" s="34"/>
      <c r="AE59" s="34"/>
      <c r="AF59" s="34"/>
      <c r="AG59" s="34"/>
    </row>
    <row r="60" spans="2:33" x14ac:dyDescent="0.45">
      <c r="B60" s="75" t="s">
        <v>166</v>
      </c>
      <c r="D60" s="39">
        <f t="shared" ref="D60:AB60" ca="1" si="24">RANDBETWEEN($D10,$C10)</f>
        <v>13575</v>
      </c>
      <c r="E60" s="39">
        <f t="shared" ca="1" si="24"/>
        <v>21096</v>
      </c>
      <c r="F60" s="39">
        <f t="shared" ca="1" si="24"/>
        <v>14787</v>
      </c>
      <c r="G60" s="39">
        <f t="shared" ca="1" si="24"/>
        <v>26053</v>
      </c>
      <c r="H60" s="39">
        <f t="shared" ca="1" si="24"/>
        <v>24886</v>
      </c>
      <c r="I60" s="39">
        <f t="shared" ca="1" si="24"/>
        <v>19966</v>
      </c>
      <c r="J60" s="39">
        <f t="shared" ca="1" si="24"/>
        <v>21107</v>
      </c>
      <c r="K60" s="39">
        <f t="shared" ca="1" si="24"/>
        <v>26898</v>
      </c>
      <c r="L60" s="39">
        <f t="shared" ca="1" si="24"/>
        <v>25587</v>
      </c>
      <c r="M60" s="39">
        <f t="shared" ca="1" si="24"/>
        <v>15684</v>
      </c>
      <c r="N60" s="39">
        <f t="shared" ca="1" si="24"/>
        <v>18686</v>
      </c>
      <c r="O60" s="39">
        <f t="shared" ca="1" si="24"/>
        <v>18547</v>
      </c>
      <c r="P60" s="39">
        <f t="shared" ca="1" si="24"/>
        <v>25611</v>
      </c>
      <c r="Q60" s="39">
        <f t="shared" ca="1" si="24"/>
        <v>14924</v>
      </c>
      <c r="R60" s="39">
        <f t="shared" ca="1" si="24"/>
        <v>24355</v>
      </c>
      <c r="S60" s="39">
        <f t="shared" ca="1" si="24"/>
        <v>12993</v>
      </c>
      <c r="T60" s="39">
        <f t="shared" ca="1" si="24"/>
        <v>16371</v>
      </c>
      <c r="U60" s="39">
        <f t="shared" ca="1" si="24"/>
        <v>24835</v>
      </c>
      <c r="V60" s="39">
        <f t="shared" ca="1" si="24"/>
        <v>25149</v>
      </c>
      <c r="W60" s="39">
        <f t="shared" ca="1" si="24"/>
        <v>22480</v>
      </c>
      <c r="X60" s="39">
        <f t="shared" ca="1" si="24"/>
        <v>24027</v>
      </c>
      <c r="Y60" s="39">
        <f t="shared" ca="1" si="24"/>
        <v>21558</v>
      </c>
      <c r="Z60" s="39">
        <f t="shared" ca="1" si="24"/>
        <v>27246</v>
      </c>
      <c r="AA60" s="39">
        <f t="shared" ca="1" si="24"/>
        <v>23257</v>
      </c>
      <c r="AB60" s="39">
        <f t="shared" ca="1" si="24"/>
        <v>15368</v>
      </c>
      <c r="AD60" s="34"/>
      <c r="AE60" s="34"/>
      <c r="AF60" s="34"/>
      <c r="AG60" s="34"/>
    </row>
    <row r="61" spans="2:33" x14ac:dyDescent="0.45">
      <c r="B61" s="85" t="s">
        <v>167</v>
      </c>
      <c r="D61" s="39">
        <f t="shared" ref="D61:AB61" ca="1" si="25">D60/0.7</f>
        <v>19392.857142857145</v>
      </c>
      <c r="E61" s="39">
        <f t="shared" ca="1" si="25"/>
        <v>30137.142857142859</v>
      </c>
      <c r="F61" s="39">
        <f t="shared" ca="1" si="25"/>
        <v>21124.285714285717</v>
      </c>
      <c r="G61" s="39">
        <f t="shared" ca="1" si="25"/>
        <v>37218.571428571428</v>
      </c>
      <c r="H61" s="39">
        <f t="shared" ca="1" si="25"/>
        <v>35551.428571428572</v>
      </c>
      <c r="I61" s="39">
        <f t="shared" ca="1" si="25"/>
        <v>28522.857142857145</v>
      </c>
      <c r="J61" s="39">
        <f t="shared" ca="1" si="25"/>
        <v>30152.857142857145</v>
      </c>
      <c r="K61" s="39">
        <f t="shared" ca="1" si="25"/>
        <v>38425.71428571429</v>
      </c>
      <c r="L61" s="39">
        <f t="shared" ca="1" si="25"/>
        <v>36552.857142857145</v>
      </c>
      <c r="M61" s="39">
        <f t="shared" ca="1" si="25"/>
        <v>22405.714285714286</v>
      </c>
      <c r="N61" s="39">
        <f t="shared" ca="1" si="25"/>
        <v>26694.285714285717</v>
      </c>
      <c r="O61" s="39">
        <f t="shared" ca="1" si="25"/>
        <v>26495.714285714286</v>
      </c>
      <c r="P61" s="39">
        <f t="shared" ca="1" si="25"/>
        <v>36587.142857142862</v>
      </c>
      <c r="Q61" s="39">
        <f t="shared" ca="1" si="25"/>
        <v>21320</v>
      </c>
      <c r="R61" s="39">
        <f t="shared" ca="1" si="25"/>
        <v>34792.857142857145</v>
      </c>
      <c r="S61" s="39">
        <f t="shared" ca="1" si="25"/>
        <v>18561.428571428572</v>
      </c>
      <c r="T61" s="39">
        <f t="shared" ca="1" si="25"/>
        <v>23387.142857142859</v>
      </c>
      <c r="U61" s="39">
        <f t="shared" ca="1" si="25"/>
        <v>35478.571428571428</v>
      </c>
      <c r="V61" s="39">
        <f t="shared" ca="1" si="25"/>
        <v>35927.142857142862</v>
      </c>
      <c r="W61" s="39">
        <f t="shared" ca="1" si="25"/>
        <v>32114.285714285717</v>
      </c>
      <c r="X61" s="39">
        <f t="shared" ca="1" si="25"/>
        <v>34324.285714285717</v>
      </c>
      <c r="Y61" s="39">
        <f t="shared" ca="1" si="25"/>
        <v>30797.142857142859</v>
      </c>
      <c r="Z61" s="39">
        <f t="shared" ca="1" si="25"/>
        <v>38922.857142857145</v>
      </c>
      <c r="AA61" s="39">
        <f t="shared" ca="1" si="25"/>
        <v>33224.285714285717</v>
      </c>
      <c r="AB61" s="39">
        <f t="shared" ca="1" si="25"/>
        <v>21954.285714285717</v>
      </c>
      <c r="AD61" s="34"/>
      <c r="AE61" s="34"/>
      <c r="AF61" s="34"/>
      <c r="AG61" s="34"/>
    </row>
    <row r="62" spans="2:33" x14ac:dyDescent="0.45">
      <c r="B62" s="85" t="s">
        <v>39</v>
      </c>
      <c r="D62" s="39">
        <f ca="1">D61*0.3</f>
        <v>5817.8571428571431</v>
      </c>
      <c r="E62" s="39">
        <f t="shared" ref="E62:AB62" ca="1" si="26">E61*0.3</f>
        <v>9041.1428571428569</v>
      </c>
      <c r="F62" s="39">
        <f t="shared" ca="1" si="26"/>
        <v>6337.2857142857147</v>
      </c>
      <c r="G62" s="39">
        <f t="shared" ca="1" si="26"/>
        <v>11165.571428571428</v>
      </c>
      <c r="H62" s="39">
        <f t="shared" ca="1" si="26"/>
        <v>10665.428571428571</v>
      </c>
      <c r="I62" s="39">
        <f t="shared" ca="1" si="26"/>
        <v>8556.8571428571431</v>
      </c>
      <c r="J62" s="39">
        <f t="shared" ca="1" si="26"/>
        <v>9045.8571428571431</v>
      </c>
      <c r="K62" s="39">
        <f t="shared" ca="1" si="26"/>
        <v>11527.714285714286</v>
      </c>
      <c r="L62" s="39">
        <f t="shared" ca="1" si="26"/>
        <v>10965.857142857143</v>
      </c>
      <c r="M62" s="39">
        <f t="shared" ca="1" si="26"/>
        <v>6721.7142857142853</v>
      </c>
      <c r="N62" s="39">
        <f t="shared" ca="1" si="26"/>
        <v>8008.2857142857147</v>
      </c>
      <c r="O62" s="39">
        <f t="shared" ca="1" si="26"/>
        <v>7948.7142857142853</v>
      </c>
      <c r="P62" s="39">
        <f t="shared" ca="1" si="26"/>
        <v>10976.142857142859</v>
      </c>
      <c r="Q62" s="39">
        <f t="shared" ca="1" si="26"/>
        <v>6396</v>
      </c>
      <c r="R62" s="39">
        <f t="shared" ca="1" si="26"/>
        <v>10437.857142857143</v>
      </c>
      <c r="S62" s="39">
        <f t="shared" ca="1" si="26"/>
        <v>5568.4285714285716</v>
      </c>
      <c r="T62" s="39">
        <f t="shared" ca="1" si="26"/>
        <v>7016.1428571428578</v>
      </c>
      <c r="U62" s="39">
        <f t="shared" ca="1" si="26"/>
        <v>10643.571428571428</v>
      </c>
      <c r="V62" s="39">
        <f t="shared" ca="1" si="26"/>
        <v>10778.142857142859</v>
      </c>
      <c r="W62" s="39">
        <f t="shared" ca="1" si="26"/>
        <v>9634.2857142857156</v>
      </c>
      <c r="X62" s="39">
        <f t="shared" ca="1" si="26"/>
        <v>10297.285714285716</v>
      </c>
      <c r="Y62" s="39">
        <f t="shared" ca="1" si="26"/>
        <v>9239.1428571428569</v>
      </c>
      <c r="Z62" s="39">
        <f t="shared" ca="1" si="26"/>
        <v>11676.857142857143</v>
      </c>
      <c r="AA62" s="39">
        <f t="shared" ca="1" si="26"/>
        <v>9967.2857142857156</v>
      </c>
      <c r="AB62" s="39">
        <f t="shared" ca="1" si="26"/>
        <v>6586.2857142857147</v>
      </c>
      <c r="AD62" s="34"/>
      <c r="AE62" s="34"/>
      <c r="AF62" s="34"/>
      <c r="AG62" s="34"/>
    </row>
    <row r="63" spans="2:33" x14ac:dyDescent="0.45">
      <c r="B63" s="85" t="s">
        <v>168</v>
      </c>
      <c r="D63" s="39">
        <f t="shared" ref="D63:AB63" ca="1" si="27">(D62*$I$6)*(1+$I$7)^D21</f>
        <v>12224.481428571429</v>
      </c>
      <c r="E63" s="39">
        <f t="shared" ca="1" si="27"/>
        <v>19377.194358857145</v>
      </c>
      <c r="F63" s="39">
        <f t="shared" ca="1" si="27"/>
        <v>13853.867294468571</v>
      </c>
      <c r="G63" s="39">
        <f t="shared" ca="1" si="27"/>
        <v>24897.105614069485</v>
      </c>
      <c r="H63" s="39">
        <f t="shared" ca="1" si="27"/>
        <v>24257.519583847075</v>
      </c>
      <c r="I63" s="39">
        <f t="shared" ca="1" si="27"/>
        <v>19851.006539070666</v>
      </c>
      <c r="J63" s="39">
        <f t="shared" ca="1" si="27"/>
        <v>21405.143690301898</v>
      </c>
      <c r="K63" s="39">
        <f t="shared" ca="1" si="27"/>
        <v>27823.502443804209</v>
      </c>
      <c r="L63" s="39">
        <f t="shared" ca="1" si="27"/>
        <v>26996.741622805064</v>
      </c>
      <c r="M63" s="39">
        <f t="shared" ca="1" si="27"/>
        <v>16879.088346594603</v>
      </c>
      <c r="N63" s="39">
        <f t="shared" ca="1" si="27"/>
        <v>20512.031225539151</v>
      </c>
      <c r="O63" s="39">
        <f t="shared" ca="1" si="27"/>
        <v>20766.636840569205</v>
      </c>
      <c r="P63" s="39">
        <f t="shared" ca="1" si="27"/>
        <v>29249.551024224635</v>
      </c>
      <c r="Q63" s="39">
        <f t="shared" ca="1" si="27"/>
        <v>17385.135507213268</v>
      </c>
      <c r="R63" s="39">
        <f t="shared" ca="1" si="27"/>
        <v>28938.841783954878</v>
      </c>
      <c r="S63" s="39">
        <f t="shared" ca="1" si="27"/>
        <v>15747.17383391108</v>
      </c>
      <c r="T63" s="39">
        <f t="shared" ca="1" si="27"/>
        <v>20238.045292977564</v>
      </c>
      <c r="U63" s="39">
        <f t="shared" ca="1" si="27"/>
        <v>31315.380364554374</v>
      </c>
      <c r="V63" s="39">
        <f t="shared" ca="1" si="27"/>
        <v>32345.541002775983</v>
      </c>
      <c r="W63" s="39">
        <f t="shared" ca="1" si="27"/>
        <v>29491.046044663894</v>
      </c>
      <c r="X63" s="39">
        <f t="shared" ca="1" si="27"/>
        <v>32150.933744726077</v>
      </c>
      <c r="Y63" s="39">
        <f t="shared" ca="1" si="27"/>
        <v>29424.06568702629</v>
      </c>
      <c r="Z63" s="39">
        <f t="shared" ca="1" si="27"/>
        <v>37931.248519477347</v>
      </c>
      <c r="AA63" s="39">
        <f t="shared" ca="1" si="27"/>
        <v>33025.412455180012</v>
      </c>
      <c r="AB63" s="39">
        <f t="shared" ca="1" si="27"/>
        <v>22259.329637675986</v>
      </c>
      <c r="AD63" s="34"/>
      <c r="AE63" s="34"/>
      <c r="AF63" s="34"/>
      <c r="AG63" s="34"/>
    </row>
    <row r="64" spans="2:33" x14ac:dyDescent="0.45">
      <c r="B64" s="73"/>
      <c r="AD64" s="34"/>
      <c r="AE64" s="34"/>
      <c r="AF64" s="34"/>
      <c r="AG64" s="34"/>
    </row>
    <row r="65" spans="2:33" x14ac:dyDescent="0.45">
      <c r="B65" s="77" t="s">
        <v>142</v>
      </c>
      <c r="AD65" s="34"/>
      <c r="AE65" s="34"/>
      <c r="AF65" s="34"/>
      <c r="AG65" s="34"/>
    </row>
    <row r="66" spans="2:33" x14ac:dyDescent="0.45">
      <c r="B66" s="75" t="s">
        <v>166</v>
      </c>
      <c r="D66" s="39">
        <f t="shared" ref="D66:AB66" ca="1" si="28">RANDBETWEEN($D11,$C11)</f>
        <v>2599</v>
      </c>
      <c r="E66" s="39">
        <f t="shared" ca="1" si="28"/>
        <v>4685</v>
      </c>
      <c r="F66" s="39">
        <f t="shared" ca="1" si="28"/>
        <v>1373</v>
      </c>
      <c r="G66" s="39">
        <f t="shared" ca="1" si="28"/>
        <v>4041</v>
      </c>
      <c r="H66" s="39">
        <f t="shared" ca="1" si="28"/>
        <v>5167</v>
      </c>
      <c r="I66" s="39">
        <f t="shared" ca="1" si="28"/>
        <v>1689</v>
      </c>
      <c r="J66" s="39">
        <f t="shared" ca="1" si="28"/>
        <v>6536</v>
      </c>
      <c r="K66" s="39">
        <f t="shared" ca="1" si="28"/>
        <v>5983</v>
      </c>
      <c r="L66" s="39">
        <f t="shared" ca="1" si="28"/>
        <v>4427</v>
      </c>
      <c r="M66" s="39">
        <f t="shared" ca="1" si="28"/>
        <v>724</v>
      </c>
      <c r="N66" s="39">
        <f t="shared" ca="1" si="28"/>
        <v>6755</v>
      </c>
      <c r="O66" s="39">
        <f t="shared" ca="1" si="28"/>
        <v>2255</v>
      </c>
      <c r="P66" s="39">
        <f t="shared" ca="1" si="28"/>
        <v>2049</v>
      </c>
      <c r="Q66" s="39">
        <f t="shared" ca="1" si="28"/>
        <v>5027</v>
      </c>
      <c r="R66" s="39">
        <f t="shared" ca="1" si="28"/>
        <v>3520</v>
      </c>
      <c r="S66" s="39">
        <f t="shared" ca="1" si="28"/>
        <v>682</v>
      </c>
      <c r="T66" s="39">
        <f t="shared" ca="1" si="28"/>
        <v>3287</v>
      </c>
      <c r="U66" s="39">
        <f t="shared" ca="1" si="28"/>
        <v>1935</v>
      </c>
      <c r="V66" s="39">
        <f t="shared" ca="1" si="28"/>
        <v>3498</v>
      </c>
      <c r="W66" s="39">
        <f t="shared" ca="1" si="28"/>
        <v>4538</v>
      </c>
      <c r="X66" s="39">
        <f t="shared" ca="1" si="28"/>
        <v>5617</v>
      </c>
      <c r="Y66" s="39">
        <f t="shared" ca="1" si="28"/>
        <v>2040</v>
      </c>
      <c r="Z66" s="39">
        <f t="shared" ca="1" si="28"/>
        <v>6810</v>
      </c>
      <c r="AA66" s="39">
        <f t="shared" ca="1" si="28"/>
        <v>5319</v>
      </c>
      <c r="AB66" s="39">
        <f t="shared" ca="1" si="28"/>
        <v>5141</v>
      </c>
      <c r="AD66" s="34"/>
      <c r="AE66" s="34"/>
      <c r="AF66" s="34"/>
      <c r="AG66" s="34"/>
    </row>
    <row r="67" spans="2:33" x14ac:dyDescent="0.45">
      <c r="B67" s="85" t="s">
        <v>167</v>
      </c>
      <c r="D67" s="39">
        <f t="shared" ref="D67:AB67" ca="1" si="29">D66/0.7</f>
        <v>3712.8571428571431</v>
      </c>
      <c r="E67" s="39">
        <f t="shared" ca="1" si="29"/>
        <v>6692.8571428571431</v>
      </c>
      <c r="F67" s="39">
        <f t="shared" ca="1" si="29"/>
        <v>1961.4285714285716</v>
      </c>
      <c r="G67" s="39">
        <f t="shared" ca="1" si="29"/>
        <v>5772.8571428571431</v>
      </c>
      <c r="H67" s="39">
        <f t="shared" ca="1" si="29"/>
        <v>7381.4285714285716</v>
      </c>
      <c r="I67" s="39">
        <f t="shared" ca="1" si="29"/>
        <v>2412.8571428571431</v>
      </c>
      <c r="J67" s="39">
        <f t="shared" ca="1" si="29"/>
        <v>9337.1428571428569</v>
      </c>
      <c r="K67" s="39">
        <f t="shared" ca="1" si="29"/>
        <v>8547.1428571428569</v>
      </c>
      <c r="L67" s="39">
        <f t="shared" ca="1" si="29"/>
        <v>6324.2857142857147</v>
      </c>
      <c r="M67" s="39">
        <f t="shared" ca="1" si="29"/>
        <v>1034.2857142857144</v>
      </c>
      <c r="N67" s="39">
        <f t="shared" ca="1" si="29"/>
        <v>9650</v>
      </c>
      <c r="O67" s="39">
        <f t="shared" ca="1" si="29"/>
        <v>3221.4285714285716</v>
      </c>
      <c r="P67" s="39">
        <f t="shared" ca="1" si="29"/>
        <v>2927.1428571428573</v>
      </c>
      <c r="Q67" s="39">
        <f t="shared" ca="1" si="29"/>
        <v>7181.4285714285716</v>
      </c>
      <c r="R67" s="39">
        <f t="shared" ca="1" si="29"/>
        <v>5028.5714285714284</v>
      </c>
      <c r="S67" s="39">
        <f t="shared" ca="1" si="29"/>
        <v>974.28571428571433</v>
      </c>
      <c r="T67" s="39">
        <f t="shared" ca="1" si="29"/>
        <v>4695.7142857142862</v>
      </c>
      <c r="U67" s="39">
        <f t="shared" ca="1" si="29"/>
        <v>2764.2857142857147</v>
      </c>
      <c r="V67" s="39">
        <f t="shared" ca="1" si="29"/>
        <v>4997.1428571428578</v>
      </c>
      <c r="W67" s="39">
        <f t="shared" ca="1" si="29"/>
        <v>6482.8571428571431</v>
      </c>
      <c r="X67" s="39">
        <f t="shared" ca="1" si="29"/>
        <v>8024.2857142857147</v>
      </c>
      <c r="Y67" s="39">
        <f t="shared" ca="1" si="29"/>
        <v>2914.2857142857147</v>
      </c>
      <c r="Z67" s="39">
        <f t="shared" ca="1" si="29"/>
        <v>9728.5714285714294</v>
      </c>
      <c r="AA67" s="39">
        <f t="shared" ca="1" si="29"/>
        <v>7598.5714285714294</v>
      </c>
      <c r="AB67" s="39">
        <f t="shared" ca="1" si="29"/>
        <v>7344.2857142857147</v>
      </c>
      <c r="AD67" s="34"/>
      <c r="AE67" s="34"/>
      <c r="AF67" s="34"/>
      <c r="AG67" s="34"/>
    </row>
    <row r="68" spans="2:33" x14ac:dyDescent="0.45">
      <c r="B68" s="85" t="s">
        <v>39</v>
      </c>
      <c r="D68" s="39">
        <f ca="1">D67*0.3</f>
        <v>1113.8571428571429</v>
      </c>
      <c r="E68" s="39">
        <f t="shared" ref="E68:AB68" ca="1" si="30">E67*0.3</f>
        <v>2007.8571428571429</v>
      </c>
      <c r="F68" s="39">
        <f t="shared" ca="1" si="30"/>
        <v>588.42857142857144</v>
      </c>
      <c r="G68" s="39">
        <f t="shared" ca="1" si="30"/>
        <v>1731.8571428571429</v>
      </c>
      <c r="H68" s="39">
        <f t="shared" ca="1" si="30"/>
        <v>2214.4285714285716</v>
      </c>
      <c r="I68" s="39">
        <f t="shared" ca="1" si="30"/>
        <v>723.85714285714289</v>
      </c>
      <c r="J68" s="39">
        <f t="shared" ca="1" si="30"/>
        <v>2801.1428571428569</v>
      </c>
      <c r="K68" s="39">
        <f t="shared" ca="1" si="30"/>
        <v>2564.1428571428569</v>
      </c>
      <c r="L68" s="39">
        <f t="shared" ca="1" si="30"/>
        <v>1897.2857142857142</v>
      </c>
      <c r="M68" s="39">
        <f t="shared" ca="1" si="30"/>
        <v>310.28571428571433</v>
      </c>
      <c r="N68" s="39">
        <f t="shared" ca="1" si="30"/>
        <v>2895</v>
      </c>
      <c r="O68" s="39">
        <f t="shared" ca="1" si="30"/>
        <v>966.42857142857144</v>
      </c>
      <c r="P68" s="39">
        <f t="shared" ca="1" si="30"/>
        <v>878.14285714285722</v>
      </c>
      <c r="Q68" s="39">
        <f t="shared" ca="1" si="30"/>
        <v>2154.4285714285716</v>
      </c>
      <c r="R68" s="39">
        <f t="shared" ca="1" si="30"/>
        <v>1508.5714285714284</v>
      </c>
      <c r="S68" s="39">
        <f t="shared" ca="1" si="30"/>
        <v>292.28571428571428</v>
      </c>
      <c r="T68" s="39">
        <f t="shared" ca="1" si="30"/>
        <v>1408.7142857142858</v>
      </c>
      <c r="U68" s="39">
        <f t="shared" ca="1" si="30"/>
        <v>829.28571428571433</v>
      </c>
      <c r="V68" s="39">
        <f t="shared" ca="1" si="30"/>
        <v>1499.1428571428573</v>
      </c>
      <c r="W68" s="39">
        <f t="shared" ca="1" si="30"/>
        <v>1944.8571428571429</v>
      </c>
      <c r="X68" s="39">
        <f t="shared" ca="1" si="30"/>
        <v>2407.2857142857142</v>
      </c>
      <c r="Y68" s="39">
        <f t="shared" ca="1" si="30"/>
        <v>874.28571428571433</v>
      </c>
      <c r="Z68" s="39">
        <f t="shared" ca="1" si="30"/>
        <v>2918.5714285714289</v>
      </c>
      <c r="AA68" s="39">
        <f t="shared" ca="1" si="30"/>
        <v>2279.5714285714289</v>
      </c>
      <c r="AB68" s="39">
        <f t="shared" ca="1" si="30"/>
        <v>2203.2857142857142</v>
      </c>
      <c r="AD68" s="34"/>
      <c r="AE68" s="34"/>
      <c r="AF68" s="34"/>
      <c r="AG68" s="34"/>
    </row>
    <row r="69" spans="2:33" x14ac:dyDescent="0.45">
      <c r="B69" s="85" t="s">
        <v>169</v>
      </c>
      <c r="D69" s="39">
        <f t="shared" ref="D69:AB69" ca="1" si="31">(D68*$I$6)*(1+$I$7)^D21</f>
        <v>2340.4366285714286</v>
      </c>
      <c r="E69" s="39">
        <f t="shared" ca="1" si="31"/>
        <v>4303.287617142857</v>
      </c>
      <c r="F69" s="39">
        <f t="shared" ca="1" si="31"/>
        <v>1286.3569213028572</v>
      </c>
      <c r="G69" s="39">
        <f t="shared" ca="1" si="31"/>
        <v>3861.7128079858285</v>
      </c>
      <c r="H69" s="39">
        <f t="shared" ca="1" si="31"/>
        <v>5036.5106360900854</v>
      </c>
      <c r="I69" s="39">
        <f t="shared" ca="1" si="31"/>
        <v>1679.2722650751455</v>
      </c>
      <c r="J69" s="39">
        <f t="shared" ca="1" si="31"/>
        <v>6628.3232652585975</v>
      </c>
      <c r="K69" s="39">
        <f t="shared" ca="1" si="31"/>
        <v>6188.8621875708432</v>
      </c>
      <c r="L69" s="39">
        <f t="shared" ca="1" si="31"/>
        <v>4670.9100388540282</v>
      </c>
      <c r="M69" s="39">
        <f t="shared" ca="1" si="31"/>
        <v>779.16730189584894</v>
      </c>
      <c r="N69" s="39">
        <f t="shared" ca="1" si="31"/>
        <v>7415.1113629731863</v>
      </c>
      <c r="O69" s="39">
        <f t="shared" ca="1" si="31"/>
        <v>2524.870117834882</v>
      </c>
      <c r="P69" s="39">
        <f t="shared" ca="1" si="31"/>
        <v>2340.10113032042</v>
      </c>
      <c r="Q69" s="39">
        <f t="shared" ca="1" si="31"/>
        <v>5856.0088578639179</v>
      </c>
      <c r="R69" s="39">
        <f t="shared" ca="1" si="31"/>
        <v>4182.4973549382539</v>
      </c>
      <c r="S69" s="39">
        <f t="shared" ca="1" si="31"/>
        <v>826.56603976967256</v>
      </c>
      <c r="T69" s="39">
        <f t="shared" ca="1" si="31"/>
        <v>4063.432586770341</v>
      </c>
      <c r="U69" s="39">
        <f t="shared" ca="1" si="31"/>
        <v>2439.9138717701921</v>
      </c>
      <c r="V69" s="39">
        <f t="shared" ca="1" si="31"/>
        <v>4498.9742108119763</v>
      </c>
      <c r="W69" s="39">
        <f t="shared" ca="1" si="31"/>
        <v>5953.3081383756562</v>
      </c>
      <c r="X69" s="39">
        <f t="shared" ca="1" si="31"/>
        <v>7516.2023908155961</v>
      </c>
      <c r="Y69" s="39">
        <f t="shared" ca="1" si="31"/>
        <v>2784.3535579150957</v>
      </c>
      <c r="Z69" s="39">
        <f t="shared" ca="1" si="31"/>
        <v>9480.7238647009017</v>
      </c>
      <c r="AA69" s="39">
        <f t="shared" ca="1" si="31"/>
        <v>7553.0880530207014</v>
      </c>
      <c r="AB69" s="39">
        <f t="shared" ca="1" si="31"/>
        <v>7446.330925773832</v>
      </c>
      <c r="AD69" s="34"/>
      <c r="AE69" s="34"/>
      <c r="AF69" s="34"/>
      <c r="AG69" s="34"/>
    </row>
    <row r="70" spans="2:33" x14ac:dyDescent="0.45">
      <c r="B70" s="73"/>
      <c r="AD70" s="34"/>
      <c r="AE70" s="34"/>
      <c r="AF70" s="34"/>
      <c r="AG70" s="34"/>
    </row>
    <row r="71" spans="2:33" x14ac:dyDescent="0.45">
      <c r="B71" s="77" t="s">
        <v>143</v>
      </c>
      <c r="AD71" s="34"/>
      <c r="AE71" s="34"/>
      <c r="AF71" s="34"/>
      <c r="AG71" s="34"/>
    </row>
    <row r="72" spans="2:33" x14ac:dyDescent="0.45">
      <c r="B72" s="75" t="s">
        <v>166</v>
      </c>
      <c r="D72" s="39">
        <f t="shared" ref="D72:AB72" ca="1" si="32">RANDBETWEEN($D12,$C12)</f>
        <v>1551</v>
      </c>
      <c r="E72" s="39">
        <f t="shared" ca="1" si="32"/>
        <v>2174</v>
      </c>
      <c r="F72" s="39">
        <f t="shared" ca="1" si="32"/>
        <v>1797</v>
      </c>
      <c r="G72" s="39">
        <f t="shared" ca="1" si="32"/>
        <v>2761</v>
      </c>
      <c r="H72" s="39">
        <f t="shared" ca="1" si="32"/>
        <v>2454</v>
      </c>
      <c r="I72" s="39">
        <f t="shared" ca="1" si="32"/>
        <v>1857</v>
      </c>
      <c r="J72" s="39">
        <f t="shared" ca="1" si="32"/>
        <v>2637</v>
      </c>
      <c r="K72" s="39">
        <f t="shared" ca="1" si="32"/>
        <v>3381</v>
      </c>
      <c r="L72" s="39">
        <f t="shared" ca="1" si="32"/>
        <v>1287</v>
      </c>
      <c r="M72" s="39">
        <f t="shared" ca="1" si="32"/>
        <v>1245</v>
      </c>
      <c r="N72" s="39">
        <f t="shared" ca="1" si="32"/>
        <v>2236</v>
      </c>
      <c r="O72" s="39">
        <f t="shared" ca="1" si="32"/>
        <v>1168</v>
      </c>
      <c r="P72" s="39">
        <f t="shared" ca="1" si="32"/>
        <v>1060</v>
      </c>
      <c r="Q72" s="39">
        <f t="shared" ca="1" si="32"/>
        <v>3251</v>
      </c>
      <c r="R72" s="39">
        <f t="shared" ca="1" si="32"/>
        <v>3385</v>
      </c>
      <c r="S72" s="39">
        <f t="shared" ca="1" si="32"/>
        <v>2385</v>
      </c>
      <c r="T72" s="39">
        <f t="shared" ca="1" si="32"/>
        <v>1954</v>
      </c>
      <c r="U72" s="39">
        <f t="shared" ca="1" si="32"/>
        <v>2520</v>
      </c>
      <c r="V72" s="39">
        <f t="shared" ca="1" si="32"/>
        <v>1659</v>
      </c>
      <c r="W72" s="39">
        <f t="shared" ca="1" si="32"/>
        <v>1598</v>
      </c>
      <c r="X72" s="39">
        <f t="shared" ca="1" si="32"/>
        <v>2840</v>
      </c>
      <c r="Y72" s="39">
        <f t="shared" ca="1" si="32"/>
        <v>2198</v>
      </c>
      <c r="Z72" s="39">
        <f t="shared" ca="1" si="32"/>
        <v>1128</v>
      </c>
      <c r="AA72" s="39">
        <f t="shared" ca="1" si="32"/>
        <v>2841</v>
      </c>
      <c r="AB72" s="39">
        <f t="shared" ca="1" si="32"/>
        <v>1946</v>
      </c>
      <c r="AD72" s="34"/>
      <c r="AE72" s="34"/>
      <c r="AF72" s="34"/>
      <c r="AG72" s="34"/>
    </row>
    <row r="73" spans="2:33" x14ac:dyDescent="0.45">
      <c r="B73" s="85" t="s">
        <v>167</v>
      </c>
      <c r="D73" s="39">
        <f t="shared" ref="D73:AB73" ca="1" si="33">D72/0.7</f>
        <v>2215.7142857142858</v>
      </c>
      <c r="E73" s="39">
        <f t="shared" ca="1" si="33"/>
        <v>3105.7142857142858</v>
      </c>
      <c r="F73" s="39">
        <f t="shared" ca="1" si="33"/>
        <v>2567.1428571428573</v>
      </c>
      <c r="G73" s="39">
        <f t="shared" ca="1" si="33"/>
        <v>3944.2857142857147</v>
      </c>
      <c r="H73" s="39">
        <f t="shared" ca="1" si="33"/>
        <v>3505.7142857142858</v>
      </c>
      <c r="I73" s="39">
        <f t="shared" ca="1" si="33"/>
        <v>2652.8571428571431</v>
      </c>
      <c r="J73" s="39">
        <f t="shared" ca="1" si="33"/>
        <v>3767.1428571428573</v>
      </c>
      <c r="K73" s="39">
        <f t="shared" ca="1" si="33"/>
        <v>4830</v>
      </c>
      <c r="L73" s="39">
        <f t="shared" ca="1" si="33"/>
        <v>1838.5714285714287</v>
      </c>
      <c r="M73" s="39">
        <f t="shared" ca="1" si="33"/>
        <v>1778.5714285714287</v>
      </c>
      <c r="N73" s="39">
        <f t="shared" ca="1" si="33"/>
        <v>3194.2857142857147</v>
      </c>
      <c r="O73" s="39">
        <f t="shared" ca="1" si="33"/>
        <v>1668.5714285714287</v>
      </c>
      <c r="P73" s="39">
        <f t="shared" ca="1" si="33"/>
        <v>1514.2857142857144</v>
      </c>
      <c r="Q73" s="39">
        <f t="shared" ca="1" si="33"/>
        <v>4644.2857142857147</v>
      </c>
      <c r="R73" s="39">
        <f t="shared" ca="1" si="33"/>
        <v>4835.7142857142862</v>
      </c>
      <c r="S73" s="39">
        <f t="shared" ca="1" si="33"/>
        <v>3407.1428571428573</v>
      </c>
      <c r="T73" s="39">
        <f t="shared" ca="1" si="33"/>
        <v>2791.4285714285716</v>
      </c>
      <c r="U73" s="39">
        <f t="shared" ca="1" si="33"/>
        <v>3600.0000000000005</v>
      </c>
      <c r="V73" s="39">
        <f t="shared" ca="1" si="33"/>
        <v>2370</v>
      </c>
      <c r="W73" s="39">
        <f t="shared" ca="1" si="33"/>
        <v>2282.8571428571431</v>
      </c>
      <c r="X73" s="39">
        <f t="shared" ca="1" si="33"/>
        <v>4057.1428571428573</v>
      </c>
      <c r="Y73" s="39">
        <f t="shared" ca="1" si="33"/>
        <v>3140</v>
      </c>
      <c r="Z73" s="39">
        <f t="shared" ca="1" si="33"/>
        <v>1611.4285714285716</v>
      </c>
      <c r="AA73" s="39">
        <f t="shared" ca="1" si="33"/>
        <v>4058.5714285714289</v>
      </c>
      <c r="AB73" s="39">
        <f t="shared" ca="1" si="33"/>
        <v>2780</v>
      </c>
      <c r="AD73" s="34"/>
      <c r="AE73" s="34"/>
      <c r="AF73" s="34"/>
      <c r="AG73" s="34"/>
    </row>
    <row r="74" spans="2:33" x14ac:dyDescent="0.45">
      <c r="B74" s="85" t="s">
        <v>170</v>
      </c>
      <c r="D74" s="39">
        <f ca="1">D73*0.3</f>
        <v>664.71428571428567</v>
      </c>
      <c r="E74" s="39">
        <f t="shared" ref="E74:AB74" ca="1" si="34">E73*0.3</f>
        <v>931.71428571428567</v>
      </c>
      <c r="F74" s="39">
        <f t="shared" ca="1" si="34"/>
        <v>770.14285714285722</v>
      </c>
      <c r="G74" s="39">
        <f t="shared" ca="1" si="34"/>
        <v>1183.2857142857144</v>
      </c>
      <c r="H74" s="39">
        <f t="shared" ca="1" si="34"/>
        <v>1051.7142857142858</v>
      </c>
      <c r="I74" s="39">
        <f t="shared" ca="1" si="34"/>
        <v>795.85714285714289</v>
      </c>
      <c r="J74" s="39">
        <f t="shared" ca="1" si="34"/>
        <v>1130.1428571428571</v>
      </c>
      <c r="K74" s="39">
        <f t="shared" ca="1" si="34"/>
        <v>1449</v>
      </c>
      <c r="L74" s="39">
        <f t="shared" ca="1" si="34"/>
        <v>551.57142857142856</v>
      </c>
      <c r="M74" s="39">
        <f t="shared" ca="1" si="34"/>
        <v>533.57142857142856</v>
      </c>
      <c r="N74" s="39">
        <f t="shared" ca="1" si="34"/>
        <v>958.28571428571433</v>
      </c>
      <c r="O74" s="39">
        <f t="shared" ca="1" si="34"/>
        <v>500.57142857142856</v>
      </c>
      <c r="P74" s="39">
        <f t="shared" ca="1" si="34"/>
        <v>454.28571428571433</v>
      </c>
      <c r="Q74" s="39">
        <f t="shared" ca="1" si="34"/>
        <v>1393.2857142857144</v>
      </c>
      <c r="R74" s="39">
        <f t="shared" ca="1" si="34"/>
        <v>1450.7142857142858</v>
      </c>
      <c r="S74" s="39">
        <f t="shared" ca="1" si="34"/>
        <v>1022.1428571428571</v>
      </c>
      <c r="T74" s="39">
        <f t="shared" ca="1" si="34"/>
        <v>837.42857142857144</v>
      </c>
      <c r="U74" s="39">
        <f t="shared" ca="1" si="34"/>
        <v>1080</v>
      </c>
      <c r="V74" s="39">
        <f t="shared" ca="1" si="34"/>
        <v>711</v>
      </c>
      <c r="W74" s="39">
        <f t="shared" ca="1" si="34"/>
        <v>684.85714285714289</v>
      </c>
      <c r="X74" s="39">
        <f t="shared" ca="1" si="34"/>
        <v>1217.1428571428571</v>
      </c>
      <c r="Y74" s="39">
        <f t="shared" ca="1" si="34"/>
        <v>942</v>
      </c>
      <c r="Z74" s="39">
        <f t="shared" ca="1" si="34"/>
        <v>483.42857142857144</v>
      </c>
      <c r="AA74" s="39">
        <f t="shared" ca="1" si="34"/>
        <v>1217.5714285714287</v>
      </c>
      <c r="AB74" s="39">
        <f t="shared" ca="1" si="34"/>
        <v>834</v>
      </c>
      <c r="AD74" s="34"/>
      <c r="AE74" s="34"/>
      <c r="AF74" s="34"/>
      <c r="AG74" s="34"/>
    </row>
    <row r="75" spans="2:33" x14ac:dyDescent="0.45">
      <c r="B75" s="85" t="s">
        <v>168</v>
      </c>
      <c r="D75" s="39">
        <f t="shared" ref="D75:AB75" ca="1" si="35">(D74*$I$6)*(1+$I$7)^D21</f>
        <v>1396.697657142857</v>
      </c>
      <c r="E75" s="39">
        <f t="shared" ca="1" si="35"/>
        <v>1996.872418285714</v>
      </c>
      <c r="F75" s="39">
        <f t="shared" ca="1" si="35"/>
        <v>1683.6004279542858</v>
      </c>
      <c r="G75" s="39">
        <f t="shared" ca="1" si="35"/>
        <v>2638.5026139195434</v>
      </c>
      <c r="H75" s="39">
        <f t="shared" ca="1" si="35"/>
        <v>2392.0257598151866</v>
      </c>
      <c r="I75" s="39">
        <f t="shared" ca="1" si="35"/>
        <v>1846.3046751003819</v>
      </c>
      <c r="J75" s="39">
        <f t="shared" ca="1" si="35"/>
        <v>2674.2485389361877</v>
      </c>
      <c r="K75" s="39">
        <f t="shared" ca="1" si="35"/>
        <v>3497.3329527289025</v>
      </c>
      <c r="L75" s="39">
        <f t="shared" ca="1" si="35"/>
        <v>1357.9085656212183</v>
      </c>
      <c r="M75" s="39">
        <f t="shared" ca="1" si="35"/>
        <v>1339.8664238402373</v>
      </c>
      <c r="N75" s="39">
        <f t="shared" ca="1" si="35"/>
        <v>2454.5061447236189</v>
      </c>
      <c r="O75" s="39">
        <f t="shared" ca="1" si="35"/>
        <v>1307.781950169021</v>
      </c>
      <c r="P75" s="39">
        <f t="shared" ca="1" si="35"/>
        <v>1210.5940449681041</v>
      </c>
      <c r="Q75" s="39">
        <f t="shared" ca="1" si="35"/>
        <v>3787.1264764105026</v>
      </c>
      <c r="R75" s="39">
        <f t="shared" ca="1" si="35"/>
        <v>4022.0890757005659</v>
      </c>
      <c r="S75" s="39">
        <f t="shared" ca="1" si="35"/>
        <v>2890.5571918631513</v>
      </c>
      <c r="T75" s="39">
        <f t="shared" ca="1" si="35"/>
        <v>2415.5604729386205</v>
      </c>
      <c r="U75" s="39">
        <f t="shared" ca="1" si="35"/>
        <v>3177.5622516076919</v>
      </c>
      <c r="V75" s="39">
        <f t="shared" ca="1" si="35"/>
        <v>2133.7330519545649</v>
      </c>
      <c r="W75" s="39">
        <f t="shared" ca="1" si="35"/>
        <v>2096.3830773742393</v>
      </c>
      <c r="X75" s="39">
        <f t="shared" ca="1" si="35"/>
        <v>3800.2518764315992</v>
      </c>
      <c r="Y75" s="39">
        <f t="shared" ca="1" si="35"/>
        <v>3000.0044707340103</v>
      </c>
      <c r="Z75" s="39">
        <f t="shared" ca="1" si="35"/>
        <v>1570.3754066641138</v>
      </c>
      <c r="AA75" s="39">
        <f t="shared" ca="1" si="35"/>
        <v>4034.2777135987617</v>
      </c>
      <c r="AB75" s="39">
        <f t="shared" ca="1" si="35"/>
        <v>2818.6267227301837</v>
      </c>
      <c r="AD75" s="34"/>
      <c r="AE75" s="34"/>
      <c r="AF75" s="34"/>
      <c r="AG75" s="34"/>
    </row>
    <row r="76" spans="2:33" x14ac:dyDescent="0.45">
      <c r="B76" s="73"/>
      <c r="AD76" s="34"/>
      <c r="AE76" s="34"/>
      <c r="AF76" s="34"/>
      <c r="AG76" s="34"/>
    </row>
    <row r="77" spans="2:33" x14ac:dyDescent="0.45">
      <c r="B77" s="77" t="s">
        <v>144</v>
      </c>
      <c r="AD77" s="34"/>
      <c r="AE77" s="34"/>
      <c r="AF77" s="34"/>
      <c r="AG77" s="34"/>
    </row>
    <row r="78" spans="2:33" x14ac:dyDescent="0.45">
      <c r="B78" s="75" t="s">
        <v>166</v>
      </c>
      <c r="D78" s="39">
        <f t="shared" ref="D78:AB78" ca="1" si="36">RANDBETWEEN($D13,$C13)</f>
        <v>103450</v>
      </c>
      <c r="E78" s="39">
        <f t="shared" ca="1" si="36"/>
        <v>124764</v>
      </c>
      <c r="F78" s="39">
        <f t="shared" ca="1" si="36"/>
        <v>114657</v>
      </c>
      <c r="G78" s="39">
        <f t="shared" ca="1" si="36"/>
        <v>76176</v>
      </c>
      <c r="H78" s="39">
        <f t="shared" ca="1" si="36"/>
        <v>136834</v>
      </c>
      <c r="I78" s="39">
        <f t="shared" ca="1" si="36"/>
        <v>92291</v>
      </c>
      <c r="J78" s="39">
        <f t="shared" ca="1" si="36"/>
        <v>103032</v>
      </c>
      <c r="K78" s="39">
        <f t="shared" ca="1" si="36"/>
        <v>122061</v>
      </c>
      <c r="L78" s="39">
        <f t="shared" ca="1" si="36"/>
        <v>159382</v>
      </c>
      <c r="M78" s="39">
        <f t="shared" ca="1" si="36"/>
        <v>154942</v>
      </c>
      <c r="N78" s="39">
        <f t="shared" ca="1" si="36"/>
        <v>87883</v>
      </c>
      <c r="O78" s="39">
        <f t="shared" ca="1" si="36"/>
        <v>101826</v>
      </c>
      <c r="P78" s="39">
        <f t="shared" ca="1" si="36"/>
        <v>85872</v>
      </c>
      <c r="Q78" s="39">
        <f t="shared" ca="1" si="36"/>
        <v>73047</v>
      </c>
      <c r="R78" s="39">
        <f t="shared" ca="1" si="36"/>
        <v>157850</v>
      </c>
      <c r="S78" s="39">
        <f t="shared" ca="1" si="36"/>
        <v>147837</v>
      </c>
      <c r="T78" s="39">
        <f t="shared" ca="1" si="36"/>
        <v>138264</v>
      </c>
      <c r="U78" s="39">
        <f t="shared" ca="1" si="36"/>
        <v>147244</v>
      </c>
      <c r="V78" s="39">
        <f t="shared" ca="1" si="36"/>
        <v>91977</v>
      </c>
      <c r="W78" s="39">
        <f t="shared" ca="1" si="36"/>
        <v>132643</v>
      </c>
      <c r="X78" s="39">
        <f t="shared" ca="1" si="36"/>
        <v>104368</v>
      </c>
      <c r="Y78" s="39">
        <f t="shared" ca="1" si="36"/>
        <v>101386</v>
      </c>
      <c r="Z78" s="39">
        <f t="shared" ca="1" si="36"/>
        <v>148155</v>
      </c>
      <c r="AA78" s="39">
        <f t="shared" ca="1" si="36"/>
        <v>91227</v>
      </c>
      <c r="AB78" s="39">
        <f t="shared" ca="1" si="36"/>
        <v>81343</v>
      </c>
      <c r="AD78" s="34"/>
      <c r="AE78" s="34"/>
      <c r="AF78" s="34"/>
      <c r="AG78" s="34"/>
    </row>
    <row r="79" spans="2:33" x14ac:dyDescent="0.45">
      <c r="B79" s="85" t="s">
        <v>167</v>
      </c>
      <c r="D79" s="39">
        <f t="shared" ref="D79:AB79" ca="1" si="37">D78/0.7</f>
        <v>147785.71428571429</v>
      </c>
      <c r="E79" s="39">
        <f t="shared" ca="1" si="37"/>
        <v>178234.28571428574</v>
      </c>
      <c r="F79" s="39">
        <f t="shared" ca="1" si="37"/>
        <v>163795.71428571429</v>
      </c>
      <c r="G79" s="39">
        <f t="shared" ca="1" si="37"/>
        <v>108822.85714285714</v>
      </c>
      <c r="H79" s="39">
        <f t="shared" ca="1" si="37"/>
        <v>195477.14285714287</v>
      </c>
      <c r="I79" s="39">
        <f t="shared" ca="1" si="37"/>
        <v>131844.28571428571</v>
      </c>
      <c r="J79" s="39">
        <f t="shared" ca="1" si="37"/>
        <v>147188.57142857145</v>
      </c>
      <c r="K79" s="39">
        <f t="shared" ca="1" si="37"/>
        <v>174372.85714285716</v>
      </c>
      <c r="L79" s="39">
        <f t="shared" ca="1" si="37"/>
        <v>227688.57142857145</v>
      </c>
      <c r="M79" s="39">
        <f t="shared" ca="1" si="37"/>
        <v>221345.71428571429</v>
      </c>
      <c r="N79" s="39">
        <f t="shared" ca="1" si="37"/>
        <v>125547.14285714287</v>
      </c>
      <c r="O79" s="39">
        <f t="shared" ca="1" si="37"/>
        <v>145465.71428571429</v>
      </c>
      <c r="P79" s="39">
        <f t="shared" ca="1" si="37"/>
        <v>122674.28571428572</v>
      </c>
      <c r="Q79" s="39">
        <f t="shared" ca="1" si="37"/>
        <v>104352.85714285714</v>
      </c>
      <c r="R79" s="39">
        <f t="shared" ca="1" si="37"/>
        <v>225500</v>
      </c>
      <c r="S79" s="39">
        <f t="shared" ca="1" si="37"/>
        <v>211195.71428571429</v>
      </c>
      <c r="T79" s="39">
        <f t="shared" ca="1" si="37"/>
        <v>197520</v>
      </c>
      <c r="U79" s="39">
        <f t="shared" ca="1" si="37"/>
        <v>210348.57142857145</v>
      </c>
      <c r="V79" s="39">
        <f t="shared" ca="1" si="37"/>
        <v>131395.71428571429</v>
      </c>
      <c r="W79" s="39">
        <f t="shared" ca="1" si="37"/>
        <v>189490</v>
      </c>
      <c r="X79" s="39">
        <f t="shared" ca="1" si="37"/>
        <v>149097.14285714287</v>
      </c>
      <c r="Y79" s="39">
        <f t="shared" ca="1" si="37"/>
        <v>144837.14285714287</v>
      </c>
      <c r="Z79" s="39">
        <f t="shared" ca="1" si="37"/>
        <v>211650</v>
      </c>
      <c r="AA79" s="39">
        <f t="shared" ca="1" si="37"/>
        <v>130324.28571428572</v>
      </c>
      <c r="AB79" s="39">
        <f t="shared" ca="1" si="37"/>
        <v>116204.28571428572</v>
      </c>
      <c r="AD79" s="34"/>
      <c r="AE79" s="34"/>
      <c r="AF79" s="34"/>
      <c r="AG79" s="34"/>
    </row>
    <row r="80" spans="2:33" x14ac:dyDescent="0.45">
      <c r="B80" s="85" t="s">
        <v>39</v>
      </c>
      <c r="D80" s="39">
        <f ca="1">D79*0.3</f>
        <v>44335.714285714283</v>
      </c>
      <c r="E80" s="39">
        <f t="shared" ref="E80:AB80" ca="1" si="38">E79*0.3</f>
        <v>53470.285714285717</v>
      </c>
      <c r="F80" s="39">
        <f t="shared" ca="1" si="38"/>
        <v>49138.714285714283</v>
      </c>
      <c r="G80" s="39">
        <f t="shared" ca="1" si="38"/>
        <v>32646.857142857141</v>
      </c>
      <c r="H80" s="39">
        <f t="shared" ca="1" si="38"/>
        <v>58643.142857142862</v>
      </c>
      <c r="I80" s="39">
        <f t="shared" ca="1" si="38"/>
        <v>39553.28571428571</v>
      </c>
      <c r="J80" s="39">
        <f t="shared" ca="1" si="38"/>
        <v>44156.571428571435</v>
      </c>
      <c r="K80" s="39">
        <f t="shared" ca="1" si="38"/>
        <v>52311.857142857145</v>
      </c>
      <c r="L80" s="39">
        <f t="shared" ca="1" si="38"/>
        <v>68306.571428571435</v>
      </c>
      <c r="M80" s="39">
        <f t="shared" ca="1" si="38"/>
        <v>66403.71428571429</v>
      </c>
      <c r="N80" s="39">
        <f t="shared" ca="1" si="38"/>
        <v>37664.142857142862</v>
      </c>
      <c r="O80" s="39">
        <f t="shared" ca="1" si="38"/>
        <v>43639.714285714283</v>
      </c>
      <c r="P80" s="39">
        <f t="shared" ca="1" si="38"/>
        <v>36802.285714285717</v>
      </c>
      <c r="Q80" s="39">
        <f t="shared" ca="1" si="38"/>
        <v>31305.857142857141</v>
      </c>
      <c r="R80" s="39">
        <f t="shared" ca="1" si="38"/>
        <v>67650</v>
      </c>
      <c r="S80" s="39">
        <f t="shared" ca="1" si="38"/>
        <v>63358.714285714283</v>
      </c>
      <c r="T80" s="39">
        <f t="shared" ca="1" si="38"/>
        <v>59256</v>
      </c>
      <c r="U80" s="39">
        <f t="shared" ca="1" si="38"/>
        <v>63104.571428571435</v>
      </c>
      <c r="V80" s="39">
        <f t="shared" ca="1" si="38"/>
        <v>39418.714285714283</v>
      </c>
      <c r="W80" s="39">
        <f t="shared" ca="1" si="38"/>
        <v>56847</v>
      </c>
      <c r="X80" s="39">
        <f t="shared" ca="1" si="38"/>
        <v>44729.142857142862</v>
      </c>
      <c r="Y80" s="39">
        <f t="shared" ca="1" si="38"/>
        <v>43451.142857142862</v>
      </c>
      <c r="Z80" s="39">
        <f t="shared" ca="1" si="38"/>
        <v>63495</v>
      </c>
      <c r="AA80" s="39">
        <f t="shared" ca="1" si="38"/>
        <v>39097.285714285717</v>
      </c>
      <c r="AB80" s="39">
        <f t="shared" ca="1" si="38"/>
        <v>34861.285714285717</v>
      </c>
      <c r="AD80" s="34"/>
      <c r="AE80" s="34"/>
      <c r="AF80" s="34"/>
      <c r="AG80" s="34"/>
    </row>
    <row r="81" spans="2:33" x14ac:dyDescent="0.45">
      <c r="B81" s="85" t="s">
        <v>168</v>
      </c>
      <c r="D81" s="39">
        <f ca="1">(D80*$I$6)*(1+I7)^D21</f>
        <v>93158.202857142853</v>
      </c>
      <c r="E81" s="39">
        <f t="shared" ref="E81:AB81" ca="1" si="39">(E80*$I$6)*(1+D107)^E21</f>
        <v>110148.78857142858</v>
      </c>
      <c r="F81" s="39">
        <f t="shared" ca="1" si="39"/>
        <v>101225.75142857143</v>
      </c>
      <c r="G81" s="39">
        <f t="shared" ca="1" si="39"/>
        <v>67252.525714285715</v>
      </c>
      <c r="H81" s="39">
        <f t="shared" ca="1" si="39"/>
        <v>120804.87428571429</v>
      </c>
      <c r="I81" s="39">
        <f t="shared" ca="1" si="39"/>
        <v>81479.768571428562</v>
      </c>
      <c r="J81" s="39">
        <f t="shared" ca="1" si="39"/>
        <v>90962.537142857153</v>
      </c>
      <c r="K81" s="39">
        <f t="shared" ca="1" si="39"/>
        <v>107762.42571428572</v>
      </c>
      <c r="L81" s="39">
        <f t="shared" ca="1" si="39"/>
        <v>140711.53714285715</v>
      </c>
      <c r="M81" s="39">
        <f t="shared" ca="1" si="39"/>
        <v>136791.65142857144</v>
      </c>
      <c r="N81" s="39">
        <f t="shared" ca="1" si="39"/>
        <v>77588.134285714303</v>
      </c>
      <c r="O81" s="39">
        <f t="shared" ca="1" si="39"/>
        <v>89897.811428571425</v>
      </c>
      <c r="P81" s="39">
        <f t="shared" ca="1" si="39"/>
        <v>75812.708571428579</v>
      </c>
      <c r="Q81" s="39">
        <f t="shared" ca="1" si="39"/>
        <v>64490.065714285716</v>
      </c>
      <c r="R81" s="39">
        <f t="shared" ca="1" si="39"/>
        <v>139359</v>
      </c>
      <c r="S81" s="39">
        <f t="shared" ca="1" si="39"/>
        <v>130518.95142857142</v>
      </c>
      <c r="T81" s="39">
        <f t="shared" ca="1" si="39"/>
        <v>122067.36</v>
      </c>
      <c r="U81" s="39">
        <f t="shared" ca="1" si="39"/>
        <v>129995.41714285716</v>
      </c>
      <c r="V81" s="39">
        <f t="shared" ca="1" si="39"/>
        <v>81202.551428571431</v>
      </c>
      <c r="W81" s="39">
        <f t="shared" ca="1" si="39"/>
        <v>117104.82</v>
      </c>
      <c r="X81" s="39">
        <f t="shared" ca="1" si="39"/>
        <v>92142.034285714297</v>
      </c>
      <c r="Y81" s="39">
        <f t="shared" ca="1" si="39"/>
        <v>89509.354285714304</v>
      </c>
      <c r="Z81" s="39">
        <f t="shared" ca="1" si="39"/>
        <v>130799.7</v>
      </c>
      <c r="AA81" s="39">
        <f t="shared" ca="1" si="39"/>
        <v>80540.408571428576</v>
      </c>
      <c r="AB81" s="39">
        <f t="shared" ca="1" si="39"/>
        <v>71814.248571428587</v>
      </c>
      <c r="AD81" s="34"/>
      <c r="AE81" s="34"/>
      <c r="AF81" s="34"/>
      <c r="AG81" s="34"/>
    </row>
    <row r="82" spans="2:33" x14ac:dyDescent="0.45">
      <c r="B82" s="85"/>
      <c r="AD82" s="34"/>
      <c r="AE82" s="34"/>
      <c r="AF82" s="34"/>
      <c r="AG82" s="34"/>
    </row>
    <row r="83" spans="2:33" x14ac:dyDescent="0.45">
      <c r="B83" s="77" t="s">
        <v>145</v>
      </c>
      <c r="AD83" s="34"/>
      <c r="AE83" s="34"/>
      <c r="AF83" s="34"/>
      <c r="AG83" s="34"/>
    </row>
    <row r="84" spans="2:33" x14ac:dyDescent="0.45">
      <c r="B84" s="75" t="s">
        <v>166</v>
      </c>
      <c r="D84" s="39">
        <f t="shared" ref="D84:AB84" ca="1" si="40">RANDBETWEEN($D14,$C14)</f>
        <v>278</v>
      </c>
      <c r="E84" s="39">
        <f t="shared" ca="1" si="40"/>
        <v>1726</v>
      </c>
      <c r="F84" s="39">
        <f t="shared" ca="1" si="40"/>
        <v>572</v>
      </c>
      <c r="G84" s="39">
        <f t="shared" ca="1" si="40"/>
        <v>2126</v>
      </c>
      <c r="H84" s="39">
        <f t="shared" ca="1" si="40"/>
        <v>898</v>
      </c>
      <c r="I84" s="39">
        <f t="shared" ca="1" si="40"/>
        <v>1658</v>
      </c>
      <c r="J84" s="39">
        <f t="shared" ca="1" si="40"/>
        <v>1689</v>
      </c>
      <c r="K84" s="39">
        <f t="shared" ca="1" si="40"/>
        <v>506</v>
      </c>
      <c r="L84" s="39">
        <f t="shared" ca="1" si="40"/>
        <v>701</v>
      </c>
      <c r="M84" s="39">
        <f t="shared" ca="1" si="40"/>
        <v>521</v>
      </c>
      <c r="N84" s="39">
        <f t="shared" ca="1" si="40"/>
        <v>1795</v>
      </c>
      <c r="O84" s="39">
        <f t="shared" ca="1" si="40"/>
        <v>1516</v>
      </c>
      <c r="P84" s="39">
        <f t="shared" ca="1" si="40"/>
        <v>486</v>
      </c>
      <c r="Q84" s="39">
        <f t="shared" ca="1" si="40"/>
        <v>2025</v>
      </c>
      <c r="R84" s="39">
        <f t="shared" ca="1" si="40"/>
        <v>730</v>
      </c>
      <c r="S84" s="39">
        <f t="shared" ca="1" si="40"/>
        <v>1325</v>
      </c>
      <c r="T84" s="39">
        <f t="shared" ca="1" si="40"/>
        <v>1522</v>
      </c>
      <c r="U84" s="39">
        <f t="shared" ca="1" si="40"/>
        <v>1581</v>
      </c>
      <c r="V84" s="39">
        <f t="shared" ca="1" si="40"/>
        <v>1995</v>
      </c>
      <c r="W84" s="39">
        <f t="shared" ca="1" si="40"/>
        <v>2127</v>
      </c>
      <c r="X84" s="39">
        <f t="shared" ca="1" si="40"/>
        <v>1651</v>
      </c>
      <c r="Y84" s="39">
        <f t="shared" ca="1" si="40"/>
        <v>195</v>
      </c>
      <c r="Z84" s="39">
        <f t="shared" ca="1" si="40"/>
        <v>323</v>
      </c>
      <c r="AA84" s="39">
        <f t="shared" ca="1" si="40"/>
        <v>898</v>
      </c>
      <c r="AB84" s="39">
        <f t="shared" ca="1" si="40"/>
        <v>2089</v>
      </c>
      <c r="AD84" s="34"/>
      <c r="AE84" s="34"/>
      <c r="AF84" s="34"/>
      <c r="AG84" s="34"/>
    </row>
    <row r="85" spans="2:33" x14ac:dyDescent="0.45">
      <c r="B85" s="85" t="s">
        <v>167</v>
      </c>
      <c r="D85" s="39">
        <f ca="1">D84/0.7</f>
        <v>397.14285714285717</v>
      </c>
      <c r="E85" s="39">
        <f t="shared" ref="E85:AB85" ca="1" si="41">E84/0.7</f>
        <v>2465.7142857142858</v>
      </c>
      <c r="F85" s="39">
        <f t="shared" ca="1" si="41"/>
        <v>817.14285714285722</v>
      </c>
      <c r="G85" s="39">
        <f t="shared" ca="1" si="41"/>
        <v>3037.1428571428573</v>
      </c>
      <c r="H85" s="39">
        <f t="shared" ca="1" si="41"/>
        <v>1282.8571428571429</v>
      </c>
      <c r="I85" s="39">
        <f t="shared" ca="1" si="41"/>
        <v>2368.5714285714289</v>
      </c>
      <c r="J85" s="39">
        <f t="shared" ca="1" si="41"/>
        <v>2412.8571428571431</v>
      </c>
      <c r="K85" s="39">
        <f t="shared" ca="1" si="41"/>
        <v>722.85714285714289</v>
      </c>
      <c r="L85" s="39">
        <f t="shared" ca="1" si="41"/>
        <v>1001.4285714285714</v>
      </c>
      <c r="M85" s="39">
        <f t="shared" ca="1" si="41"/>
        <v>744.28571428571433</v>
      </c>
      <c r="N85" s="39">
        <f t="shared" ca="1" si="41"/>
        <v>2564.2857142857147</v>
      </c>
      <c r="O85" s="39">
        <f t="shared" ca="1" si="41"/>
        <v>2165.7142857142858</v>
      </c>
      <c r="P85" s="39">
        <f t="shared" ca="1" si="41"/>
        <v>694.28571428571433</v>
      </c>
      <c r="Q85" s="39">
        <f t="shared" ca="1" si="41"/>
        <v>2892.8571428571431</v>
      </c>
      <c r="R85" s="39">
        <f t="shared" ca="1" si="41"/>
        <v>1042.8571428571429</v>
      </c>
      <c r="S85" s="39">
        <f t="shared" ca="1" si="41"/>
        <v>1892.8571428571429</v>
      </c>
      <c r="T85" s="39">
        <f t="shared" ca="1" si="41"/>
        <v>2174.2857142857142</v>
      </c>
      <c r="U85" s="39">
        <f t="shared" ca="1" si="41"/>
        <v>2258.5714285714289</v>
      </c>
      <c r="V85" s="39">
        <f t="shared" ca="1" si="41"/>
        <v>2850</v>
      </c>
      <c r="W85" s="39">
        <f t="shared" ca="1" si="41"/>
        <v>3038.5714285714289</v>
      </c>
      <c r="X85" s="39">
        <f t="shared" ca="1" si="41"/>
        <v>2358.5714285714289</v>
      </c>
      <c r="Y85" s="39">
        <f t="shared" ca="1" si="41"/>
        <v>278.57142857142861</v>
      </c>
      <c r="Z85" s="39">
        <f t="shared" ca="1" si="41"/>
        <v>461.42857142857144</v>
      </c>
      <c r="AA85" s="39">
        <f t="shared" ca="1" si="41"/>
        <v>1282.8571428571429</v>
      </c>
      <c r="AB85" s="39">
        <f t="shared" ca="1" si="41"/>
        <v>2984.2857142857147</v>
      </c>
      <c r="AD85" s="34"/>
      <c r="AE85" s="34"/>
      <c r="AF85" s="34"/>
      <c r="AG85" s="34"/>
    </row>
    <row r="86" spans="2:33" x14ac:dyDescent="0.45">
      <c r="B86" s="85" t="s">
        <v>39</v>
      </c>
      <c r="D86" s="39">
        <f ca="1">D85*0.3</f>
        <v>119.14285714285714</v>
      </c>
      <c r="E86" s="39">
        <f t="shared" ref="E86:AB86" ca="1" si="42">E85*0.3</f>
        <v>739.71428571428567</v>
      </c>
      <c r="F86" s="39">
        <f t="shared" ca="1" si="42"/>
        <v>245.14285714285717</v>
      </c>
      <c r="G86" s="39">
        <f t="shared" ca="1" si="42"/>
        <v>911.14285714285722</v>
      </c>
      <c r="H86" s="39">
        <f t="shared" ca="1" si="42"/>
        <v>384.85714285714283</v>
      </c>
      <c r="I86" s="39">
        <f t="shared" ca="1" si="42"/>
        <v>710.57142857142867</v>
      </c>
      <c r="J86" s="39">
        <f t="shared" ca="1" si="42"/>
        <v>723.85714285714289</v>
      </c>
      <c r="K86" s="39">
        <f t="shared" ca="1" si="42"/>
        <v>216.85714285714286</v>
      </c>
      <c r="L86" s="39">
        <f t="shared" ca="1" si="42"/>
        <v>300.42857142857144</v>
      </c>
      <c r="M86" s="39">
        <f t="shared" ca="1" si="42"/>
        <v>223.28571428571431</v>
      </c>
      <c r="N86" s="39">
        <f t="shared" ca="1" si="42"/>
        <v>769.28571428571433</v>
      </c>
      <c r="O86" s="39">
        <f t="shared" ca="1" si="42"/>
        <v>649.71428571428567</v>
      </c>
      <c r="P86" s="39">
        <f t="shared" ca="1" si="42"/>
        <v>208.28571428571431</v>
      </c>
      <c r="Q86" s="39">
        <f t="shared" ca="1" si="42"/>
        <v>867.85714285714289</v>
      </c>
      <c r="R86" s="39">
        <f t="shared" ca="1" si="42"/>
        <v>312.85714285714283</v>
      </c>
      <c r="S86" s="39">
        <f t="shared" ca="1" si="42"/>
        <v>567.85714285714289</v>
      </c>
      <c r="T86" s="39">
        <f t="shared" ca="1" si="42"/>
        <v>652.28571428571422</v>
      </c>
      <c r="U86" s="39">
        <f t="shared" ca="1" si="42"/>
        <v>677.57142857142867</v>
      </c>
      <c r="V86" s="39">
        <f t="shared" ca="1" si="42"/>
        <v>855</v>
      </c>
      <c r="W86" s="39">
        <f t="shared" ca="1" si="42"/>
        <v>911.57142857142867</v>
      </c>
      <c r="X86" s="39">
        <f t="shared" ca="1" si="42"/>
        <v>707.57142857142867</v>
      </c>
      <c r="Y86" s="39">
        <f t="shared" ca="1" si="42"/>
        <v>83.571428571428584</v>
      </c>
      <c r="Z86" s="39">
        <f t="shared" ca="1" si="42"/>
        <v>138.42857142857142</v>
      </c>
      <c r="AA86" s="39">
        <f t="shared" ca="1" si="42"/>
        <v>384.85714285714283</v>
      </c>
      <c r="AB86" s="39">
        <f t="shared" ca="1" si="42"/>
        <v>895.28571428571433</v>
      </c>
      <c r="AD86" s="34"/>
      <c r="AE86" s="34"/>
      <c r="AF86" s="34"/>
      <c r="AG86" s="34"/>
    </row>
    <row r="87" spans="2:33" x14ac:dyDescent="0.45">
      <c r="B87" s="85" t="s">
        <v>168</v>
      </c>
      <c r="D87" s="39">
        <f t="shared" ref="D87:AB87" ca="1" si="43">(D86*$I$6)*(1+$I$7)^D21</f>
        <v>250.34297142857145</v>
      </c>
      <c r="E87" s="39">
        <f t="shared" ca="1" si="43"/>
        <v>1585.373410285714</v>
      </c>
      <c r="F87" s="39">
        <f t="shared" ca="1" si="43"/>
        <v>535.90397595428567</v>
      </c>
      <c r="G87" s="39">
        <f t="shared" ca="1" si="43"/>
        <v>2031.6756817069718</v>
      </c>
      <c r="H87" s="39">
        <f t="shared" ca="1" si="43"/>
        <v>875.3215698101211</v>
      </c>
      <c r="I87" s="39">
        <f t="shared" ca="1" si="43"/>
        <v>1648.4508084633462</v>
      </c>
      <c r="J87" s="39">
        <f t="shared" ca="1" si="43"/>
        <v>1712.8577103766481</v>
      </c>
      <c r="K87" s="39">
        <f t="shared" ca="1" si="43"/>
        <v>523.410373877795</v>
      </c>
      <c r="L87" s="39">
        <f t="shared" ca="1" si="43"/>
        <v>739.62230341917189</v>
      </c>
      <c r="M87" s="39">
        <f t="shared" ca="1" si="43"/>
        <v>560.69912194438848</v>
      </c>
      <c r="N87" s="39">
        <f t="shared" ca="1" si="43"/>
        <v>1970.4107914932449</v>
      </c>
      <c r="O87" s="39">
        <f t="shared" ca="1" si="43"/>
        <v>1697.4293120344485</v>
      </c>
      <c r="P87" s="39">
        <f t="shared" ca="1" si="43"/>
        <v>555.04594891933834</v>
      </c>
      <c r="Q87" s="39">
        <f t="shared" ca="1" si="43"/>
        <v>2358.9452829071879</v>
      </c>
      <c r="R87" s="39">
        <f t="shared" ca="1" si="43"/>
        <v>867.39291735935376</v>
      </c>
      <c r="S87" s="39">
        <f t="shared" ca="1" si="43"/>
        <v>1605.8651065906397</v>
      </c>
      <c r="T87" s="39">
        <f t="shared" ca="1" si="43"/>
        <v>1881.516397038168</v>
      </c>
      <c r="U87" s="39">
        <f t="shared" ca="1" si="43"/>
        <v>1993.5420316633974</v>
      </c>
      <c r="V87" s="39">
        <f t="shared" ca="1" si="43"/>
        <v>2565.8815181732107</v>
      </c>
      <c r="W87" s="39">
        <f t="shared" ca="1" si="43"/>
        <v>2790.3672125000048</v>
      </c>
      <c r="X87" s="39">
        <f t="shared" ca="1" si="43"/>
        <v>2209.2309323903419</v>
      </c>
      <c r="Y87" s="39">
        <f t="shared" ca="1" si="43"/>
        <v>266.15144303600181</v>
      </c>
      <c r="Z87" s="39">
        <f t="shared" ca="1" si="43"/>
        <v>449.67309960328788</v>
      </c>
      <c r="AA87" s="39">
        <f t="shared" ca="1" si="43"/>
        <v>1275.1782424539554</v>
      </c>
      <c r="AB87" s="39">
        <f t="shared" ca="1" si="43"/>
        <v>3025.7508858085071</v>
      </c>
      <c r="AD87" s="34"/>
      <c r="AE87" s="34"/>
      <c r="AF87" s="34"/>
      <c r="AG87" s="34"/>
    </row>
    <row r="88" spans="2:33" x14ac:dyDescent="0.45">
      <c r="B88" s="73"/>
      <c r="AD88" s="34"/>
      <c r="AE88" s="34"/>
      <c r="AF88" s="34"/>
      <c r="AG88" s="34"/>
    </row>
    <row r="89" spans="2:33" x14ac:dyDescent="0.45">
      <c r="B89" s="77" t="s">
        <v>148</v>
      </c>
      <c r="AD89" s="34"/>
      <c r="AE89" s="34"/>
      <c r="AF89" s="34"/>
      <c r="AG89" s="34"/>
    </row>
    <row r="90" spans="2:33" x14ac:dyDescent="0.45">
      <c r="B90" s="75" t="s">
        <v>166</v>
      </c>
      <c r="D90" s="39">
        <f t="shared" ref="D90:AB90" ca="1" si="44">RANDBETWEEN($D17,$C17)</f>
        <v>48361</v>
      </c>
      <c r="E90" s="39">
        <f t="shared" ca="1" si="44"/>
        <v>79183</v>
      </c>
      <c r="F90" s="39">
        <f t="shared" ca="1" si="44"/>
        <v>78287</v>
      </c>
      <c r="G90" s="39">
        <f t="shared" ca="1" si="44"/>
        <v>16380</v>
      </c>
      <c r="H90" s="39">
        <f t="shared" ca="1" si="44"/>
        <v>62965</v>
      </c>
      <c r="I90" s="39">
        <f t="shared" ca="1" si="44"/>
        <v>71622</v>
      </c>
      <c r="J90" s="39">
        <f t="shared" ca="1" si="44"/>
        <v>55313</v>
      </c>
      <c r="K90" s="39">
        <f t="shared" ca="1" si="44"/>
        <v>60696</v>
      </c>
      <c r="L90" s="39">
        <f t="shared" ca="1" si="44"/>
        <v>67901</v>
      </c>
      <c r="M90" s="39">
        <f t="shared" ca="1" si="44"/>
        <v>56604</v>
      </c>
      <c r="N90" s="39">
        <f t="shared" ca="1" si="44"/>
        <v>76767</v>
      </c>
      <c r="O90" s="39">
        <f t="shared" ca="1" si="44"/>
        <v>64200</v>
      </c>
      <c r="P90" s="39">
        <f t="shared" ca="1" si="44"/>
        <v>40450</v>
      </c>
      <c r="Q90" s="39">
        <f t="shared" ca="1" si="44"/>
        <v>26607</v>
      </c>
      <c r="R90" s="39">
        <f t="shared" ca="1" si="44"/>
        <v>81283</v>
      </c>
      <c r="S90" s="39">
        <f t="shared" ca="1" si="44"/>
        <v>20580</v>
      </c>
      <c r="T90" s="39">
        <f t="shared" ca="1" si="44"/>
        <v>55507</v>
      </c>
      <c r="U90" s="39">
        <f t="shared" ca="1" si="44"/>
        <v>19751</v>
      </c>
      <c r="V90" s="39">
        <f t="shared" ca="1" si="44"/>
        <v>39206</v>
      </c>
      <c r="W90" s="39">
        <f t="shared" ca="1" si="44"/>
        <v>62504</v>
      </c>
      <c r="X90" s="39">
        <f t="shared" ca="1" si="44"/>
        <v>32056</v>
      </c>
      <c r="Y90" s="39">
        <f t="shared" ca="1" si="44"/>
        <v>40091</v>
      </c>
      <c r="Z90" s="39">
        <f t="shared" ca="1" si="44"/>
        <v>77366</v>
      </c>
      <c r="AA90" s="39">
        <f t="shared" ca="1" si="44"/>
        <v>26724</v>
      </c>
      <c r="AB90" s="39">
        <f t="shared" ca="1" si="44"/>
        <v>39056</v>
      </c>
      <c r="AD90" s="34"/>
      <c r="AE90" s="34"/>
      <c r="AF90" s="34"/>
      <c r="AG90" s="34"/>
    </row>
    <row r="91" spans="2:33" x14ac:dyDescent="0.45">
      <c r="B91" s="85" t="s">
        <v>167</v>
      </c>
      <c r="D91" s="39">
        <f ca="1">D90/0.7</f>
        <v>69087.142857142855</v>
      </c>
      <c r="E91" s="39">
        <f t="shared" ref="E91:AB91" ca="1" si="45">E90/0.7</f>
        <v>113118.57142857143</v>
      </c>
      <c r="F91" s="39">
        <f t="shared" ca="1" si="45"/>
        <v>111838.57142857143</v>
      </c>
      <c r="G91" s="39">
        <f t="shared" ca="1" si="45"/>
        <v>23400</v>
      </c>
      <c r="H91" s="39">
        <f t="shared" ca="1" si="45"/>
        <v>89950</v>
      </c>
      <c r="I91" s="39">
        <f t="shared" ca="1" si="45"/>
        <v>102317.14285714287</v>
      </c>
      <c r="J91" s="39">
        <f t="shared" ca="1" si="45"/>
        <v>79018.571428571435</v>
      </c>
      <c r="K91" s="39">
        <f t="shared" ca="1" si="45"/>
        <v>86708.571428571435</v>
      </c>
      <c r="L91" s="39">
        <f t="shared" ca="1" si="45"/>
        <v>97001.42857142858</v>
      </c>
      <c r="M91" s="39">
        <f t="shared" ca="1" si="45"/>
        <v>80862.857142857145</v>
      </c>
      <c r="N91" s="39">
        <f t="shared" ca="1" si="45"/>
        <v>109667.14285714287</v>
      </c>
      <c r="O91" s="39">
        <f t="shared" ca="1" si="45"/>
        <v>91714.285714285725</v>
      </c>
      <c r="P91" s="39">
        <f t="shared" ca="1" si="45"/>
        <v>57785.71428571429</v>
      </c>
      <c r="Q91" s="39">
        <f t="shared" ca="1" si="45"/>
        <v>38010</v>
      </c>
      <c r="R91" s="39">
        <f t="shared" ca="1" si="45"/>
        <v>116118.57142857143</v>
      </c>
      <c r="S91" s="39">
        <f t="shared" ca="1" si="45"/>
        <v>29400.000000000004</v>
      </c>
      <c r="T91" s="39">
        <f t="shared" ca="1" si="45"/>
        <v>79295.71428571429</v>
      </c>
      <c r="U91" s="39">
        <f t="shared" ca="1" si="45"/>
        <v>28215.714285714286</v>
      </c>
      <c r="V91" s="39">
        <f t="shared" ca="1" si="45"/>
        <v>56008.571428571435</v>
      </c>
      <c r="W91" s="39">
        <f t="shared" ca="1" si="45"/>
        <v>89291.42857142858</v>
      </c>
      <c r="X91" s="39">
        <f t="shared" ca="1" si="45"/>
        <v>45794.285714285717</v>
      </c>
      <c r="Y91" s="39">
        <f t="shared" ca="1" si="45"/>
        <v>57272.857142857145</v>
      </c>
      <c r="Z91" s="39">
        <f t="shared" ca="1" si="45"/>
        <v>110522.85714285714</v>
      </c>
      <c r="AA91" s="39">
        <f t="shared" ca="1" si="45"/>
        <v>38177.142857142862</v>
      </c>
      <c r="AB91" s="39">
        <f t="shared" ca="1" si="45"/>
        <v>55794.285714285717</v>
      </c>
    </row>
    <row r="92" spans="2:33" x14ac:dyDescent="0.45">
      <c r="B92" s="85" t="s">
        <v>39</v>
      </c>
      <c r="D92" s="39">
        <f ca="1">D91*0.3</f>
        <v>20726.142857142855</v>
      </c>
      <c r="E92" s="39">
        <f t="shared" ref="E92:AB92" ca="1" si="46">E91*0.3</f>
        <v>33935.571428571428</v>
      </c>
      <c r="F92" s="39">
        <f t="shared" ca="1" si="46"/>
        <v>33551.571428571428</v>
      </c>
      <c r="G92" s="39">
        <f t="shared" ca="1" si="46"/>
        <v>7020</v>
      </c>
      <c r="H92" s="39">
        <f t="shared" ca="1" si="46"/>
        <v>26985</v>
      </c>
      <c r="I92" s="39">
        <f t="shared" ca="1" si="46"/>
        <v>30695.142857142859</v>
      </c>
      <c r="J92" s="39">
        <f t="shared" ca="1" si="46"/>
        <v>23705.571428571431</v>
      </c>
      <c r="K92" s="39">
        <f t="shared" ca="1" si="46"/>
        <v>26012.571428571431</v>
      </c>
      <c r="L92" s="39">
        <f t="shared" ca="1" si="46"/>
        <v>29100.428571428572</v>
      </c>
      <c r="M92" s="39">
        <f t="shared" ca="1" si="46"/>
        <v>24258.857142857141</v>
      </c>
      <c r="N92" s="39">
        <f t="shared" ca="1" si="46"/>
        <v>32900.142857142862</v>
      </c>
      <c r="O92" s="39">
        <f t="shared" ca="1" si="46"/>
        <v>27514.285714285717</v>
      </c>
      <c r="P92" s="39">
        <f t="shared" ca="1" si="46"/>
        <v>17335.714285714286</v>
      </c>
      <c r="Q92" s="39">
        <f t="shared" ca="1" si="46"/>
        <v>11403</v>
      </c>
      <c r="R92" s="39">
        <f t="shared" ca="1" si="46"/>
        <v>34835.571428571428</v>
      </c>
      <c r="S92" s="39">
        <f t="shared" ca="1" si="46"/>
        <v>8820</v>
      </c>
      <c r="T92" s="39">
        <f t="shared" ca="1" si="46"/>
        <v>23788.714285714286</v>
      </c>
      <c r="U92" s="39">
        <f t="shared" ca="1" si="46"/>
        <v>8464.7142857142862</v>
      </c>
      <c r="V92" s="39">
        <f t="shared" ca="1" si="46"/>
        <v>16802.571428571431</v>
      </c>
      <c r="W92" s="39">
        <f t="shared" ca="1" si="46"/>
        <v>26787.428571428572</v>
      </c>
      <c r="X92" s="39">
        <f t="shared" ca="1" si="46"/>
        <v>13738.285714285716</v>
      </c>
      <c r="Y92" s="39">
        <f t="shared" ca="1" si="46"/>
        <v>17181.857142857141</v>
      </c>
      <c r="Z92" s="39">
        <f t="shared" ca="1" si="46"/>
        <v>33156.857142857145</v>
      </c>
      <c r="AA92" s="39">
        <f t="shared" ca="1" si="46"/>
        <v>11453.142857142859</v>
      </c>
      <c r="AB92" s="39">
        <f t="shared" ca="1" si="46"/>
        <v>16738.285714285714</v>
      </c>
    </row>
    <row r="93" spans="2:33" x14ac:dyDescent="0.45">
      <c r="B93" s="85" t="s">
        <v>168</v>
      </c>
      <c r="D93" s="39">
        <f t="shared" ref="D93:AB93" ca="1" si="47">(D92*$I$6)*(1+$I$7)^D21</f>
        <v>43549.771371428571</v>
      </c>
      <c r="E93" s="39">
        <f t="shared" ca="1" si="47"/>
        <v>72731.531139428567</v>
      </c>
      <c r="F93" s="39">
        <f t="shared" ca="1" si="47"/>
        <v>73346.703785897145</v>
      </c>
      <c r="G93" s="39">
        <f t="shared" ca="1" si="47"/>
        <v>15653.267952192</v>
      </c>
      <c r="H93" s="39">
        <f t="shared" ca="1" si="47"/>
        <v>61374.858177165122</v>
      </c>
      <c r="I93" s="39">
        <f t="shared" ca="1" si="47"/>
        <v>71209.495659687425</v>
      </c>
      <c r="J93" s="39">
        <f t="shared" ca="1" si="47"/>
        <v>56094.315295478707</v>
      </c>
      <c r="K93" s="39">
        <f t="shared" ca="1" si="47"/>
        <v>62784.419076851082</v>
      </c>
      <c r="L93" s="39">
        <f t="shared" ca="1" si="47"/>
        <v>71642.074214643639</v>
      </c>
      <c r="M93" s="39">
        <f t="shared" ca="1" si="47"/>
        <v>60917.107674741186</v>
      </c>
      <c r="N93" s="39">
        <f t="shared" ca="1" si="47"/>
        <v>84268.816284435627</v>
      </c>
      <c r="O93" s="39">
        <f t="shared" ca="1" si="47"/>
        <v>71883.220206208178</v>
      </c>
      <c r="P93" s="39">
        <f t="shared" ca="1" si="47"/>
        <v>46196.725583924344</v>
      </c>
      <c r="Q93" s="39">
        <f t="shared" ca="1" si="47"/>
        <v>30994.793650524218</v>
      </c>
      <c r="R93" s="39">
        <f t="shared" ca="1" si="47"/>
        <v>96581.230824274462</v>
      </c>
      <c r="S93" s="39">
        <f t="shared" ca="1" si="47"/>
        <v>24942.41803293235</v>
      </c>
      <c r="T93" s="39">
        <f t="shared" ca="1" si="47"/>
        <v>68618.482687514843</v>
      </c>
      <c r="U93" s="39">
        <f t="shared" ca="1" si="47"/>
        <v>24904.774615676</v>
      </c>
      <c r="V93" s="39">
        <f t="shared" ca="1" si="47"/>
        <v>50425.037995738807</v>
      </c>
      <c r="W93" s="39">
        <f t="shared" ca="1" si="47"/>
        <v>81997.70204518114</v>
      </c>
      <c r="X93" s="39">
        <f t="shared" ca="1" si="47"/>
        <v>42894.673996792735</v>
      </c>
      <c r="Y93" s="39">
        <f t="shared" ca="1" si="47"/>
        <v>54719.371809006916</v>
      </c>
      <c r="Z93" s="39">
        <f t="shared" ca="1" si="47"/>
        <v>107707.14868082965</v>
      </c>
      <c r="AA93" s="39">
        <f t="shared" ca="1" si="47"/>
        <v>37948.622885678742</v>
      </c>
      <c r="AB93" s="39">
        <f t="shared" ca="1" si="47"/>
        <v>56569.519672636212</v>
      </c>
    </row>
    <row r="94" spans="2:33" x14ac:dyDescent="0.45">
      <c r="B94" s="73"/>
    </row>
    <row r="95" spans="2:33" x14ac:dyDescent="0.45">
      <c r="B95" s="73" t="s">
        <v>171</v>
      </c>
      <c r="D95" s="39">
        <f t="shared" ref="D95:AB95" ca="1" si="48">D24+D30+D36+D42+D48+D54+D60+D66+D72+D78+D84+D90</f>
        <v>5065866</v>
      </c>
      <c r="E95" s="39">
        <f t="shared" ca="1" si="48"/>
        <v>4366229</v>
      </c>
      <c r="F95" s="39">
        <f t="shared" ca="1" si="48"/>
        <v>4316449</v>
      </c>
      <c r="G95" s="39">
        <f t="shared" ca="1" si="48"/>
        <v>5224404</v>
      </c>
      <c r="H95" s="39">
        <f t="shared" ca="1" si="48"/>
        <v>6350169</v>
      </c>
      <c r="I95" s="39">
        <f t="shared" ca="1" si="48"/>
        <v>5308113</v>
      </c>
      <c r="J95" s="39">
        <f t="shared" ca="1" si="48"/>
        <v>4988868</v>
      </c>
      <c r="K95" s="39">
        <f t="shared" ca="1" si="48"/>
        <v>5746510</v>
      </c>
      <c r="L95" s="39">
        <f t="shared" ca="1" si="48"/>
        <v>6474260</v>
      </c>
      <c r="M95" s="39">
        <f t="shared" ca="1" si="48"/>
        <v>6963253</v>
      </c>
      <c r="N95" s="39">
        <f t="shared" ca="1" si="48"/>
        <v>6624425</v>
      </c>
      <c r="O95" s="39">
        <f t="shared" ca="1" si="48"/>
        <v>5852300</v>
      </c>
      <c r="P95" s="39">
        <f t="shared" ca="1" si="48"/>
        <v>4482895</v>
      </c>
      <c r="Q95" s="39">
        <f t="shared" ca="1" si="48"/>
        <v>4074568</v>
      </c>
      <c r="R95" s="39">
        <f t="shared" ca="1" si="48"/>
        <v>6302466</v>
      </c>
      <c r="S95" s="39">
        <f t="shared" ca="1" si="48"/>
        <v>4958102</v>
      </c>
      <c r="T95" s="39">
        <f t="shared" ca="1" si="48"/>
        <v>5247280</v>
      </c>
      <c r="U95" s="39">
        <f t="shared" ca="1" si="48"/>
        <v>4777392</v>
      </c>
      <c r="V95" s="39">
        <f t="shared" ca="1" si="48"/>
        <v>5165694</v>
      </c>
      <c r="W95" s="39">
        <f t="shared" ca="1" si="48"/>
        <v>4295842</v>
      </c>
      <c r="X95" s="39">
        <f t="shared" ca="1" si="48"/>
        <v>6627673</v>
      </c>
      <c r="Y95" s="39">
        <f t="shared" ca="1" si="48"/>
        <v>4274326</v>
      </c>
      <c r="Z95" s="39">
        <f t="shared" ca="1" si="48"/>
        <v>4742073</v>
      </c>
      <c r="AA95" s="39">
        <f t="shared" ca="1" si="48"/>
        <v>4773779</v>
      </c>
      <c r="AB95" s="39">
        <f t="shared" ca="1" si="48"/>
        <v>6568510</v>
      </c>
    </row>
    <row r="96" spans="2:33" x14ac:dyDescent="0.45">
      <c r="B96" s="73" t="s">
        <v>172</v>
      </c>
      <c r="D96" s="39">
        <f t="shared" ref="D96:AB96" ca="1" si="49">D27+D33+D39+D45+D51+D57+D63+D69+D75+D81+D87+D93</f>
        <v>2730848.6149028572</v>
      </c>
      <c r="E96" s="39">
        <f t="shared" ca="1" si="49"/>
        <v>2678050.072043315</v>
      </c>
      <c r="F96" s="39">
        <f t="shared" ca="1" si="49"/>
        <v>2660427.1265467135</v>
      </c>
      <c r="G96" s="39">
        <f t="shared" ca="1" si="49"/>
        <v>3245086.7647348731</v>
      </c>
      <c r="H96" s="39">
        <f t="shared" ca="1" si="49"/>
        <v>3725419.5978126177</v>
      </c>
      <c r="I96" s="39">
        <f t="shared" ca="1" si="49"/>
        <v>3017821.6656341678</v>
      </c>
      <c r="J96" s="39">
        <f t="shared" ca="1" si="49"/>
        <v>2954645.7193347611</v>
      </c>
      <c r="K96" s="39">
        <f t="shared" ca="1" si="49"/>
        <v>3283318.6079881857</v>
      </c>
      <c r="L96" s="39">
        <f t="shared" ca="1" si="49"/>
        <v>4154780.8143468252</v>
      </c>
      <c r="M96" s="39">
        <f t="shared" ca="1" si="49"/>
        <v>4884879.4084804347</v>
      </c>
      <c r="N96" s="39">
        <f t="shared" ca="1" si="49"/>
        <v>4522361.6051857192</v>
      </c>
      <c r="O96" s="39">
        <f t="shared" ca="1" si="49"/>
        <v>4128874.0627067131</v>
      </c>
      <c r="P96" s="39">
        <f t="shared" ca="1" si="49"/>
        <v>3113474.69228468</v>
      </c>
      <c r="Q96" s="39">
        <f t="shared" ca="1" si="49"/>
        <v>3129001.1075318428</v>
      </c>
      <c r="R96" s="39">
        <f t="shared" ca="1" si="49"/>
        <v>4432676.8859756766</v>
      </c>
      <c r="S96" s="39">
        <f t="shared" ca="1" si="49"/>
        <v>4007574.5754717276</v>
      </c>
      <c r="T96" s="39">
        <f t="shared" ca="1" si="49"/>
        <v>4354372.5176813845</v>
      </c>
      <c r="U96" s="39">
        <f t="shared" ca="1" si="49"/>
        <v>3731887.5630675042</v>
      </c>
      <c r="V96" s="39">
        <f t="shared" ca="1" si="49"/>
        <v>3787329.0243721725</v>
      </c>
      <c r="W96" s="39">
        <f t="shared" ca="1" si="49"/>
        <v>3827650.4518603403</v>
      </c>
      <c r="X96" s="39">
        <f t="shared" ca="1" si="49"/>
        <v>5300667.5831498262</v>
      </c>
      <c r="Y96" s="39">
        <f t="shared" ca="1" si="49"/>
        <v>3525167.2190828379</v>
      </c>
      <c r="Z96" s="39">
        <f t="shared" ca="1" si="49"/>
        <v>3899298.8201185409</v>
      </c>
      <c r="AA96" s="39">
        <f t="shared" ca="1" si="49"/>
        <v>4249645.9503117744</v>
      </c>
      <c r="AB96" s="39">
        <f t="shared" ca="1" si="49"/>
        <v>5626555.7998936484</v>
      </c>
    </row>
    <row r="97" spans="2:28" x14ac:dyDescent="0.45">
      <c r="B97" s="73" t="s">
        <v>152</v>
      </c>
      <c r="D97" s="39">
        <v>2416279.2536400012</v>
      </c>
      <c r="E97" s="39">
        <v>3586053.1325547439</v>
      </c>
      <c r="F97" s="39">
        <v>3796077.4245001306</v>
      </c>
      <c r="G97" s="39">
        <v>4084853.8847148004</v>
      </c>
      <c r="H97" s="39">
        <v>4069070.7195509225</v>
      </c>
      <c r="I97" s="39">
        <v>4404550.2120037489</v>
      </c>
      <c r="J97" s="39">
        <v>3967572.6065032785</v>
      </c>
      <c r="K97" s="39">
        <v>3080345.0552473143</v>
      </c>
      <c r="L97" s="39">
        <v>3304266.6088580452</v>
      </c>
      <c r="M97" s="39">
        <v>2930299.547933626</v>
      </c>
      <c r="N97" s="39">
        <v>3481504.0383743537</v>
      </c>
      <c r="O97" s="39">
        <v>4341137.582384754</v>
      </c>
      <c r="P97" s="39">
        <v>3833301.5103855915</v>
      </c>
      <c r="Q97" s="39">
        <v>4412354.9704282237</v>
      </c>
      <c r="R97" s="39">
        <v>4492422.2093972331</v>
      </c>
      <c r="S97" s="39">
        <v>3482102.990727935</v>
      </c>
      <c r="T97" s="39">
        <v>3118475.1114539588</v>
      </c>
      <c r="U97" s="39">
        <v>5407147.1627695877</v>
      </c>
      <c r="V97" s="39">
        <v>3806883.1019942765</v>
      </c>
      <c r="W97" s="39">
        <v>4992496.907568261</v>
      </c>
      <c r="X97" s="39">
        <v>4573608.2614447325</v>
      </c>
      <c r="Y97" s="39">
        <v>5295466.6106445976</v>
      </c>
      <c r="Z97" s="39">
        <v>4121050.2788865855</v>
      </c>
      <c r="AA97" s="39">
        <v>4953089.3021079479</v>
      </c>
      <c r="AB97" s="39">
        <v>5138251.3149418849</v>
      </c>
    </row>
    <row r="112" spans="2:28" x14ac:dyDescent="0.45">
      <c r="C112" s="88"/>
    </row>
  </sheetData>
  <mergeCells count="3">
    <mergeCell ref="H2:I2"/>
    <mergeCell ref="E2:F2"/>
    <mergeCell ref="C2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I30"/>
  <sheetViews>
    <sheetView workbookViewId="0">
      <selection activeCell="E14" sqref="E14"/>
    </sheetView>
  </sheetViews>
  <sheetFormatPr defaultColWidth="10.85546875" defaultRowHeight="15.9" x14ac:dyDescent="0.45"/>
  <cols>
    <col min="1" max="1" width="10.85546875" style="34"/>
    <col min="2" max="2" width="25.140625" style="34" customWidth="1"/>
    <col min="3" max="3" width="10.85546875" style="34"/>
    <col min="4" max="4" width="12.35546875" style="34" customWidth="1"/>
    <col min="5" max="16384" width="10.85546875" style="34"/>
  </cols>
  <sheetData>
    <row r="2" spans="2:9" x14ac:dyDescent="0.45">
      <c r="B2" s="96" t="s">
        <v>173</v>
      </c>
      <c r="C2" s="1"/>
      <c r="D2" s="1"/>
      <c r="E2" s="1"/>
      <c r="F2" s="1"/>
      <c r="G2" s="1"/>
    </row>
    <row r="3" spans="2:9" x14ac:dyDescent="0.45">
      <c r="B3" s="1" t="s">
        <v>174</v>
      </c>
      <c r="C3" s="1"/>
      <c r="D3" s="1">
        <v>1.52</v>
      </c>
      <c r="E3" s="1" t="s">
        <v>175</v>
      </c>
      <c r="F3" s="1"/>
      <c r="G3" s="1">
        <v>4.42</v>
      </c>
    </row>
    <row r="4" spans="2:9" x14ac:dyDescent="0.45">
      <c r="B4" s="1" t="s">
        <v>176</v>
      </c>
      <c r="C4" s="1"/>
      <c r="D4" s="1">
        <v>1.02</v>
      </c>
      <c r="E4" s="1" t="s">
        <v>177</v>
      </c>
      <c r="F4" s="1"/>
      <c r="G4" s="1">
        <f>G3+D3</f>
        <v>5.9399999999999995</v>
      </c>
    </row>
    <row r="5" spans="2:9" x14ac:dyDescent="0.45">
      <c r="B5" s="1" t="s">
        <v>178</v>
      </c>
      <c r="C5" s="1"/>
      <c r="D5" s="1">
        <f>D11/H8</f>
        <v>0.255</v>
      </c>
      <c r="E5" s="1"/>
      <c r="F5" s="1"/>
      <c r="G5" s="1"/>
    </row>
    <row r="7" spans="2:9" x14ac:dyDescent="0.45">
      <c r="B7" s="48" t="s">
        <v>36</v>
      </c>
    </row>
    <row r="8" spans="2:9" x14ac:dyDescent="0.45">
      <c r="B8" s="84" t="s">
        <v>37</v>
      </c>
      <c r="C8" s="84">
        <v>-1</v>
      </c>
      <c r="D8" s="84">
        <v>0</v>
      </c>
      <c r="E8" s="84">
        <v>1</v>
      </c>
      <c r="F8" s="84">
        <v>2</v>
      </c>
      <c r="G8" s="84">
        <v>3</v>
      </c>
      <c r="H8" s="84">
        <v>4</v>
      </c>
      <c r="I8" s="2"/>
    </row>
    <row r="9" spans="2:9" x14ac:dyDescent="0.45">
      <c r="B9" s="84"/>
      <c r="C9" s="84">
        <v>2020</v>
      </c>
      <c r="D9" s="84">
        <v>2021</v>
      </c>
      <c r="E9" s="84">
        <v>2022</v>
      </c>
      <c r="F9" s="84">
        <v>2023</v>
      </c>
      <c r="G9" s="84">
        <v>2024</v>
      </c>
      <c r="H9" s="84">
        <v>2025</v>
      </c>
    </row>
    <row r="10" spans="2:9" x14ac:dyDescent="0.45">
      <c r="B10" s="23" t="s">
        <v>179</v>
      </c>
      <c r="D10" s="31">
        <f>D3</f>
        <v>1.52</v>
      </c>
      <c r="E10" s="31">
        <f>D10</f>
        <v>1.52</v>
      </c>
      <c r="F10" s="31">
        <f t="shared" ref="F10:H10" si="0">E10</f>
        <v>1.52</v>
      </c>
      <c r="G10" s="31">
        <f t="shared" si="0"/>
        <v>1.52</v>
      </c>
      <c r="H10" s="31">
        <f t="shared" si="0"/>
        <v>1.52</v>
      </c>
    </row>
    <row r="11" spans="2:9" x14ac:dyDescent="0.45">
      <c r="B11" s="23" t="s">
        <v>180</v>
      </c>
      <c r="D11" s="31">
        <f>D4</f>
        <v>1.02</v>
      </c>
      <c r="E11" s="31">
        <f>D11-D5</f>
        <v>0.76500000000000001</v>
      </c>
      <c r="F11" s="31">
        <f>E11-D5</f>
        <v>0.51</v>
      </c>
      <c r="G11" s="31">
        <f>F11-D5</f>
        <v>0.255</v>
      </c>
      <c r="H11" s="31">
        <f>G11-D5</f>
        <v>0</v>
      </c>
    </row>
    <row r="12" spans="2:9" x14ac:dyDescent="0.45">
      <c r="B12" s="23" t="s">
        <v>181</v>
      </c>
      <c r="D12" s="31">
        <f>D10-D11</f>
        <v>0.5</v>
      </c>
      <c r="E12" s="31">
        <f t="shared" ref="E12:H12" si="1">E10-E11</f>
        <v>0.755</v>
      </c>
      <c r="F12" s="31">
        <f t="shared" si="1"/>
        <v>1.01</v>
      </c>
      <c r="G12" s="31">
        <f t="shared" si="1"/>
        <v>1.2650000000000001</v>
      </c>
      <c r="H12" s="31">
        <f t="shared" si="1"/>
        <v>1.52</v>
      </c>
    </row>
    <row r="13" spans="2:9" x14ac:dyDescent="0.45">
      <c r="B13" s="23" t="s">
        <v>182</v>
      </c>
      <c r="C13" s="34">
        <f>G3</f>
        <v>4.42</v>
      </c>
      <c r="D13" s="31">
        <f>C13+D12</f>
        <v>4.92</v>
      </c>
      <c r="E13" s="31">
        <f>C13+E12</f>
        <v>5.1749999999999998</v>
      </c>
      <c r="F13" s="31">
        <f>C13+F12</f>
        <v>5.43</v>
      </c>
      <c r="G13" s="31">
        <f>C13+G12</f>
        <v>5.6850000000000005</v>
      </c>
      <c r="H13" s="31">
        <f>C13+H12</f>
        <v>5.9399999999999995</v>
      </c>
    </row>
    <row r="14" spans="2:9" x14ac:dyDescent="0.45">
      <c r="B14" s="23"/>
      <c r="D14" s="106"/>
      <c r="E14" s="106"/>
      <c r="F14" s="106"/>
      <c r="G14" s="106"/>
      <c r="H14" s="106"/>
    </row>
    <row r="15" spans="2:9" x14ac:dyDescent="0.45">
      <c r="B15" s="23" t="s">
        <v>183</v>
      </c>
      <c r="C15" s="34">
        <f>C13</f>
        <v>4.42</v>
      </c>
    </row>
    <row r="16" spans="2:9" x14ac:dyDescent="0.45">
      <c r="B16" s="23" t="s">
        <v>184</v>
      </c>
      <c r="C16" s="38">
        <v>9.2644658631003809E-2</v>
      </c>
    </row>
    <row r="17" spans="2:9" x14ac:dyDescent="0.45">
      <c r="B17" s="23" t="s">
        <v>37</v>
      </c>
      <c r="C17" s="34">
        <v>4</v>
      </c>
    </row>
    <row r="18" spans="2:9" x14ac:dyDescent="0.45">
      <c r="B18" s="23" t="s">
        <v>185</v>
      </c>
      <c r="C18" s="107">
        <f>C15*(1+C16)^C17</f>
        <v>6.299963851745729</v>
      </c>
    </row>
    <row r="19" spans="2:9" x14ac:dyDescent="0.45">
      <c r="B19" s="23" t="s">
        <v>186</v>
      </c>
      <c r="C19" s="107">
        <f>C18*(1+0.02)^H8</f>
        <v>6.8192834799670488</v>
      </c>
    </row>
    <row r="20" spans="2:9" x14ac:dyDescent="0.45">
      <c r="B20" s="23" t="s">
        <v>187</v>
      </c>
      <c r="C20" s="107">
        <v>5.32</v>
      </c>
    </row>
    <row r="21" spans="2:9" x14ac:dyDescent="0.45">
      <c r="B21" s="23" t="s">
        <v>188</v>
      </c>
      <c r="C21" s="107">
        <f>C19+C20</f>
        <v>12.139283479967048</v>
      </c>
    </row>
    <row r="27" spans="2:9" x14ac:dyDescent="0.45">
      <c r="D27" s="108"/>
      <c r="E27" s="108"/>
      <c r="F27" s="108"/>
      <c r="G27" s="108"/>
      <c r="H27" s="108"/>
      <c r="I27" s="108"/>
    </row>
    <row r="29" spans="2:9" x14ac:dyDescent="0.45">
      <c r="C29" s="107"/>
      <c r="D29" s="107"/>
    </row>
    <row r="30" spans="2:9" x14ac:dyDescent="0.45">
      <c r="C30" s="10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B121"/>
  <sheetViews>
    <sheetView zoomScale="80" zoomScaleNormal="80" workbookViewId="0">
      <selection activeCell="D43" sqref="D43"/>
    </sheetView>
  </sheetViews>
  <sheetFormatPr defaultColWidth="10.640625" defaultRowHeight="15.9" x14ac:dyDescent="0.45"/>
  <cols>
    <col min="1" max="1" width="10.640625" style="34"/>
    <col min="2" max="2" width="34.85546875" style="34" customWidth="1"/>
    <col min="3" max="3" width="12.5" style="34" customWidth="1"/>
    <col min="4" max="4" width="17.5" style="34" bestFit="1" customWidth="1"/>
    <col min="5" max="5" width="12" style="34" customWidth="1"/>
    <col min="6" max="6" width="13.85546875" style="34" customWidth="1"/>
    <col min="7" max="7" width="12.5" style="34" customWidth="1"/>
    <col min="8" max="8" width="23.640625" style="34" customWidth="1"/>
    <col min="9" max="9" width="12.35546875" style="34" customWidth="1"/>
    <col min="10" max="10" width="15" style="34" customWidth="1"/>
    <col min="11" max="11" width="14.85546875" style="34" customWidth="1"/>
    <col min="12" max="12" width="12.35546875" style="34" customWidth="1"/>
    <col min="13" max="13" width="15.140625" style="34" customWidth="1"/>
    <col min="14" max="20" width="12.35546875" style="34" customWidth="1"/>
    <col min="21" max="26" width="13.140625" style="34" customWidth="1"/>
    <col min="27" max="27" width="11.85546875" style="34" customWidth="1"/>
    <col min="28" max="28" width="11.85546875" style="34" bestFit="1" customWidth="1"/>
    <col min="29" max="16384" width="10.640625" style="34"/>
  </cols>
  <sheetData>
    <row r="2" spans="1:28" x14ac:dyDescent="0.45">
      <c r="A2" s="32"/>
      <c r="B2" s="4" t="s">
        <v>0</v>
      </c>
      <c r="C2" s="5"/>
      <c r="D2" s="5"/>
      <c r="E2" s="1"/>
      <c r="F2" s="1"/>
      <c r="G2" s="6"/>
      <c r="H2" s="7" t="s">
        <v>1</v>
      </c>
      <c r="I2" s="6"/>
      <c r="J2" s="6"/>
      <c r="K2" s="6"/>
      <c r="L2" s="117"/>
      <c r="M2" s="118"/>
      <c r="N2" s="117"/>
    </row>
    <row r="3" spans="1:28" x14ac:dyDescent="0.45">
      <c r="A3" s="32"/>
      <c r="B3" s="5" t="s">
        <v>2</v>
      </c>
      <c r="C3" s="8">
        <v>0.02</v>
      </c>
      <c r="D3" s="5" t="s">
        <v>3</v>
      </c>
      <c r="E3" s="9">
        <v>6.7000000000000002E-3</v>
      </c>
      <c r="F3" s="1" t="s">
        <v>4</v>
      </c>
      <c r="G3" s="11">
        <v>8.1726030101192532E-2</v>
      </c>
      <c r="H3" s="1" t="s">
        <v>5</v>
      </c>
      <c r="I3" s="1">
        <v>109802</v>
      </c>
      <c r="J3" s="6" t="s">
        <v>6</v>
      </c>
      <c r="K3" s="6">
        <v>3615</v>
      </c>
      <c r="L3" s="117"/>
      <c r="M3" s="116"/>
      <c r="N3" s="116"/>
    </row>
    <row r="4" spans="1:28" x14ac:dyDescent="0.45">
      <c r="A4" s="32"/>
      <c r="B4" s="5" t="s">
        <v>7</v>
      </c>
      <c r="C4" s="8">
        <v>0.04</v>
      </c>
      <c r="D4" s="5" t="s">
        <v>8</v>
      </c>
      <c r="E4" s="10">
        <v>9.7000000000000005E-4</v>
      </c>
      <c r="F4" s="1"/>
      <c r="G4" s="6"/>
      <c r="H4" s="1" t="s">
        <v>9</v>
      </c>
      <c r="I4" s="1">
        <v>221.58</v>
      </c>
      <c r="J4" s="6" t="s">
        <v>10</v>
      </c>
      <c r="K4" s="6">
        <v>62686</v>
      </c>
      <c r="L4" s="117"/>
      <c r="M4" s="116"/>
      <c r="N4" s="116"/>
    </row>
    <row r="5" spans="1:28" x14ac:dyDescent="0.45">
      <c r="A5" s="32"/>
      <c r="B5" s="5" t="s">
        <v>11</v>
      </c>
      <c r="C5" s="5">
        <v>162</v>
      </c>
      <c r="D5" s="5" t="s">
        <v>12</v>
      </c>
      <c r="E5" s="9">
        <v>1.72E-2</v>
      </c>
      <c r="F5" s="1"/>
      <c r="G5" s="6"/>
      <c r="H5" s="1" t="s">
        <v>13</v>
      </c>
      <c r="I5" s="1">
        <v>30</v>
      </c>
      <c r="J5" s="6" t="s">
        <v>14</v>
      </c>
      <c r="K5" s="6">
        <v>1678188</v>
      </c>
      <c r="L5" s="117"/>
      <c r="M5" s="116"/>
      <c r="N5" s="116"/>
    </row>
    <row r="6" spans="1:28" x14ac:dyDescent="0.45">
      <c r="A6" s="32"/>
      <c r="B6" s="13" t="s">
        <v>15</v>
      </c>
      <c r="C6" s="14">
        <v>3.85E-2</v>
      </c>
      <c r="D6" s="5" t="s">
        <v>16</v>
      </c>
      <c r="E6" s="12">
        <v>0.04</v>
      </c>
      <c r="F6" s="1"/>
      <c r="G6" s="6"/>
      <c r="H6" s="6" t="s">
        <v>17</v>
      </c>
      <c r="I6" s="6">
        <v>9484.6299999999992</v>
      </c>
      <c r="J6" s="6" t="s">
        <v>18</v>
      </c>
      <c r="K6" s="6">
        <v>400000000</v>
      </c>
      <c r="L6" s="117"/>
      <c r="M6" s="117"/>
      <c r="N6" s="117"/>
    </row>
    <row r="7" spans="1:28" x14ac:dyDescent="0.45">
      <c r="A7" s="32"/>
      <c r="B7" s="5" t="s">
        <v>19</v>
      </c>
      <c r="C7" s="15">
        <v>9.2600000000000002E-2</v>
      </c>
      <c r="D7" s="5" t="s">
        <v>20</v>
      </c>
      <c r="E7" s="12">
        <v>0.36</v>
      </c>
      <c r="F7" s="1"/>
      <c r="G7" s="6"/>
      <c r="H7" s="5" t="s">
        <v>21</v>
      </c>
      <c r="I7" s="16">
        <v>4.42</v>
      </c>
      <c r="J7" s="6" t="s">
        <v>22</v>
      </c>
      <c r="K7" s="3">
        <v>7714</v>
      </c>
      <c r="L7" s="117"/>
      <c r="M7" s="117"/>
      <c r="N7" s="117"/>
    </row>
    <row r="8" spans="1:28" x14ac:dyDescent="0.45">
      <c r="A8" s="32"/>
      <c r="B8" s="5" t="s">
        <v>23</v>
      </c>
      <c r="C8" s="15">
        <v>0.40210000000000001</v>
      </c>
      <c r="D8" s="5" t="s">
        <v>24</v>
      </c>
      <c r="E8" s="9">
        <v>7.1999999999999995E-2</v>
      </c>
      <c r="F8" s="1"/>
      <c r="G8" s="6"/>
      <c r="H8" s="5" t="s">
        <v>25</v>
      </c>
      <c r="I8" s="17">
        <v>6.3</v>
      </c>
      <c r="J8" s="6" t="s">
        <v>26</v>
      </c>
      <c r="K8" s="3">
        <v>16246</v>
      </c>
      <c r="L8" s="117"/>
      <c r="M8" s="117"/>
      <c r="N8" s="117"/>
    </row>
    <row r="9" spans="1:28" x14ac:dyDescent="0.45">
      <c r="A9" s="32"/>
      <c r="B9" s="5" t="s">
        <v>27</v>
      </c>
      <c r="C9" s="9">
        <v>7.4999999999999997E-3</v>
      </c>
      <c r="D9" s="5" t="s">
        <v>28</v>
      </c>
      <c r="E9" s="12">
        <v>0.22</v>
      </c>
      <c r="F9" s="1"/>
      <c r="G9" s="6"/>
      <c r="H9" s="1" t="s">
        <v>33</v>
      </c>
      <c r="I9" s="3">
        <v>10080</v>
      </c>
      <c r="J9" s="6" t="s">
        <v>30</v>
      </c>
      <c r="K9" s="3">
        <v>8830</v>
      </c>
      <c r="L9" s="117"/>
      <c r="M9" s="117"/>
      <c r="N9" s="117"/>
    </row>
    <row r="10" spans="1:28" x14ac:dyDescent="0.45">
      <c r="A10" s="32"/>
      <c r="B10" s="5" t="s">
        <v>31</v>
      </c>
      <c r="C10" s="18">
        <f>7%</f>
        <v>7.0000000000000007E-2</v>
      </c>
      <c r="D10" s="5" t="s">
        <v>32</v>
      </c>
      <c r="E10" s="15">
        <v>6.5500000000000003E-2</v>
      </c>
      <c r="F10" s="6"/>
      <c r="G10" s="6"/>
      <c r="H10" s="1"/>
      <c r="I10" s="3"/>
      <c r="J10" s="1"/>
      <c r="K10" s="1"/>
      <c r="L10" s="117"/>
      <c r="M10" s="117"/>
      <c r="N10" s="117"/>
    </row>
    <row r="11" spans="1:28" x14ac:dyDescent="0.45">
      <c r="A11" s="32"/>
      <c r="B11" s="5" t="s">
        <v>34</v>
      </c>
      <c r="C11" s="12">
        <v>0.1</v>
      </c>
      <c r="D11" s="6" t="s">
        <v>35</v>
      </c>
      <c r="E11" s="11">
        <v>2.29E-2</v>
      </c>
      <c r="F11" s="1"/>
      <c r="G11" s="1"/>
      <c r="H11" s="1"/>
      <c r="I11" s="1"/>
      <c r="J11" s="1"/>
      <c r="K11" s="1"/>
      <c r="L11" s="116"/>
      <c r="M11" s="116"/>
      <c r="N11" s="116"/>
    </row>
    <row r="13" spans="1:28" x14ac:dyDescent="0.45">
      <c r="B13" s="48" t="s">
        <v>36</v>
      </c>
      <c r="G13" s="49"/>
    </row>
    <row r="14" spans="1:28" x14ac:dyDescent="0.45">
      <c r="B14" s="67"/>
      <c r="C14" s="67">
        <v>0</v>
      </c>
      <c r="D14" s="67">
        <v>1</v>
      </c>
      <c r="E14" s="67">
        <v>2</v>
      </c>
      <c r="F14" s="67">
        <v>3</v>
      </c>
      <c r="G14" s="67">
        <v>4</v>
      </c>
      <c r="H14" s="67">
        <v>5</v>
      </c>
      <c r="I14" s="67">
        <v>6</v>
      </c>
      <c r="J14" s="67">
        <v>7</v>
      </c>
      <c r="K14" s="67">
        <v>8</v>
      </c>
      <c r="L14" s="67">
        <v>9</v>
      </c>
      <c r="M14" s="67">
        <v>10</v>
      </c>
      <c r="N14" s="67">
        <v>11</v>
      </c>
      <c r="O14" s="67">
        <v>12</v>
      </c>
      <c r="P14" s="67">
        <v>13</v>
      </c>
      <c r="Q14" s="67">
        <v>14</v>
      </c>
      <c r="R14" s="67">
        <v>15</v>
      </c>
      <c r="S14" s="67">
        <v>16</v>
      </c>
      <c r="T14" s="67">
        <v>17</v>
      </c>
      <c r="U14" s="67">
        <v>18</v>
      </c>
      <c r="V14" s="67">
        <v>19</v>
      </c>
      <c r="W14" s="67">
        <v>20</v>
      </c>
      <c r="X14" s="67">
        <v>21</v>
      </c>
      <c r="Y14" s="67">
        <v>22</v>
      </c>
      <c r="Z14" s="67">
        <v>23</v>
      </c>
      <c r="AA14" s="67">
        <v>24</v>
      </c>
      <c r="AB14" s="67">
        <v>25</v>
      </c>
    </row>
    <row r="15" spans="1:28" x14ac:dyDescent="0.45">
      <c r="B15" s="109" t="s">
        <v>37</v>
      </c>
      <c r="C15" s="67">
        <v>2021</v>
      </c>
      <c r="D15" s="67">
        <v>2022</v>
      </c>
      <c r="E15" s="67">
        <v>2023</v>
      </c>
      <c r="F15" s="67">
        <v>2024</v>
      </c>
      <c r="G15" s="67">
        <v>2025</v>
      </c>
      <c r="H15" s="67">
        <v>2026</v>
      </c>
      <c r="I15" s="67">
        <v>2027</v>
      </c>
      <c r="J15" s="67">
        <v>2028</v>
      </c>
      <c r="K15" s="67">
        <v>2029</v>
      </c>
      <c r="L15" s="67">
        <v>2030</v>
      </c>
      <c r="M15" s="67">
        <v>2031</v>
      </c>
      <c r="N15" s="67">
        <v>2032</v>
      </c>
      <c r="O15" s="67">
        <v>2033</v>
      </c>
      <c r="P15" s="67">
        <v>2034</v>
      </c>
      <c r="Q15" s="67">
        <v>2035</v>
      </c>
      <c r="R15" s="67">
        <v>2036</v>
      </c>
      <c r="S15" s="67">
        <v>2037</v>
      </c>
      <c r="T15" s="67">
        <v>2038</v>
      </c>
      <c r="U15" s="67">
        <v>2039</v>
      </c>
      <c r="V15" s="67">
        <v>2040</v>
      </c>
      <c r="W15" s="67">
        <v>2041</v>
      </c>
      <c r="X15" s="67">
        <v>2042</v>
      </c>
      <c r="Y15" s="67">
        <v>2043</v>
      </c>
      <c r="Z15" s="67">
        <v>2044</v>
      </c>
      <c r="AA15" s="67">
        <v>2045</v>
      </c>
      <c r="AB15" s="67">
        <v>2046</v>
      </c>
    </row>
    <row r="16" spans="1:28" x14ac:dyDescent="0.45">
      <c r="B16" s="23" t="s">
        <v>38</v>
      </c>
      <c r="C16" s="51"/>
      <c r="D16" s="51">
        <f>'Innt. Base'!D45*(1+$C$4)^D14</f>
        <v>98570021.680000007</v>
      </c>
      <c r="E16" s="51">
        <f>'Innt. Base'!E45*(1+$C$4)^E14</f>
        <v>104740961.81120001</v>
      </c>
      <c r="F16" s="51">
        <f>'Innt. Base'!F45*(1+$C$4)^F14</f>
        <v>80277162.334720001</v>
      </c>
      <c r="G16" s="51">
        <f>'Innt. Base'!G45*(1+$C$4)^G14</f>
        <v>100275006.72024578</v>
      </c>
      <c r="H16" s="51">
        <f>'Innt. Base'!H45*(1+$C$4)^H14</f>
        <v>95582280.172932327</v>
      </c>
      <c r="I16" s="51">
        <f>'Innt. Base'!I45*(1+$C$4)^I14</f>
        <v>115894205.43090783</v>
      </c>
      <c r="J16" s="51">
        <f>'Innt. Base'!J45*(1+$C$4)^J14</f>
        <v>93051765.298200294</v>
      </c>
      <c r="K16" s="51">
        <f>'Innt. Base'!K45*(1+$C$4)^K14</f>
        <v>90211456.987877697</v>
      </c>
      <c r="L16" s="51">
        <f>'Innt. Base'!L45*(1+$C$4)^L14</f>
        <v>116015623.22813655</v>
      </c>
      <c r="M16" s="51">
        <f>'Innt. Base'!M45*(1+$C$4)^M14</f>
        <v>122313693.96577221</v>
      </c>
      <c r="N16" s="51">
        <f>'Innt. Base'!N45*(1+$C$4)^N14</f>
        <v>166808084.62039408</v>
      </c>
      <c r="O16" s="51">
        <f>'Innt. Base'!O45*(1+$C$4)^O14</f>
        <v>147461292.14334929</v>
      </c>
      <c r="P16" s="51">
        <f>'Innt. Base'!P45*(1+$C$4)^P14</f>
        <v>124487673.92077294</v>
      </c>
      <c r="Q16" s="51">
        <f>'Innt. Base'!Q45*(1+$C$4)^Q14</f>
        <v>143610757.35901597</v>
      </c>
      <c r="R16" s="51">
        <f>'Innt. Base'!R45*(1+$C$4)^R14</f>
        <v>153851931.07529372</v>
      </c>
      <c r="S16" s="51">
        <f>'Innt. Base'!S45*(1+$C$4)^S14</f>
        <v>175620551.00495926</v>
      </c>
      <c r="T16" s="51">
        <f>'Innt. Base'!T45*(1+$C$4)^T14</f>
        <v>204043021.03083348</v>
      </c>
      <c r="U16" s="51">
        <f>'Innt. Base'!U45*(1+$C$4)^U14</f>
        <v>162189967.69465736</v>
      </c>
      <c r="V16" s="51">
        <f>'Innt. Base'!V45*(1+$C$4)^V14</f>
        <v>162972718.1571075</v>
      </c>
      <c r="W16" s="51">
        <f>'Innt. Base'!W45*(1+$C$4)^W14</f>
        <v>187444414.68373841</v>
      </c>
      <c r="X16" s="51">
        <f>'Innt. Base'!X45*(1+$C$4)^X14</f>
        <v>194237562.00270799</v>
      </c>
      <c r="Y16" s="51">
        <f>'Innt. Base'!Y45*(1+$C$4)^Y14</f>
        <v>188997378.68741834</v>
      </c>
      <c r="Z16" s="51">
        <f>'Innt. Base'!Z45*(1+$C$4)^Z14</f>
        <v>186735927.09753698</v>
      </c>
      <c r="AA16" s="51">
        <f>'Innt. Base'!AA45*(1+$C$4)^AA14</f>
        <v>203706097.27035987</v>
      </c>
      <c r="AB16" s="51">
        <f>'Innt. Base'!AB45*(1+$C$4)^AB14</f>
        <v>190513518.9108817</v>
      </c>
    </row>
    <row r="17" spans="2:28" x14ac:dyDescent="0.45">
      <c r="B17" s="23" t="s">
        <v>39</v>
      </c>
      <c r="C17" s="51"/>
      <c r="D17" s="51">
        <f>Restråstoff!D97</f>
        <v>2416279.2536400012</v>
      </c>
      <c r="E17" s="51">
        <f>Restråstoff!E97</f>
        <v>3586053.1325547439</v>
      </c>
      <c r="F17" s="51">
        <f>Restråstoff!F97</f>
        <v>3796077.4245001306</v>
      </c>
      <c r="G17" s="51">
        <f>Restråstoff!G97</f>
        <v>4084853.8847148004</v>
      </c>
      <c r="H17" s="51">
        <f>Restråstoff!H97</f>
        <v>4069070.7195509225</v>
      </c>
      <c r="I17" s="51">
        <f>Restråstoff!I97</f>
        <v>4404550.2120037489</v>
      </c>
      <c r="J17" s="51">
        <f>Restråstoff!J97</f>
        <v>3967572.6065032785</v>
      </c>
      <c r="K17" s="51">
        <f>Restråstoff!K97</f>
        <v>3080345.0552473143</v>
      </c>
      <c r="L17" s="51">
        <f>Restråstoff!L97</f>
        <v>3304266.6088580452</v>
      </c>
      <c r="M17" s="51">
        <f>Restråstoff!M97</f>
        <v>2930299.547933626</v>
      </c>
      <c r="N17" s="51">
        <f>Restråstoff!N97</f>
        <v>3481504.0383743537</v>
      </c>
      <c r="O17" s="51">
        <f>Restråstoff!O97</f>
        <v>4341137.582384754</v>
      </c>
      <c r="P17" s="51">
        <f>Restråstoff!P97</f>
        <v>3833301.5103855915</v>
      </c>
      <c r="Q17" s="51">
        <f>Restråstoff!Q97</f>
        <v>4412354.9704282237</v>
      </c>
      <c r="R17" s="51">
        <f>Restråstoff!R97</f>
        <v>4492422.2093972331</v>
      </c>
      <c r="S17" s="51">
        <f>Restråstoff!S97</f>
        <v>3482102.990727935</v>
      </c>
      <c r="T17" s="51">
        <f>Restråstoff!T97</f>
        <v>3118475.1114539588</v>
      </c>
      <c r="U17" s="51">
        <f>Restråstoff!U97</f>
        <v>5407147.1627695877</v>
      </c>
      <c r="V17" s="51">
        <f>Restråstoff!V97</f>
        <v>3806883.1019942765</v>
      </c>
      <c r="W17" s="51">
        <f>Restråstoff!W97</f>
        <v>4992496.907568261</v>
      </c>
      <c r="X17" s="51">
        <f>Restråstoff!X97</f>
        <v>4573608.2614447325</v>
      </c>
      <c r="Y17" s="51">
        <f>Restråstoff!Y97</f>
        <v>5295466.6106445976</v>
      </c>
      <c r="Z17" s="51">
        <f>Restråstoff!Z97</f>
        <v>4121050.2788865855</v>
      </c>
      <c r="AA17" s="51">
        <f>Restråstoff!AA97</f>
        <v>4953089.3021079479</v>
      </c>
      <c r="AB17" s="51">
        <f>Restråstoff!AB97</f>
        <v>5138251.3149418849</v>
      </c>
    </row>
    <row r="18" spans="2:28" x14ac:dyDescent="0.45">
      <c r="B18" s="24" t="s">
        <v>40</v>
      </c>
      <c r="C18" s="51"/>
      <c r="D18" s="51">
        <f t="shared" ref="D18:AB18" si="0">SUM(D16:D17)</f>
        <v>100986300.93364</v>
      </c>
      <c r="E18" s="51">
        <f t="shared" si="0"/>
        <v>108327014.94375475</v>
      </c>
      <c r="F18" s="51">
        <f t="shared" si="0"/>
        <v>84073239.759220138</v>
      </c>
      <c r="G18" s="51">
        <f t="shared" si="0"/>
        <v>104359860.60496058</v>
      </c>
      <c r="H18" s="51">
        <f t="shared" si="0"/>
        <v>99651350.892483249</v>
      </c>
      <c r="I18" s="51">
        <f t="shared" si="0"/>
        <v>120298755.64291158</v>
      </c>
      <c r="J18" s="51">
        <f t="shared" si="0"/>
        <v>97019337.904703572</v>
      </c>
      <c r="K18" s="51">
        <f t="shared" si="0"/>
        <v>93291802.043125004</v>
      </c>
      <c r="L18" s="51">
        <f t="shared" si="0"/>
        <v>119319889.8369946</v>
      </c>
      <c r="M18" s="51">
        <f t="shared" si="0"/>
        <v>125243993.51370583</v>
      </c>
      <c r="N18" s="51">
        <f t="shared" si="0"/>
        <v>170289588.65876845</v>
      </c>
      <c r="O18" s="51">
        <f t="shared" si="0"/>
        <v>151802429.72573406</v>
      </c>
      <c r="P18" s="51">
        <f t="shared" si="0"/>
        <v>128320975.43115853</v>
      </c>
      <c r="Q18" s="51">
        <f t="shared" si="0"/>
        <v>148023112.3294442</v>
      </c>
      <c r="R18" s="51">
        <f t="shared" si="0"/>
        <v>158344353.28469095</v>
      </c>
      <c r="S18" s="51">
        <f t="shared" si="0"/>
        <v>179102653.99568719</v>
      </c>
      <c r="T18" s="51">
        <f t="shared" si="0"/>
        <v>207161496.14228743</v>
      </c>
      <c r="U18" s="51">
        <f t="shared" si="0"/>
        <v>167597114.85742694</v>
      </c>
      <c r="V18" s="51">
        <f t="shared" si="0"/>
        <v>166779601.25910178</v>
      </c>
      <c r="W18" s="51">
        <f t="shared" si="0"/>
        <v>192436911.59130669</v>
      </c>
      <c r="X18" s="51">
        <f t="shared" si="0"/>
        <v>198811170.26415271</v>
      </c>
      <c r="Y18" s="51">
        <f t="shared" si="0"/>
        <v>194292845.29806295</v>
      </c>
      <c r="Z18" s="51">
        <f t="shared" si="0"/>
        <v>190856977.37642357</v>
      </c>
      <c r="AA18" s="51">
        <f t="shared" si="0"/>
        <v>208659186.57246783</v>
      </c>
      <c r="AB18" s="51">
        <f t="shared" si="0"/>
        <v>195651770.22582358</v>
      </c>
    </row>
    <row r="19" spans="2:28" x14ac:dyDescent="0.45">
      <c r="B19" s="24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</row>
    <row r="20" spans="2:28" x14ac:dyDescent="0.45">
      <c r="B20" s="23" t="s">
        <v>41</v>
      </c>
      <c r="C20" s="5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2:28" x14ac:dyDescent="0.45">
      <c r="B21" s="25" t="s">
        <v>42</v>
      </c>
      <c r="C21" s="51"/>
      <c r="D21" s="51">
        <f>($I$9*$C$5)*(-$I$7*((1+$C$7)^D14))</f>
        <v>-7886040.6643199995</v>
      </c>
      <c r="E21" s="51">
        <f>($I$9*$C$5)*(-$I$7*((1+$C$7)^E14))</f>
        <v>-8616288.0298360325</v>
      </c>
      <c r="F21" s="51">
        <f>($I$9*$C$5)*(-$I$7*((1+$C$7)^F14))</f>
        <v>-9414156.3013988491</v>
      </c>
      <c r="G21" s="51">
        <f>($I$9*$C$5)*(-$I$7*((1+$C$7)^G14))</f>
        <v>-10285907.174908379</v>
      </c>
      <c r="H21" s="51">
        <f t="shared" ref="H21:Z21" si="1">($I$9*$C$5)*(-$I$8*(1+$C$3)^D14)</f>
        <v>-10493400.960000001</v>
      </c>
      <c r="I21" s="51">
        <f t="shared" si="1"/>
        <v>-10703268.9792</v>
      </c>
      <c r="J21" s="51">
        <f t="shared" si="1"/>
        <v>-10917334.358783998</v>
      </c>
      <c r="K21" s="51">
        <f t="shared" si="1"/>
        <v>-11135681.045959679</v>
      </c>
      <c r="L21" s="51">
        <f t="shared" si="1"/>
        <v>-11358394.666878873</v>
      </c>
      <c r="M21" s="51">
        <f t="shared" si="1"/>
        <v>-11585562.560216451</v>
      </c>
      <c r="N21" s="51">
        <f t="shared" si="1"/>
        <v>-11817273.811420778</v>
      </c>
      <c r="O21" s="51">
        <f t="shared" si="1"/>
        <v>-12053619.287649194</v>
      </c>
      <c r="P21" s="51">
        <f t="shared" si="1"/>
        <v>-12294691.673402177</v>
      </c>
      <c r="Q21" s="51">
        <f t="shared" si="1"/>
        <v>-12540585.506870221</v>
      </c>
      <c r="R21" s="51">
        <f t="shared" si="1"/>
        <v>-12791397.217007624</v>
      </c>
      <c r="S21" s="51">
        <f t="shared" si="1"/>
        <v>-13047225.161347779</v>
      </c>
      <c r="T21" s="51">
        <f t="shared" si="1"/>
        <v>-13308169.664574735</v>
      </c>
      <c r="U21" s="51">
        <f t="shared" si="1"/>
        <v>-13574333.057866231</v>
      </c>
      <c r="V21" s="51">
        <f t="shared" si="1"/>
        <v>-13845819.719023552</v>
      </c>
      <c r="W21" s="51">
        <f t="shared" si="1"/>
        <v>-14122736.113404024</v>
      </c>
      <c r="X21" s="51">
        <f t="shared" si="1"/>
        <v>-14405190.835672107</v>
      </c>
      <c r="Y21" s="51">
        <f t="shared" si="1"/>
        <v>-14693294.652385546</v>
      </c>
      <c r="Z21" s="51">
        <f t="shared" si="1"/>
        <v>-14987160.545433257</v>
      </c>
      <c r="AA21" s="51">
        <f>($I$9*$C$5)*(-$I$8*(1+$C$3)^W14)</f>
        <v>-15286903.756341923</v>
      </c>
      <c r="AB21" s="51">
        <f>($I$9*$C$5)*(-$I$8*(1+$C$3)^X14)</f>
        <v>-15592641.831468759</v>
      </c>
    </row>
    <row r="22" spans="2:28" x14ac:dyDescent="0.45">
      <c r="B22" s="25" t="s">
        <v>27</v>
      </c>
      <c r="C22" s="51"/>
      <c r="D22" s="51">
        <f t="shared" ref="D22:AB22" si="2">(D16*0.25)*-$C$9</f>
        <v>-184818.79065000001</v>
      </c>
      <c r="E22" s="51">
        <f t="shared" si="2"/>
        <v>-196389.303396</v>
      </c>
      <c r="F22" s="51">
        <f t="shared" si="2"/>
        <v>-150519.6793776</v>
      </c>
      <c r="G22" s="51">
        <f t="shared" si="2"/>
        <v>-188015.63760046082</v>
      </c>
      <c r="H22" s="51">
        <f t="shared" si="2"/>
        <v>-179216.7753242481</v>
      </c>
      <c r="I22" s="51">
        <f t="shared" si="2"/>
        <v>-217301.63518295219</v>
      </c>
      <c r="J22" s="51">
        <f t="shared" si="2"/>
        <v>-174472.05993412554</v>
      </c>
      <c r="K22" s="51">
        <f t="shared" si="2"/>
        <v>-169146.48185227066</v>
      </c>
      <c r="L22" s="51">
        <f t="shared" si="2"/>
        <v>-217529.29355275602</v>
      </c>
      <c r="M22" s="51">
        <f t="shared" si="2"/>
        <v>-229338.1761858229</v>
      </c>
      <c r="N22" s="51">
        <f t="shared" si="2"/>
        <v>-312765.15866323886</v>
      </c>
      <c r="O22" s="51">
        <f t="shared" si="2"/>
        <v>-276489.92276877991</v>
      </c>
      <c r="P22" s="51">
        <f t="shared" si="2"/>
        <v>-233414.38860144926</v>
      </c>
      <c r="Q22" s="51">
        <f t="shared" si="2"/>
        <v>-269270.17004815495</v>
      </c>
      <c r="R22" s="51">
        <f t="shared" si="2"/>
        <v>-288472.37076617574</v>
      </c>
      <c r="S22" s="51">
        <f t="shared" si="2"/>
        <v>-329288.53313429857</v>
      </c>
      <c r="T22" s="51">
        <f t="shared" si="2"/>
        <v>-382580.66443281277</v>
      </c>
      <c r="U22" s="51">
        <f t="shared" si="2"/>
        <v>-304106.18942748255</v>
      </c>
      <c r="V22" s="51">
        <f t="shared" si="2"/>
        <v>-305573.84654457658</v>
      </c>
      <c r="W22" s="51">
        <f t="shared" si="2"/>
        <v>-351458.27753200952</v>
      </c>
      <c r="X22" s="51">
        <f t="shared" si="2"/>
        <v>-364195.42875507748</v>
      </c>
      <c r="Y22" s="51">
        <f t="shared" si="2"/>
        <v>-354370.0850389094</v>
      </c>
      <c r="Z22" s="51">
        <f t="shared" si="2"/>
        <v>-350129.86330788181</v>
      </c>
      <c r="AA22" s="51">
        <f t="shared" si="2"/>
        <v>-381948.93238192477</v>
      </c>
      <c r="AB22" s="51">
        <f t="shared" si="2"/>
        <v>-357212.84795790317</v>
      </c>
    </row>
    <row r="23" spans="2:28" x14ac:dyDescent="0.45">
      <c r="B23" s="25" t="s">
        <v>43</v>
      </c>
      <c r="C23" s="51"/>
      <c r="D23" s="51">
        <f t="shared" ref="D23:AB23" si="3">D16*-$C$6</f>
        <v>-3794945.8346800003</v>
      </c>
      <c r="E23" s="51">
        <f t="shared" si="3"/>
        <v>-4032527.0297312001</v>
      </c>
      <c r="F23" s="51">
        <f t="shared" si="3"/>
        <v>-3090670.74988672</v>
      </c>
      <c r="G23" s="51">
        <f t="shared" si="3"/>
        <v>-3860587.7587294625</v>
      </c>
      <c r="H23" s="51">
        <f t="shared" si="3"/>
        <v>-3679917.7866578945</v>
      </c>
      <c r="I23" s="51">
        <f t="shared" si="3"/>
        <v>-4461926.9090899518</v>
      </c>
      <c r="J23" s="51">
        <f t="shared" si="3"/>
        <v>-3582492.9639807111</v>
      </c>
      <c r="K23" s="51">
        <f t="shared" si="3"/>
        <v>-3473141.0940332911</v>
      </c>
      <c r="L23" s="51">
        <f t="shared" si="3"/>
        <v>-4466601.4942832571</v>
      </c>
      <c r="M23" s="51">
        <f t="shared" si="3"/>
        <v>-4709077.2176822303</v>
      </c>
      <c r="N23" s="51">
        <f t="shared" si="3"/>
        <v>-6422111.257885172</v>
      </c>
      <c r="O23" s="51">
        <f t="shared" si="3"/>
        <v>-5677259.7475189473</v>
      </c>
      <c r="P23" s="51">
        <f t="shared" si="3"/>
        <v>-4792775.4459497584</v>
      </c>
      <c r="Q23" s="51">
        <f t="shared" si="3"/>
        <v>-5529014.1583221145</v>
      </c>
      <c r="R23" s="51">
        <f t="shared" si="3"/>
        <v>-5923299.3463988081</v>
      </c>
      <c r="S23" s="51">
        <f t="shared" si="3"/>
        <v>-6761391.213690931</v>
      </c>
      <c r="T23" s="51">
        <f t="shared" si="3"/>
        <v>-7855656.3096870892</v>
      </c>
      <c r="U23" s="51">
        <f t="shared" si="3"/>
        <v>-6244313.7562443083</v>
      </c>
      <c r="V23" s="51">
        <f t="shared" si="3"/>
        <v>-6274449.6490486385</v>
      </c>
      <c r="W23" s="51">
        <f t="shared" si="3"/>
        <v>-7216609.9653239287</v>
      </c>
      <c r="X23" s="51">
        <f t="shared" si="3"/>
        <v>-7478146.137104257</v>
      </c>
      <c r="Y23" s="51">
        <f t="shared" si="3"/>
        <v>-7276399.0794656062</v>
      </c>
      <c r="Z23" s="51">
        <f t="shared" si="3"/>
        <v>-7189333.193255174</v>
      </c>
      <c r="AA23" s="51">
        <f t="shared" si="3"/>
        <v>-7842684.7449088553</v>
      </c>
      <c r="AB23" s="51">
        <f t="shared" si="3"/>
        <v>-7334770.478068945</v>
      </c>
    </row>
    <row r="24" spans="2:28" x14ac:dyDescent="0.45">
      <c r="B24" s="25" t="s">
        <v>44</v>
      </c>
      <c r="C24" s="51"/>
      <c r="D24" s="51">
        <f t="shared" ref="D24:AB24" si="4">$I$3*(1+$C$3)^D14*-1</f>
        <v>-111998.04000000001</v>
      </c>
      <c r="E24" s="51">
        <f t="shared" si="4"/>
        <v>-114238.00079999999</v>
      </c>
      <c r="F24" s="51">
        <f t="shared" si="4"/>
        <v>-116522.76081599999</v>
      </c>
      <c r="G24" s="51">
        <f t="shared" si="4"/>
        <v>-118853.21603231999</v>
      </c>
      <c r="H24" s="51">
        <f t="shared" si="4"/>
        <v>-121230.28035296641</v>
      </c>
      <c r="I24" s="51">
        <f t="shared" si="4"/>
        <v>-123654.88596002574</v>
      </c>
      <c r="J24" s="51">
        <f t="shared" si="4"/>
        <v>-126127.98367922622</v>
      </c>
      <c r="K24" s="51">
        <f t="shared" si="4"/>
        <v>-128650.54335281075</v>
      </c>
      <c r="L24" s="51">
        <f t="shared" si="4"/>
        <v>-131223.55421986699</v>
      </c>
      <c r="M24" s="51">
        <f t="shared" si="4"/>
        <v>-133848.02530426433</v>
      </c>
      <c r="N24" s="51">
        <f t="shared" si="4"/>
        <v>-136524.98581034958</v>
      </c>
      <c r="O24" s="51">
        <f t="shared" si="4"/>
        <v>-139255.48552655659</v>
      </c>
      <c r="P24" s="51">
        <f t="shared" si="4"/>
        <v>-142040.59523708772</v>
      </c>
      <c r="Q24" s="51">
        <f t="shared" si="4"/>
        <v>-144881.40714182949</v>
      </c>
      <c r="R24" s="51">
        <f t="shared" si="4"/>
        <v>-147779.03528466602</v>
      </c>
      <c r="S24" s="51">
        <f t="shared" si="4"/>
        <v>-150734.61599035939</v>
      </c>
      <c r="T24" s="51">
        <f t="shared" si="4"/>
        <v>-153749.30831016658</v>
      </c>
      <c r="U24" s="51">
        <f t="shared" si="4"/>
        <v>-156824.29447636989</v>
      </c>
      <c r="V24" s="51">
        <f t="shared" si="4"/>
        <v>-159960.78036589728</v>
      </c>
      <c r="W24" s="51">
        <f t="shared" si="4"/>
        <v>-163159.99597321526</v>
      </c>
      <c r="X24" s="51">
        <f t="shared" si="4"/>
        <v>-166423.19589267953</v>
      </c>
      <c r="Y24" s="51">
        <f t="shared" si="4"/>
        <v>-169751.65981053314</v>
      </c>
      <c r="Z24" s="51">
        <f t="shared" si="4"/>
        <v>-173146.69300674376</v>
      </c>
      <c r="AA24" s="51">
        <f t="shared" si="4"/>
        <v>-176609.62686687865</v>
      </c>
      <c r="AB24" s="51">
        <f t="shared" si="4"/>
        <v>-180141.81940421622</v>
      </c>
    </row>
    <row r="25" spans="2:28" x14ac:dyDescent="0.45">
      <c r="B25" s="25" t="s">
        <v>45</v>
      </c>
      <c r="C25" s="51"/>
      <c r="D25" s="51">
        <f t="shared" ref="D25:AB25" si="5">D17*$C$8*-1</f>
        <v>-971585.88788864447</v>
      </c>
      <c r="E25" s="51">
        <f t="shared" si="5"/>
        <v>-1441951.9646002625</v>
      </c>
      <c r="F25" s="51">
        <f t="shared" si="5"/>
        <v>-1526402.7323915025</v>
      </c>
      <c r="G25" s="51">
        <f t="shared" si="5"/>
        <v>-1642519.7470438213</v>
      </c>
      <c r="H25" s="51">
        <f t="shared" si="5"/>
        <v>-1636173.3363314259</v>
      </c>
      <c r="I25" s="51">
        <f t="shared" si="5"/>
        <v>-1771069.6402467075</v>
      </c>
      <c r="J25" s="51">
        <f t="shared" si="5"/>
        <v>-1595360.9450749683</v>
      </c>
      <c r="K25" s="51">
        <f t="shared" si="5"/>
        <v>-1238606.7467149452</v>
      </c>
      <c r="L25" s="51">
        <f t="shared" si="5"/>
        <v>-1328645.6034218201</v>
      </c>
      <c r="M25" s="51">
        <f t="shared" si="5"/>
        <v>-1178273.448224111</v>
      </c>
      <c r="N25" s="51">
        <f t="shared" si="5"/>
        <v>-1399912.7738303277</v>
      </c>
      <c r="O25" s="51">
        <f t="shared" si="5"/>
        <v>-1745571.4218769097</v>
      </c>
      <c r="P25" s="51">
        <f t="shared" si="5"/>
        <v>-1541370.5373260465</v>
      </c>
      <c r="Q25" s="51">
        <f t="shared" si="5"/>
        <v>-1774207.9336091888</v>
      </c>
      <c r="R25" s="51">
        <f t="shared" si="5"/>
        <v>-1806402.9703986275</v>
      </c>
      <c r="S25" s="51">
        <f t="shared" si="5"/>
        <v>-1400153.6125717028</v>
      </c>
      <c r="T25" s="51">
        <f t="shared" si="5"/>
        <v>-1253938.8423156368</v>
      </c>
      <c r="U25" s="51">
        <f t="shared" si="5"/>
        <v>-2174213.8741496513</v>
      </c>
      <c r="V25" s="51">
        <f t="shared" si="5"/>
        <v>-1530747.6953118986</v>
      </c>
      <c r="W25" s="51">
        <f t="shared" si="5"/>
        <v>-2007483.0065331978</v>
      </c>
      <c r="X25" s="51">
        <f t="shared" si="5"/>
        <v>-1839047.881926927</v>
      </c>
      <c r="Y25" s="51">
        <f t="shared" si="5"/>
        <v>-2129307.1241401928</v>
      </c>
      <c r="Z25" s="51">
        <f t="shared" si="5"/>
        <v>-1657074.3171402961</v>
      </c>
      <c r="AA25" s="51">
        <f t="shared" si="5"/>
        <v>-1991637.208377606</v>
      </c>
      <c r="AB25" s="51">
        <f t="shared" si="5"/>
        <v>-2066090.8537381319</v>
      </c>
    </row>
    <row r="26" spans="2:28" x14ac:dyDescent="0.45">
      <c r="B26" s="25" t="s">
        <v>46</v>
      </c>
      <c r="C26" s="51"/>
      <c r="D26" s="51">
        <f t="shared" ref="D26:AB26" si="6">($I$4*$I$5*$C$5)*-1*(1+$C$3)^D14</f>
        <v>-1098416.3760000002</v>
      </c>
      <c r="E26" s="51">
        <f t="shared" si="6"/>
        <v>-1120384.70352</v>
      </c>
      <c r="F26" s="51">
        <f t="shared" si="6"/>
        <v>-1142792.3975904</v>
      </c>
      <c r="G26" s="51">
        <f t="shared" si="6"/>
        <v>-1165648.245542208</v>
      </c>
      <c r="H26" s="51">
        <f t="shared" si="6"/>
        <v>-1188961.2104530523</v>
      </c>
      <c r="I26" s="51">
        <f t="shared" si="6"/>
        <v>-1212740.4346621134</v>
      </c>
      <c r="J26" s="51">
        <f t="shared" si="6"/>
        <v>-1236995.2433553552</v>
      </c>
      <c r="K26" s="51">
        <f t="shared" si="6"/>
        <v>-1261735.1482224625</v>
      </c>
      <c r="L26" s="51">
        <f t="shared" si="6"/>
        <v>-1286969.8511869118</v>
      </c>
      <c r="M26" s="51">
        <f t="shared" si="6"/>
        <v>-1312709.2482106502</v>
      </c>
      <c r="N26" s="51">
        <f t="shared" si="6"/>
        <v>-1338963.4331748628</v>
      </c>
      <c r="O26" s="51">
        <f t="shared" si="6"/>
        <v>-1365742.7018383604</v>
      </c>
      <c r="P26" s="51">
        <f t="shared" si="6"/>
        <v>-1393057.5558751274</v>
      </c>
      <c r="Q26" s="51">
        <f t="shared" si="6"/>
        <v>-1420918.7069926301</v>
      </c>
      <c r="R26" s="51">
        <f t="shared" si="6"/>
        <v>-1449337.0811324823</v>
      </c>
      <c r="S26" s="51">
        <f t="shared" si="6"/>
        <v>-1478323.8227551323</v>
      </c>
      <c r="T26" s="51">
        <f t="shared" si="6"/>
        <v>-1507890.299210235</v>
      </c>
      <c r="U26" s="51">
        <f t="shared" si="6"/>
        <v>-1538048.1051944396</v>
      </c>
      <c r="V26" s="51">
        <f t="shared" si="6"/>
        <v>-1568809.0672983283</v>
      </c>
      <c r="W26" s="51">
        <f t="shared" si="6"/>
        <v>-1600185.2486442949</v>
      </c>
      <c r="X26" s="51">
        <f t="shared" si="6"/>
        <v>-1632188.9536171807</v>
      </c>
      <c r="Y26" s="51">
        <f t="shared" si="6"/>
        <v>-1664832.7326895245</v>
      </c>
      <c r="Z26" s="51">
        <f t="shared" si="6"/>
        <v>-1698129.3873433147</v>
      </c>
      <c r="AA26" s="51">
        <f t="shared" si="6"/>
        <v>-1732091.975090181</v>
      </c>
      <c r="AB26" s="51">
        <f t="shared" si="6"/>
        <v>-1766733.8145919847</v>
      </c>
    </row>
    <row r="27" spans="2:28" x14ac:dyDescent="0.45">
      <c r="B27" s="25" t="s">
        <v>47</v>
      </c>
      <c r="C27" s="51"/>
      <c r="D27" s="51">
        <f t="shared" ref="D27:AB27" si="7">D16*$E$10*-1</f>
        <v>-6456336.4200400012</v>
      </c>
      <c r="E27" s="51">
        <f t="shared" si="7"/>
        <v>-6860532.9986336008</v>
      </c>
      <c r="F27" s="51">
        <f t="shared" si="7"/>
        <v>-5258154.13292416</v>
      </c>
      <c r="G27" s="51">
        <f t="shared" si="7"/>
        <v>-6568012.9401760986</v>
      </c>
      <c r="H27" s="51">
        <f t="shared" si="7"/>
        <v>-6260639.3513270672</v>
      </c>
      <c r="I27" s="51">
        <f t="shared" si="7"/>
        <v>-7591070.4557244629</v>
      </c>
      <c r="J27" s="51">
        <f t="shared" si="7"/>
        <v>-6094890.6270321198</v>
      </c>
      <c r="K27" s="51">
        <f t="shared" si="7"/>
        <v>-5908850.4327059891</v>
      </c>
      <c r="L27" s="51">
        <f t="shared" si="7"/>
        <v>-7599023.3214429449</v>
      </c>
      <c r="M27" s="51">
        <f t="shared" si="7"/>
        <v>-8011546.9547580797</v>
      </c>
      <c r="N27" s="51">
        <f t="shared" si="7"/>
        <v>-10925929.542635813</v>
      </c>
      <c r="O27" s="51">
        <f t="shared" si="7"/>
        <v>-9658714.6353893783</v>
      </c>
      <c r="P27" s="51">
        <f t="shared" si="7"/>
        <v>-8153942.6418106277</v>
      </c>
      <c r="Q27" s="51">
        <f t="shared" si="7"/>
        <v>-9406504.6070155464</v>
      </c>
      <c r="R27" s="51">
        <f t="shared" si="7"/>
        <v>-10077301.485431738</v>
      </c>
      <c r="S27" s="51">
        <f t="shared" si="7"/>
        <v>-11503146.090824831</v>
      </c>
      <c r="T27" s="51">
        <f t="shared" si="7"/>
        <v>-13364817.877519595</v>
      </c>
      <c r="U27" s="51">
        <f t="shared" si="7"/>
        <v>-10623442.884000057</v>
      </c>
      <c r="V27" s="51">
        <f t="shared" si="7"/>
        <v>-10674713.039290542</v>
      </c>
      <c r="W27" s="51">
        <f t="shared" si="7"/>
        <v>-12277609.161784867</v>
      </c>
      <c r="X27" s="51">
        <f t="shared" si="7"/>
        <v>-12722560.311177373</v>
      </c>
      <c r="Y27" s="51">
        <f t="shared" si="7"/>
        <v>-12379328.304025901</v>
      </c>
      <c r="Z27" s="51">
        <f t="shared" si="7"/>
        <v>-12231203.224888673</v>
      </c>
      <c r="AA27" s="51">
        <f t="shared" si="7"/>
        <v>-13342749.371208573</v>
      </c>
      <c r="AB27" s="51">
        <f t="shared" si="7"/>
        <v>-12478635.488662751</v>
      </c>
    </row>
    <row r="28" spans="2:28" x14ac:dyDescent="0.45">
      <c r="B28" s="25" t="s">
        <v>48</v>
      </c>
      <c r="C28" s="51"/>
      <c r="D28" s="51">
        <f t="shared" ref="D28:AB28" si="8">($I$6*$I$5)*-1*(1+$C$3)^D14</f>
        <v>-290229.67799999996</v>
      </c>
      <c r="E28" s="51">
        <f t="shared" si="8"/>
        <v>-296034.27155999996</v>
      </c>
      <c r="F28" s="51">
        <f t="shared" si="8"/>
        <v>-301954.95699119993</v>
      </c>
      <c r="G28" s="51">
        <f t="shared" si="8"/>
        <v>-307994.05613102397</v>
      </c>
      <c r="H28" s="51">
        <f t="shared" si="8"/>
        <v>-314153.93725364446</v>
      </c>
      <c r="I28" s="51">
        <f t="shared" si="8"/>
        <v>-320437.01599871734</v>
      </c>
      <c r="J28" s="51">
        <f t="shared" si="8"/>
        <v>-326845.75631869165</v>
      </c>
      <c r="K28" s="51">
        <f t="shared" si="8"/>
        <v>-333382.67144506547</v>
      </c>
      <c r="L28" s="51">
        <f t="shared" si="8"/>
        <v>-340050.32487396681</v>
      </c>
      <c r="M28" s="51">
        <f t="shared" si="8"/>
        <v>-346851.33137144614</v>
      </c>
      <c r="N28" s="51">
        <f t="shared" si="8"/>
        <v>-353788.35799887503</v>
      </c>
      <c r="O28" s="51">
        <f t="shared" si="8"/>
        <v>-360864.12515885255</v>
      </c>
      <c r="P28" s="51">
        <f t="shared" si="8"/>
        <v>-368081.40766202961</v>
      </c>
      <c r="Q28" s="51">
        <f t="shared" si="8"/>
        <v>-375443.03581527021</v>
      </c>
      <c r="R28" s="51">
        <f t="shared" si="8"/>
        <v>-382951.89653157553</v>
      </c>
      <c r="S28" s="51">
        <f t="shared" si="8"/>
        <v>-390610.93446220708</v>
      </c>
      <c r="T28" s="51">
        <f t="shared" si="8"/>
        <v>-398423.15315145126</v>
      </c>
      <c r="U28" s="51">
        <f t="shared" si="8"/>
        <v>-406391.61621448025</v>
      </c>
      <c r="V28" s="51">
        <f t="shared" si="8"/>
        <v>-414519.44853876985</v>
      </c>
      <c r="W28" s="51">
        <f t="shared" si="8"/>
        <v>-422809.83750954526</v>
      </c>
      <c r="X28" s="51">
        <f t="shared" si="8"/>
        <v>-431266.03425973619</v>
      </c>
      <c r="Y28" s="51">
        <f t="shared" si="8"/>
        <v>-439891.35494493094</v>
      </c>
      <c r="Z28" s="51">
        <f t="shared" si="8"/>
        <v>-448689.18204382947</v>
      </c>
      <c r="AA28" s="51">
        <f t="shared" si="8"/>
        <v>-457662.96568470605</v>
      </c>
      <c r="AB28" s="51">
        <f t="shared" si="8"/>
        <v>-466816.2249984002</v>
      </c>
    </row>
    <row r="29" spans="2:28" x14ac:dyDescent="0.45">
      <c r="B29" s="25" t="s">
        <v>3</v>
      </c>
      <c r="C29" s="51"/>
      <c r="D29" s="51">
        <f>D16*$E$3*-1</f>
        <v>-660419.14525600011</v>
      </c>
      <c r="E29" s="51">
        <f>E16*$E$3*-1</f>
        <v>-701764.44413504004</v>
      </c>
      <c r="F29" s="51">
        <f t="shared" ref="F29:AB29" si="9">F16*$E$3*-1</f>
        <v>-537856.98764262407</v>
      </c>
      <c r="G29" s="51">
        <f t="shared" si="9"/>
        <v>-671842.54502564669</v>
      </c>
      <c r="H29" s="51">
        <f t="shared" si="9"/>
        <v>-640401.27715864661</v>
      </c>
      <c r="I29" s="51">
        <f t="shared" si="9"/>
        <v>-776491.17638708244</v>
      </c>
      <c r="J29" s="51">
        <f t="shared" si="9"/>
        <v>-623446.82749794202</v>
      </c>
      <c r="K29" s="51">
        <f t="shared" si="9"/>
        <v>-604416.76181878056</v>
      </c>
      <c r="L29" s="51">
        <f t="shared" si="9"/>
        <v>-777304.67562851496</v>
      </c>
      <c r="M29" s="51">
        <f t="shared" si="9"/>
        <v>-819501.7495706738</v>
      </c>
      <c r="N29" s="51">
        <f t="shared" si="9"/>
        <v>-1117614.1669566403</v>
      </c>
      <c r="O29" s="51">
        <f t="shared" si="9"/>
        <v>-987990.65736044024</v>
      </c>
      <c r="P29" s="51">
        <f t="shared" si="9"/>
        <v>-834067.41526917869</v>
      </c>
      <c r="Q29" s="51">
        <f t="shared" si="9"/>
        <v>-962192.074305407</v>
      </c>
      <c r="R29" s="51">
        <f t="shared" si="9"/>
        <v>-1030807.938204468</v>
      </c>
      <c r="S29" s="51">
        <f t="shared" si="9"/>
        <v>-1176657.6917332271</v>
      </c>
      <c r="T29" s="51">
        <f t="shared" si="9"/>
        <v>-1367088.2409065843</v>
      </c>
      <c r="U29" s="51">
        <f t="shared" si="9"/>
        <v>-1086672.7835542043</v>
      </c>
      <c r="V29" s="51">
        <f t="shared" si="9"/>
        <v>-1091917.2116526202</v>
      </c>
      <c r="W29" s="51">
        <f t="shared" si="9"/>
        <v>-1255877.5783810474</v>
      </c>
      <c r="X29" s="51">
        <f t="shared" si="9"/>
        <v>-1301391.6654181436</v>
      </c>
      <c r="Y29" s="51">
        <f t="shared" si="9"/>
        <v>-1266282.437205703</v>
      </c>
      <c r="Z29" s="51">
        <f t="shared" si="9"/>
        <v>-1251130.7115534977</v>
      </c>
      <c r="AA29" s="51">
        <f t="shared" si="9"/>
        <v>-1364830.8517114113</v>
      </c>
      <c r="AB29" s="51">
        <f t="shared" si="9"/>
        <v>-1276440.5767029074</v>
      </c>
    </row>
    <row r="30" spans="2:28" x14ac:dyDescent="0.45">
      <c r="B30" s="25" t="s">
        <v>49</v>
      </c>
      <c r="C30" s="51"/>
      <c r="D30" s="51">
        <f>D16*$E$4*-1</f>
        <v>-95612.921029600009</v>
      </c>
      <c r="E30" s="51">
        <f>E16*$E$4*-1</f>
        <v>-101598.73295686401</v>
      </c>
      <c r="F30" s="51">
        <f t="shared" ref="F30:AB30" si="10">F16*$E$4*-1</f>
        <v>-77868.847464678402</v>
      </c>
      <c r="G30" s="51">
        <f t="shared" si="10"/>
        <v>-97266.756518638416</v>
      </c>
      <c r="H30" s="51">
        <f t="shared" si="10"/>
        <v>-92714.811767744366</v>
      </c>
      <c r="I30" s="51">
        <f t="shared" si="10"/>
        <v>-112417.37926798061</v>
      </c>
      <c r="J30" s="51">
        <f t="shared" si="10"/>
        <v>-90260.212339254285</v>
      </c>
      <c r="K30" s="51">
        <f t="shared" si="10"/>
        <v>-87505.113278241377</v>
      </c>
      <c r="L30" s="51">
        <f t="shared" si="10"/>
        <v>-112535.15453129246</v>
      </c>
      <c r="M30" s="51">
        <f t="shared" si="10"/>
        <v>-118644.28314679905</v>
      </c>
      <c r="N30" s="51">
        <f t="shared" si="10"/>
        <v>-161803.84208178226</v>
      </c>
      <c r="O30" s="51">
        <f t="shared" si="10"/>
        <v>-143037.45337904882</v>
      </c>
      <c r="P30" s="51">
        <f t="shared" si="10"/>
        <v>-120753.04370314976</v>
      </c>
      <c r="Q30" s="51">
        <f t="shared" si="10"/>
        <v>-139302.4346382455</v>
      </c>
      <c r="R30" s="51">
        <f t="shared" si="10"/>
        <v>-149236.37314303493</v>
      </c>
      <c r="S30" s="51">
        <f t="shared" si="10"/>
        <v>-170351.93447481049</v>
      </c>
      <c r="T30" s="51">
        <f t="shared" si="10"/>
        <v>-197921.7303999085</v>
      </c>
      <c r="U30" s="51">
        <f t="shared" si="10"/>
        <v>-157324.26866381764</v>
      </c>
      <c r="V30" s="51">
        <f t="shared" si="10"/>
        <v>-158083.53661239429</v>
      </c>
      <c r="W30" s="51">
        <f t="shared" si="10"/>
        <v>-181821.08224322626</v>
      </c>
      <c r="X30" s="51">
        <f t="shared" si="10"/>
        <v>-188410.43514262675</v>
      </c>
      <c r="Y30" s="51">
        <f t="shared" si="10"/>
        <v>-183327.45732679579</v>
      </c>
      <c r="Z30" s="51">
        <f t="shared" si="10"/>
        <v>-181133.84928461089</v>
      </c>
      <c r="AA30" s="51">
        <f t="shared" si="10"/>
        <v>-197594.91435224909</v>
      </c>
      <c r="AB30" s="51">
        <f t="shared" si="10"/>
        <v>-184798.11334355525</v>
      </c>
    </row>
    <row r="31" spans="2:28" x14ac:dyDescent="0.45">
      <c r="B31" s="25" t="s">
        <v>50</v>
      </c>
      <c r="C31" s="51"/>
      <c r="D31" s="51">
        <f t="shared" ref="D31:AB31" si="11">($K$3*$C$5)*-1*(1+$C$3)^D14</f>
        <v>-597342.6</v>
      </c>
      <c r="E31" s="51">
        <f t="shared" si="11"/>
        <v>-609289.45200000005</v>
      </c>
      <c r="F31" s="51">
        <f t="shared" si="11"/>
        <v>-621475.24103999999</v>
      </c>
      <c r="G31" s="51">
        <f t="shared" si="11"/>
        <v>-633904.74586080003</v>
      </c>
      <c r="H31" s="51">
        <f t="shared" si="11"/>
        <v>-646582.84077801602</v>
      </c>
      <c r="I31" s="51">
        <f t="shared" si="11"/>
        <v>-659514.49759357632</v>
      </c>
      <c r="J31" s="51">
        <f t="shared" si="11"/>
        <v>-672704.7875454477</v>
      </c>
      <c r="K31" s="51">
        <f t="shared" si="11"/>
        <v>-686158.88329635677</v>
      </c>
      <c r="L31" s="51">
        <f t="shared" si="11"/>
        <v>-699882.06096228387</v>
      </c>
      <c r="M31" s="51">
        <f t="shared" si="11"/>
        <v>-713879.7021815296</v>
      </c>
      <c r="N31" s="51">
        <f t="shared" si="11"/>
        <v>-728157.29622516001</v>
      </c>
      <c r="O31" s="51">
        <f t="shared" si="11"/>
        <v>-742720.44214966334</v>
      </c>
      <c r="P31" s="51">
        <f t="shared" si="11"/>
        <v>-757574.85099265666</v>
      </c>
      <c r="Q31" s="51">
        <f t="shared" si="11"/>
        <v>-772726.34801250987</v>
      </c>
      <c r="R31" s="51">
        <f t="shared" si="11"/>
        <v>-788180.87497275975</v>
      </c>
      <c r="S31" s="51">
        <f t="shared" si="11"/>
        <v>-803944.49247221509</v>
      </c>
      <c r="T31" s="51">
        <f t="shared" si="11"/>
        <v>-820023.38232165948</v>
      </c>
      <c r="U31" s="51">
        <f t="shared" si="11"/>
        <v>-836423.84996809263</v>
      </c>
      <c r="V31" s="51">
        <f t="shared" si="11"/>
        <v>-853152.3269674544</v>
      </c>
      <c r="W31" s="51">
        <f t="shared" si="11"/>
        <v>-870215.37350680365</v>
      </c>
      <c r="X31" s="51">
        <f t="shared" si="11"/>
        <v>-887619.68097693962</v>
      </c>
      <c r="Y31" s="51">
        <f t="shared" si="11"/>
        <v>-905372.07459647849</v>
      </c>
      <c r="Z31" s="51">
        <f t="shared" si="11"/>
        <v>-923479.51608840784</v>
      </c>
      <c r="AA31" s="51">
        <f t="shared" si="11"/>
        <v>-941949.10641017603</v>
      </c>
      <c r="AB31" s="51">
        <f t="shared" si="11"/>
        <v>-960788.08853837952</v>
      </c>
    </row>
    <row r="32" spans="2:28" x14ac:dyDescent="0.45">
      <c r="B32" s="25" t="s">
        <v>12</v>
      </c>
      <c r="C32" s="51"/>
      <c r="D32" s="51">
        <f>D21*$E$5</f>
        <v>-135639.89942630398</v>
      </c>
      <c r="E32" s="51">
        <f>E21*$E$5</f>
        <v>-148200.15411317977</v>
      </c>
      <c r="F32" s="51">
        <f t="shared" ref="F32:AB32" si="12">F21*$E$5</f>
        <v>-161923.48838406021</v>
      </c>
      <c r="G32" s="51">
        <f t="shared" si="12"/>
        <v>-176917.60340842413</v>
      </c>
      <c r="H32" s="51">
        <f t="shared" si="12"/>
        <v>-180486.49651200001</v>
      </c>
      <c r="I32" s="51">
        <f t="shared" si="12"/>
        <v>-184096.22644224</v>
      </c>
      <c r="J32" s="51">
        <f t="shared" si="12"/>
        <v>-187778.15097108475</v>
      </c>
      <c r="K32" s="51">
        <f t="shared" si="12"/>
        <v>-191533.71399050648</v>
      </c>
      <c r="L32" s="51">
        <f t="shared" si="12"/>
        <v>-195364.38827031662</v>
      </c>
      <c r="M32" s="51">
        <f t="shared" si="12"/>
        <v>-199271.67603572295</v>
      </c>
      <c r="N32" s="51">
        <f t="shared" si="12"/>
        <v>-203257.10955643738</v>
      </c>
      <c r="O32" s="51">
        <f t="shared" si="12"/>
        <v>-207322.25174756613</v>
      </c>
      <c r="P32" s="51">
        <f t="shared" si="12"/>
        <v>-211468.69678251745</v>
      </c>
      <c r="Q32" s="51">
        <f t="shared" si="12"/>
        <v>-215698.07071816782</v>
      </c>
      <c r="R32" s="51">
        <f t="shared" si="12"/>
        <v>-220012.03213253114</v>
      </c>
      <c r="S32" s="51">
        <f t="shared" si="12"/>
        <v>-224412.2727751818</v>
      </c>
      <c r="T32" s="51">
        <f t="shared" si="12"/>
        <v>-228900.51823068544</v>
      </c>
      <c r="U32" s="51">
        <f t="shared" si="12"/>
        <v>-233478.52859529917</v>
      </c>
      <c r="V32" s="51">
        <f t="shared" si="12"/>
        <v>-238148.0991672051</v>
      </c>
      <c r="W32" s="51">
        <f t="shared" si="12"/>
        <v>-242911.06115054921</v>
      </c>
      <c r="X32" s="51">
        <f t="shared" si="12"/>
        <v>-247769.28237356024</v>
      </c>
      <c r="Y32" s="51">
        <f>Y21*$E$5</f>
        <v>-252724.66802103139</v>
      </c>
      <c r="Z32" s="51">
        <f t="shared" si="12"/>
        <v>-257779.16138145202</v>
      </c>
      <c r="AA32" s="51">
        <f t="shared" si="12"/>
        <v>-262934.74460908107</v>
      </c>
      <c r="AB32" s="51">
        <f t="shared" si="12"/>
        <v>-268193.43950126268</v>
      </c>
    </row>
    <row r="33" spans="2:28" x14ac:dyDescent="0.45">
      <c r="B33" s="26" t="s">
        <v>10</v>
      </c>
      <c r="C33" s="51"/>
      <c r="D33" s="51">
        <f t="shared" ref="D33:AB33" si="13">(-$K$4)*(1+$E$11)^D14</f>
        <v>-64121.509399999995</v>
      </c>
      <c r="E33" s="51">
        <f t="shared" si="13"/>
        <v>-65589.891965259987</v>
      </c>
      <c r="F33" s="51">
        <f t="shared" si="13"/>
        <v>-67091.90049126443</v>
      </c>
      <c r="G33" s="51">
        <f t="shared" si="13"/>
        <v>-68628.305012514378</v>
      </c>
      <c r="H33" s="51">
        <f t="shared" si="13"/>
        <v>-70199.893197300946</v>
      </c>
      <c r="I33" s="51">
        <f t="shared" si="13"/>
        <v>-71807.470751519126</v>
      </c>
      <c r="J33" s="51">
        <f t="shared" si="13"/>
        <v>-73451.861831728907</v>
      </c>
      <c r="K33" s="51">
        <f t="shared" si="13"/>
        <v>-75133.909467675476</v>
      </c>
      <c r="L33" s="51">
        <f t="shared" si="13"/>
        <v>-76854.475994485241</v>
      </c>
      <c r="M33" s="51">
        <f t="shared" si="13"/>
        <v>-78614.443494758947</v>
      </c>
      <c r="N33" s="51">
        <f t="shared" si="13"/>
        <v>-80414.714250788922</v>
      </c>
      <c r="O33" s="51">
        <f t="shared" si="13"/>
        <v>-82256.211207131972</v>
      </c>
      <c r="P33" s="51">
        <f t="shared" si="13"/>
        <v>-84139.878443775277</v>
      </c>
      <c r="Q33" s="51">
        <f t="shared" si="13"/>
        <v>-86066.681660137721</v>
      </c>
      <c r="R33" s="51">
        <f t="shared" si="13"/>
        <v>-88037.608670154863</v>
      </c>
      <c r="S33" s="51">
        <f t="shared" si="13"/>
        <v>-90053.669908701384</v>
      </c>
      <c r="T33" s="51">
        <f t="shared" si="13"/>
        <v>-92115.898949610637</v>
      </c>
      <c r="U33" s="51">
        <f t="shared" si="13"/>
        <v>-94225.353035556705</v>
      </c>
      <c r="V33" s="51">
        <f t="shared" si="13"/>
        <v>-96383.113620070944</v>
      </c>
      <c r="W33" s="51">
        <f t="shared" si="13"/>
        <v>-98590.286921970561</v>
      </c>
      <c r="X33" s="51">
        <f t="shared" si="13"/>
        <v>-100848.00449248367</v>
      </c>
      <c r="Y33" s="51">
        <f t="shared" si="13"/>
        <v>-103157.42379536154</v>
      </c>
      <c r="Z33" s="51">
        <f t="shared" si="13"/>
        <v>-105519.7288002753</v>
      </c>
      <c r="AA33" s="51">
        <f t="shared" si="13"/>
        <v>-107936.13058980157</v>
      </c>
      <c r="AB33" s="51">
        <f t="shared" si="13"/>
        <v>-110407.86798030802</v>
      </c>
    </row>
    <row r="34" spans="2:28" x14ac:dyDescent="0.45">
      <c r="B34" s="27" t="s">
        <v>51</v>
      </c>
      <c r="C34" s="51"/>
      <c r="D34" s="51">
        <f t="shared" ref="D34:AB34" si="14">SUM(D21:D33)</f>
        <v>-22347507.766690552</v>
      </c>
      <c r="E34" s="51">
        <f t="shared" si="14"/>
        <v>-24304788.977247439</v>
      </c>
      <c r="F34" s="51">
        <f t="shared" si="14"/>
        <v>-22467390.176399056</v>
      </c>
      <c r="G34" s="51">
        <f t="shared" si="14"/>
        <v>-25786098.731989797</v>
      </c>
      <c r="H34" s="51">
        <f t="shared" si="14"/>
        <v>-25504078.957114011</v>
      </c>
      <c r="I34" s="51">
        <f t="shared" si="14"/>
        <v>-28205796.706507333</v>
      </c>
      <c r="J34" s="51">
        <f t="shared" si="14"/>
        <v>-25702161.77834465</v>
      </c>
      <c r="K34" s="51">
        <f t="shared" si="14"/>
        <v>-25293942.546138074</v>
      </c>
      <c r="L34" s="51">
        <f t="shared" si="14"/>
        <v>-28590378.865247287</v>
      </c>
      <c r="M34" s="51">
        <f t="shared" si="14"/>
        <v>-29437118.816382542</v>
      </c>
      <c r="N34" s="51">
        <f t="shared" si="14"/>
        <v>-34998516.450490229</v>
      </c>
      <c r="O34" s="51">
        <f t="shared" si="14"/>
        <v>-33440844.343570836</v>
      </c>
      <c r="P34" s="51">
        <f t="shared" si="14"/>
        <v>-30927378.131055575</v>
      </c>
      <c r="Q34" s="51">
        <f t="shared" si="14"/>
        <v>-33636811.135149427</v>
      </c>
      <c r="R34" s="51">
        <f t="shared" si="14"/>
        <v>-35143216.230074637</v>
      </c>
      <c r="S34" s="51">
        <f t="shared" si="14"/>
        <v>-37526294.046141379</v>
      </c>
      <c r="T34" s="51">
        <f t="shared" si="14"/>
        <v>-40931275.890010156</v>
      </c>
      <c r="U34" s="51">
        <f t="shared" si="14"/>
        <v>-37429798.561389983</v>
      </c>
      <c r="V34" s="51">
        <f t="shared" si="14"/>
        <v>-37212277.533441953</v>
      </c>
      <c r="W34" s="51">
        <f t="shared" si="14"/>
        <v>-40811466.988908686</v>
      </c>
      <c r="X34" s="51">
        <f t="shared" si="14"/>
        <v>-41765057.846809097</v>
      </c>
      <c r="Y34" s="51">
        <f t="shared" si="14"/>
        <v>-41818039.053446509</v>
      </c>
      <c r="Z34" s="51">
        <f t="shared" si="14"/>
        <v>-41453909.373527415</v>
      </c>
      <c r="AA34" s="51">
        <f t="shared" si="14"/>
        <v>-44087534.328533359</v>
      </c>
      <c r="AB34" s="51">
        <f t="shared" si="14"/>
        <v>-43043671.444957502</v>
      </c>
    </row>
    <row r="35" spans="2:28" x14ac:dyDescent="0.45">
      <c r="B35" s="28" t="s">
        <v>52</v>
      </c>
      <c r="C35" s="51"/>
      <c r="D35" s="51">
        <f>SUM(D18:D33)</f>
        <v>78638793.166949466</v>
      </c>
      <c r="E35" s="51">
        <f t="shared" ref="E35:AB35" si="15">SUM(E18:E33)</f>
        <v>84022225.966507316</v>
      </c>
      <c r="F35" s="51">
        <f t="shared" si="15"/>
        <v>61605849.582821079</v>
      </c>
      <c r="G35" s="51">
        <f t="shared" si="15"/>
        <v>78573761.872970775</v>
      </c>
      <c r="H35" s="51">
        <f t="shared" si="15"/>
        <v>74147271.935369253</v>
      </c>
      <c r="I35" s="51">
        <f t="shared" si="15"/>
        <v>92092958.936404243</v>
      </c>
      <c r="J35" s="51">
        <f t="shared" si="15"/>
        <v>71317176.126358941</v>
      </c>
      <c r="K35" s="51">
        <f t="shared" si="15"/>
        <v>67997859.496986926</v>
      </c>
      <c r="L35" s="51">
        <f t="shared" si="15"/>
        <v>90729510.971747294</v>
      </c>
      <c r="M35" s="51">
        <f t="shared" si="15"/>
        <v>95806874.697323322</v>
      </c>
      <c r="N35" s="51">
        <f t="shared" si="15"/>
        <v>135291072.20827827</v>
      </c>
      <c r="O35" s="51">
        <f t="shared" si="15"/>
        <v>118361585.38216326</v>
      </c>
      <c r="P35" s="51">
        <f t="shared" si="15"/>
        <v>97393597.300102934</v>
      </c>
      <c r="Q35" s="51">
        <f t="shared" si="15"/>
        <v>114386301.19429481</v>
      </c>
      <c r="R35" s="51">
        <f t="shared" si="15"/>
        <v>123201137.0546163</v>
      </c>
      <c r="S35" s="51">
        <f t="shared" si="15"/>
        <v>141576359.94954577</v>
      </c>
      <c r="T35" s="51">
        <f t="shared" si="15"/>
        <v>166230220.25227723</v>
      </c>
      <c r="U35" s="51">
        <f t="shared" si="15"/>
        <v>130167316.29603694</v>
      </c>
      <c r="V35" s="51">
        <f t="shared" si="15"/>
        <v>129567323.72565988</v>
      </c>
      <c r="W35" s="51">
        <f t="shared" si="15"/>
        <v>151625444.60239795</v>
      </c>
      <c r="X35" s="51">
        <f t="shared" si="15"/>
        <v>157046112.41734362</v>
      </c>
      <c r="Y35" s="51">
        <f t="shared" si="15"/>
        <v>152474806.24461645</v>
      </c>
      <c r="Z35" s="51">
        <f t="shared" si="15"/>
        <v>149403068.00289616</v>
      </c>
      <c r="AA35" s="51">
        <f t="shared" si="15"/>
        <v>164571652.24393442</v>
      </c>
      <c r="AB35" s="51">
        <f t="shared" si="15"/>
        <v>152608098.78086609</v>
      </c>
    </row>
    <row r="36" spans="2:28" x14ac:dyDescent="0.45">
      <c r="B36" s="29"/>
      <c r="C36" s="51"/>
      <c r="D36" s="51"/>
      <c r="E36" s="51"/>
      <c r="F36" s="51"/>
      <c r="G36" s="50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</row>
    <row r="37" spans="2:28" x14ac:dyDescent="0.45">
      <c r="B37" s="23" t="s">
        <v>53</v>
      </c>
      <c r="C37" s="51"/>
      <c r="D37" s="51">
        <f>D35*$E$6*-1</f>
        <v>-3145551.7266779789</v>
      </c>
      <c r="E37" s="51">
        <f>E35*$E$6*-1</f>
        <v>-3360889.0386602925</v>
      </c>
      <c r="F37" s="51">
        <f>F35*$E$6*-1</f>
        <v>-2464233.9833128434</v>
      </c>
      <c r="G37" s="51">
        <f t="shared" ref="G37:AB37" si="16">G35*$E$6*-1</f>
        <v>-3142950.4749188311</v>
      </c>
      <c r="H37" s="51">
        <f t="shared" si="16"/>
        <v>-2965890.87741477</v>
      </c>
      <c r="I37" s="51">
        <f t="shared" si="16"/>
        <v>-3683718.35745617</v>
      </c>
      <c r="J37" s="51">
        <f t="shared" si="16"/>
        <v>-2852687.0450543575</v>
      </c>
      <c r="K37" s="51">
        <f t="shared" si="16"/>
        <v>-2719914.379879477</v>
      </c>
      <c r="L37" s="51">
        <f t="shared" si="16"/>
        <v>-3629180.4388698917</v>
      </c>
      <c r="M37" s="51">
        <f t="shared" si="16"/>
        <v>-3832274.9878929332</v>
      </c>
      <c r="N37" s="51">
        <f t="shared" si="16"/>
        <v>-5411642.8883311311</v>
      </c>
      <c r="O37" s="51">
        <f t="shared" si="16"/>
        <v>-4734463.4152865307</v>
      </c>
      <c r="P37" s="51">
        <f t="shared" si="16"/>
        <v>-3895743.8920041174</v>
      </c>
      <c r="Q37" s="51">
        <f t="shared" si="16"/>
        <v>-4575452.0477717929</v>
      </c>
      <c r="R37" s="51">
        <f t="shared" si="16"/>
        <v>-4928045.4821846522</v>
      </c>
      <c r="S37" s="51">
        <f t="shared" si="16"/>
        <v>-5663054.3979818309</v>
      </c>
      <c r="T37" s="51">
        <f t="shared" si="16"/>
        <v>-6649208.8100910895</v>
      </c>
      <c r="U37" s="51">
        <f t="shared" si="16"/>
        <v>-5206692.6518414775</v>
      </c>
      <c r="V37" s="51">
        <f t="shared" si="16"/>
        <v>-5182692.9490263956</v>
      </c>
      <c r="W37" s="51">
        <f t="shared" si="16"/>
        <v>-6065017.7840959178</v>
      </c>
      <c r="X37" s="51">
        <f t="shared" si="16"/>
        <v>-6281844.4966937453</v>
      </c>
      <c r="Y37" s="51">
        <f t="shared" si="16"/>
        <v>-6098992.2497846577</v>
      </c>
      <c r="Z37" s="51">
        <f t="shared" si="16"/>
        <v>-5976122.720115847</v>
      </c>
      <c r="AA37" s="51">
        <f t="shared" si="16"/>
        <v>-6582866.0897573773</v>
      </c>
      <c r="AB37" s="51">
        <f t="shared" si="16"/>
        <v>-6104323.9512346433</v>
      </c>
    </row>
    <row r="38" spans="2:28" x14ac:dyDescent="0.45">
      <c r="B38" s="23" t="s">
        <v>54</v>
      </c>
      <c r="C38" s="51"/>
      <c r="D38" s="51">
        <f>D35*$E$7*-1</f>
        <v>-28309965.540101808</v>
      </c>
      <c r="E38" s="51">
        <f>E35*$E$7*-1</f>
        <v>-30248001.347942632</v>
      </c>
      <c r="F38" s="51">
        <f t="shared" ref="F38:AB38" si="17">F35*$E$7*-1</f>
        <v>-22178105.849815588</v>
      </c>
      <c r="G38" s="51">
        <f t="shared" si="17"/>
        <v>-28286554.274269477</v>
      </c>
      <c r="H38" s="51">
        <f t="shared" si="17"/>
        <v>-26693017.89673293</v>
      </c>
      <c r="I38" s="51">
        <f t="shared" si="17"/>
        <v>-33153465.217105526</v>
      </c>
      <c r="J38" s="51">
        <f t="shared" si="17"/>
        <v>-25674183.405489217</v>
      </c>
      <c r="K38" s="51">
        <f t="shared" si="17"/>
        <v>-24479229.418915294</v>
      </c>
      <c r="L38" s="51">
        <f t="shared" si="17"/>
        <v>-32662623.949829023</v>
      </c>
      <c r="M38" s="51">
        <f t="shared" si="17"/>
        <v>-34490474.891036391</v>
      </c>
      <c r="N38" s="51">
        <f t="shared" si="17"/>
        <v>-48704785.994980171</v>
      </c>
      <c r="O38" s="51">
        <f t="shared" si="17"/>
        <v>-42610170.737578772</v>
      </c>
      <c r="P38" s="51">
        <f t="shared" si="17"/>
        <v>-35061695.028037056</v>
      </c>
      <c r="Q38" s="51">
        <f t="shared" si="17"/>
        <v>-41179068.429946132</v>
      </c>
      <c r="R38" s="51">
        <f t="shared" si="17"/>
        <v>-44352409.339661866</v>
      </c>
      <c r="S38" s="51">
        <f t="shared" si="17"/>
        <v>-50967489.581836477</v>
      </c>
      <c r="T38" s="51">
        <f t="shared" si="17"/>
        <v>-59842879.290819801</v>
      </c>
      <c r="U38" s="51">
        <f t="shared" si="17"/>
        <v>-46860233.866573296</v>
      </c>
      <c r="V38" s="51">
        <f t="shared" si="17"/>
        <v>-46644236.541237555</v>
      </c>
      <c r="W38" s="51">
        <f t="shared" si="17"/>
        <v>-54585160.056863256</v>
      </c>
      <c r="X38" s="51">
        <f t="shared" si="17"/>
        <v>-56536600.4702437</v>
      </c>
      <c r="Y38" s="51">
        <f t="shared" si="17"/>
        <v>-54890930.248061918</v>
      </c>
      <c r="Z38" s="51">
        <f t="shared" si="17"/>
        <v>-53785104.481042616</v>
      </c>
      <c r="AA38" s="51">
        <f t="shared" si="17"/>
        <v>-59245794.807816394</v>
      </c>
      <c r="AB38" s="51">
        <f t="shared" si="17"/>
        <v>-54938915.561111785</v>
      </c>
    </row>
    <row r="39" spans="2:28" x14ac:dyDescent="0.45">
      <c r="B39" s="24" t="s">
        <v>55</v>
      </c>
      <c r="C39" s="51"/>
      <c r="D39" s="51">
        <f>SUM(D37:D38)</f>
        <v>-31455517.266779788</v>
      </c>
      <c r="E39" s="51">
        <f t="shared" ref="E39:AB39" si="18">SUM(E37:E38)</f>
        <v>-33608890.386602923</v>
      </c>
      <c r="F39" s="51">
        <f t="shared" si="18"/>
        <v>-24642339.83312843</v>
      </c>
      <c r="G39" s="51">
        <f t="shared" si="18"/>
        <v>-31429504.749188308</v>
      </c>
      <c r="H39" s="51">
        <f t="shared" si="18"/>
        <v>-29658908.774147701</v>
      </c>
      <c r="I39" s="51">
        <f t="shared" si="18"/>
        <v>-36837183.5745617</v>
      </c>
      <c r="J39" s="51">
        <f t="shared" si="18"/>
        <v>-28526870.450543575</v>
      </c>
      <c r="K39" s="51">
        <f t="shared" si="18"/>
        <v>-27199143.798794772</v>
      </c>
      <c r="L39" s="51">
        <f t="shared" si="18"/>
        <v>-36291804.388698913</v>
      </c>
      <c r="M39" s="51">
        <f t="shared" si="18"/>
        <v>-38322749.878929324</v>
      </c>
      <c r="N39" s="51">
        <f t="shared" si="18"/>
        <v>-54116428.883311301</v>
      </c>
      <c r="O39" s="51">
        <f t="shared" si="18"/>
        <v>-47344634.152865306</v>
      </c>
      <c r="P39" s="51">
        <f t="shared" si="18"/>
        <v>-38957438.920041174</v>
      </c>
      <c r="Q39" s="51">
        <f t="shared" si="18"/>
        <v>-45754520.477717921</v>
      </c>
      <c r="R39" s="51">
        <f t="shared" si="18"/>
        <v>-49280454.821846515</v>
      </c>
      <c r="S39" s="51">
        <f t="shared" si="18"/>
        <v>-56630543.979818307</v>
      </c>
      <c r="T39" s="51">
        <f t="shared" si="18"/>
        <v>-66492088.100910887</v>
      </c>
      <c r="U39" s="51">
        <f t="shared" si="18"/>
        <v>-52066926.518414773</v>
      </c>
      <c r="V39" s="51">
        <f t="shared" si="18"/>
        <v>-51826929.490263954</v>
      </c>
      <c r="W39" s="51">
        <f t="shared" si="18"/>
        <v>-60650177.840959176</v>
      </c>
      <c r="X39" s="51">
        <f t="shared" si="18"/>
        <v>-62818444.966937445</v>
      </c>
      <c r="Y39" s="51">
        <f t="shared" si="18"/>
        <v>-60989922.497846574</v>
      </c>
      <c r="Z39" s="51">
        <f t="shared" si="18"/>
        <v>-59761227.201158464</v>
      </c>
      <c r="AA39" s="51">
        <f t="shared" si="18"/>
        <v>-65828660.897573769</v>
      </c>
      <c r="AB39" s="51">
        <f t="shared" si="18"/>
        <v>-61043239.512346432</v>
      </c>
    </row>
    <row r="40" spans="2:28" x14ac:dyDescent="0.45">
      <c r="B40" s="23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</row>
    <row r="41" spans="2:28" x14ac:dyDescent="0.45">
      <c r="B41" s="23" t="s">
        <v>56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</row>
    <row r="42" spans="2:28" x14ac:dyDescent="0.45">
      <c r="B42" s="25" t="s">
        <v>57</v>
      </c>
      <c r="C42" s="51"/>
      <c r="D42" s="51">
        <f t="shared" ref="D42:AB42" si="19">$K$7*$C$5*(1+$C$3)^D14*-1</f>
        <v>-1274661.3600000001</v>
      </c>
      <c r="E42" s="51">
        <f t="shared" si="19"/>
        <v>-1300154.5872</v>
      </c>
      <c r="F42" s="51">
        <f t="shared" si="19"/>
        <v>-1326157.6789439998</v>
      </c>
      <c r="G42" s="51">
        <f t="shared" si="19"/>
        <v>-1352680.8325228801</v>
      </c>
      <c r="H42" s="51">
        <f t="shared" si="19"/>
        <v>-1379734.4491733375</v>
      </c>
      <c r="I42" s="51">
        <f t="shared" si="19"/>
        <v>-1407329.1381568045</v>
      </c>
      <c r="J42" s="51">
        <f t="shared" si="19"/>
        <v>-1435475.7209199402</v>
      </c>
      <c r="K42" s="51">
        <f t="shared" si="19"/>
        <v>-1464185.2353383391</v>
      </c>
      <c r="L42" s="51">
        <f t="shared" si="19"/>
        <v>-1493468.940045106</v>
      </c>
      <c r="M42" s="51">
        <f t="shared" si="19"/>
        <v>-1523338.318846008</v>
      </c>
      <c r="N42" s="51">
        <f t="shared" si="19"/>
        <v>-1553805.0852229281</v>
      </c>
      <c r="O42" s="51">
        <f t="shared" si="19"/>
        <v>-1584881.1869273868</v>
      </c>
      <c r="P42" s="51">
        <f t="shared" si="19"/>
        <v>-1616578.8106659343</v>
      </c>
      <c r="Q42" s="51">
        <f t="shared" si="19"/>
        <v>-1648910.3868792532</v>
      </c>
      <c r="R42" s="51">
        <f t="shared" si="19"/>
        <v>-1681888.5946168378</v>
      </c>
      <c r="S42" s="51">
        <f t="shared" si="19"/>
        <v>-1715526.3665091749</v>
      </c>
      <c r="T42" s="51">
        <f t="shared" si="19"/>
        <v>-1749836.8938393586</v>
      </c>
      <c r="U42" s="51">
        <f t="shared" si="19"/>
        <v>-1784833.6317161457</v>
      </c>
      <c r="V42" s="51">
        <f t="shared" si="19"/>
        <v>-1820530.3043504683</v>
      </c>
      <c r="W42" s="51">
        <f t="shared" si="19"/>
        <v>-1856940.910437478</v>
      </c>
      <c r="X42" s="51">
        <f t="shared" si="19"/>
        <v>-1894079.7286462274</v>
      </c>
      <c r="Y42" s="51">
        <f t="shared" si="19"/>
        <v>-1931961.3232191522</v>
      </c>
      <c r="Z42" s="51">
        <f t="shared" si="19"/>
        <v>-1970600.5496835348</v>
      </c>
      <c r="AA42" s="51">
        <f t="shared" si="19"/>
        <v>-2010012.5606772054</v>
      </c>
      <c r="AB42" s="51">
        <f t="shared" si="19"/>
        <v>-2050212.8118907497</v>
      </c>
    </row>
    <row r="43" spans="2:28" x14ac:dyDescent="0.45">
      <c r="B43" s="25" t="s">
        <v>58</v>
      </c>
      <c r="C43" s="51"/>
      <c r="D43" s="51">
        <f t="shared" ref="D43:AB43" si="20">$K$8*$C$5*(1+$C$3)^D14*-1</f>
        <v>-2684489.04</v>
      </c>
      <c r="E43" s="51">
        <f t="shared" si="20"/>
        <v>-2738178.8207999999</v>
      </c>
      <c r="F43" s="51">
        <f t="shared" si="20"/>
        <v>-2792942.3972159997</v>
      </c>
      <c r="G43" s="51">
        <f t="shared" si="20"/>
        <v>-2848801.2451603198</v>
      </c>
      <c r="H43" s="51">
        <f t="shared" si="20"/>
        <v>-2905777.2700635265</v>
      </c>
      <c r="I43" s="51">
        <f t="shared" si="20"/>
        <v>-2963892.815464797</v>
      </c>
      <c r="J43" s="51">
        <f t="shared" si="20"/>
        <v>-3023170.6717740926</v>
      </c>
      <c r="K43" s="51">
        <f t="shared" si="20"/>
        <v>-3083634.0852095746</v>
      </c>
      <c r="L43" s="51">
        <f t="shared" si="20"/>
        <v>-3145306.766913766</v>
      </c>
      <c r="M43" s="51">
        <f t="shared" si="20"/>
        <v>-3208212.9022520413</v>
      </c>
      <c r="N43" s="51">
        <f t="shared" si="20"/>
        <v>-3272377.1602970818</v>
      </c>
      <c r="O43" s="51">
        <f t="shared" si="20"/>
        <v>-3337824.7035030238</v>
      </c>
      <c r="P43" s="51">
        <f t="shared" si="20"/>
        <v>-3404581.1975730839</v>
      </c>
      <c r="Q43" s="51">
        <f t="shared" si="20"/>
        <v>-3472672.821524546</v>
      </c>
      <c r="R43" s="51">
        <f t="shared" si="20"/>
        <v>-3542126.2779550361</v>
      </c>
      <c r="S43" s="51">
        <f t="shared" si="20"/>
        <v>-3612968.8035141374</v>
      </c>
      <c r="T43" s="51">
        <f t="shared" si="20"/>
        <v>-3685228.1795844208</v>
      </c>
      <c r="U43" s="51">
        <f t="shared" si="20"/>
        <v>-3758932.7431761087</v>
      </c>
      <c r="V43" s="51">
        <f t="shared" si="20"/>
        <v>-3834111.3980396306</v>
      </c>
      <c r="W43" s="51">
        <f t="shared" si="20"/>
        <v>-3910793.6260004235</v>
      </c>
      <c r="X43" s="51">
        <f t="shared" si="20"/>
        <v>-3989009.4985204316</v>
      </c>
      <c r="Y43" s="51">
        <f t="shared" si="20"/>
        <v>-4068789.6884908406</v>
      </c>
      <c r="Z43" s="51">
        <f t="shared" si="20"/>
        <v>-4150165.4822606565</v>
      </c>
      <c r="AA43" s="51">
        <f t="shared" si="20"/>
        <v>-4233168.7919058697</v>
      </c>
      <c r="AB43" s="51">
        <f t="shared" si="20"/>
        <v>-4317832.1677439874</v>
      </c>
    </row>
    <row r="44" spans="2:28" x14ac:dyDescent="0.45">
      <c r="B44" s="25" t="s">
        <v>59</v>
      </c>
      <c r="C44" s="51"/>
      <c r="D44" s="51">
        <f t="shared" ref="D44:AB44" si="21">$K$9*$C$5*(1+$C$3)^D14*-1</f>
        <v>-1459069.2</v>
      </c>
      <c r="E44" s="51">
        <f t="shared" si="21"/>
        <v>-1488250.584</v>
      </c>
      <c r="F44" s="51">
        <f t="shared" si="21"/>
        <v>-1518015.5956799998</v>
      </c>
      <c r="G44" s="51">
        <f t="shared" si="21"/>
        <v>-1548375.9075936</v>
      </c>
      <c r="H44" s="51">
        <f t="shared" si="21"/>
        <v>-1579343.4257454721</v>
      </c>
      <c r="I44" s="51">
        <f t="shared" si="21"/>
        <v>-1610930.2942603815</v>
      </c>
      <c r="J44" s="51">
        <f t="shared" si="21"/>
        <v>-1643148.9001455889</v>
      </c>
      <c r="K44" s="51">
        <f t="shared" si="21"/>
        <v>-1676011.8781485008</v>
      </c>
      <c r="L44" s="51">
        <f t="shared" si="21"/>
        <v>-1709532.1157114708</v>
      </c>
      <c r="M44" s="51">
        <f t="shared" si="21"/>
        <v>-1743722.7580257002</v>
      </c>
      <c r="N44" s="51">
        <f t="shared" si="21"/>
        <v>-1778597.213186214</v>
      </c>
      <c r="O44" s="51">
        <f t="shared" si="21"/>
        <v>-1814169.1574499386</v>
      </c>
      <c r="P44" s="51">
        <f t="shared" si="21"/>
        <v>-1850452.5405989371</v>
      </c>
      <c r="Q44" s="51">
        <f t="shared" si="21"/>
        <v>-1887461.5914109161</v>
      </c>
      <c r="R44" s="51">
        <f t="shared" si="21"/>
        <v>-1925210.8232391339</v>
      </c>
      <c r="S44" s="51">
        <f t="shared" si="21"/>
        <v>-1963715.039703917</v>
      </c>
      <c r="T44" s="51">
        <f t="shared" si="21"/>
        <v>-2002989.3404979955</v>
      </c>
      <c r="U44" s="51">
        <f t="shared" si="21"/>
        <v>-2043049.1273079552</v>
      </c>
      <c r="V44" s="51">
        <f t="shared" si="21"/>
        <v>-2083910.109854114</v>
      </c>
      <c r="W44" s="51">
        <f t="shared" si="21"/>
        <v>-2125588.3120511966</v>
      </c>
      <c r="X44" s="51">
        <f t="shared" si="21"/>
        <v>-2168100.0782922204</v>
      </c>
      <c r="Y44" s="51">
        <f t="shared" si="21"/>
        <v>-2211462.0798580651</v>
      </c>
      <c r="Z44" s="51">
        <f t="shared" si="21"/>
        <v>-2255691.3214552258</v>
      </c>
      <c r="AA44" s="51">
        <f t="shared" si="21"/>
        <v>-2300805.1478843302</v>
      </c>
      <c r="AB44" s="51">
        <f t="shared" si="21"/>
        <v>-2346821.2508420171</v>
      </c>
    </row>
    <row r="45" spans="2:28" x14ac:dyDescent="0.45">
      <c r="B45" s="25" t="s">
        <v>14</v>
      </c>
      <c r="C45" s="51"/>
      <c r="D45" s="51">
        <f t="shared" ref="D45:AB45" si="22">$K$5*(1+$C$3)^D14*-1</f>
        <v>-1711751.76</v>
      </c>
      <c r="E45" s="51">
        <f t="shared" si="22"/>
        <v>-1745986.7952000001</v>
      </c>
      <c r="F45" s="51">
        <f t="shared" si="22"/>
        <v>-1780906.5311039998</v>
      </c>
      <c r="G45" s="51">
        <f t="shared" si="22"/>
        <v>-1816524.6617260799</v>
      </c>
      <c r="H45" s="51">
        <f t="shared" si="22"/>
        <v>-1852855.1549606016</v>
      </c>
      <c r="I45" s="51">
        <f t="shared" si="22"/>
        <v>-1889912.2580598136</v>
      </c>
      <c r="J45" s="51">
        <f t="shared" si="22"/>
        <v>-1927710.5032210096</v>
      </c>
      <c r="K45" s="51">
        <f t="shared" si="22"/>
        <v>-1966264.7132854299</v>
      </c>
      <c r="L45" s="51">
        <f t="shared" si="22"/>
        <v>-2005590.0075511385</v>
      </c>
      <c r="M45" s="51">
        <f t="shared" si="22"/>
        <v>-2045701.8077021614</v>
      </c>
      <c r="N45" s="51">
        <f t="shared" si="22"/>
        <v>-2086615.8438562043</v>
      </c>
      <c r="O45" s="51">
        <f t="shared" si="22"/>
        <v>-2128348.1607333287</v>
      </c>
      <c r="P45" s="51">
        <f t="shared" si="22"/>
        <v>-2170915.1239479952</v>
      </c>
      <c r="Q45" s="51">
        <f t="shared" si="22"/>
        <v>-2214333.4264269555</v>
      </c>
      <c r="R45" s="51">
        <f t="shared" si="22"/>
        <v>-2258620.0949554937</v>
      </c>
      <c r="S45" s="51">
        <f t="shared" si="22"/>
        <v>-2303792.4968546042</v>
      </c>
      <c r="T45" s="51">
        <f t="shared" si="22"/>
        <v>-2349868.3467916963</v>
      </c>
      <c r="U45" s="51">
        <f t="shared" si="22"/>
        <v>-2396865.7137275301</v>
      </c>
      <c r="V45" s="51">
        <f t="shared" si="22"/>
        <v>-2444803.0280020805</v>
      </c>
      <c r="W45" s="51">
        <f t="shared" si="22"/>
        <v>-2493699.0885621225</v>
      </c>
      <c r="X45" s="51">
        <f t="shared" si="22"/>
        <v>-2543573.0703333644</v>
      </c>
      <c r="Y45" s="51">
        <f t="shared" si="22"/>
        <v>-2594444.5317400321</v>
      </c>
      <c r="Z45" s="51">
        <f t="shared" si="22"/>
        <v>-2646333.422374832</v>
      </c>
      <c r="AA45" s="51">
        <f t="shared" si="22"/>
        <v>-2699260.0908223288</v>
      </c>
      <c r="AB45" s="51">
        <f t="shared" si="22"/>
        <v>-2753245.2926387754</v>
      </c>
    </row>
    <row r="46" spans="2:28" x14ac:dyDescent="0.45">
      <c r="B46" s="25" t="s">
        <v>60</v>
      </c>
      <c r="C46" s="51"/>
      <c r="D46" s="51">
        <f>D17*$E$8*-1</f>
        <v>-173972.10626208008</v>
      </c>
      <c r="E46" s="51">
        <f t="shared" ref="E46:AB46" si="23">E17*$E$8*-1</f>
        <v>-258195.82554394155</v>
      </c>
      <c r="F46" s="51">
        <f t="shared" si="23"/>
        <v>-273317.57456400938</v>
      </c>
      <c r="G46" s="51">
        <f t="shared" si="23"/>
        <v>-294109.47969946562</v>
      </c>
      <c r="H46" s="51">
        <f t="shared" si="23"/>
        <v>-292973.09180766641</v>
      </c>
      <c r="I46" s="51">
        <f t="shared" si="23"/>
        <v>-317127.61526426987</v>
      </c>
      <c r="J46" s="51">
        <f t="shared" si="23"/>
        <v>-285665.22766823601</v>
      </c>
      <c r="K46" s="51">
        <f t="shared" si="23"/>
        <v>-221784.84397780662</v>
      </c>
      <c r="L46" s="51">
        <f t="shared" si="23"/>
        <v>-237907.19583777923</v>
      </c>
      <c r="M46" s="51">
        <f t="shared" si="23"/>
        <v>-210981.56745122105</v>
      </c>
      <c r="N46" s="51">
        <f t="shared" si="23"/>
        <v>-250668.29076295343</v>
      </c>
      <c r="O46" s="51">
        <f t="shared" si="23"/>
        <v>-312561.90593170229</v>
      </c>
      <c r="P46" s="51">
        <f t="shared" si="23"/>
        <v>-275997.70874776255</v>
      </c>
      <c r="Q46" s="51">
        <f t="shared" si="23"/>
        <v>-317689.5578708321</v>
      </c>
      <c r="R46" s="51">
        <f t="shared" si="23"/>
        <v>-323454.39907660073</v>
      </c>
      <c r="S46" s="51">
        <f t="shared" si="23"/>
        <v>-250711.4153324113</v>
      </c>
      <c r="T46" s="51">
        <f t="shared" si="23"/>
        <v>-224530.20802468501</v>
      </c>
      <c r="U46" s="51">
        <f t="shared" si="23"/>
        <v>-389314.59571941028</v>
      </c>
      <c r="V46" s="51">
        <f t="shared" si="23"/>
        <v>-274095.58334358787</v>
      </c>
      <c r="W46" s="51">
        <f t="shared" si="23"/>
        <v>-359459.77734491479</v>
      </c>
      <c r="X46" s="51">
        <f t="shared" si="23"/>
        <v>-329299.7948240207</v>
      </c>
      <c r="Y46" s="51">
        <f t="shared" si="23"/>
        <v>-381273.595966411</v>
      </c>
      <c r="Z46" s="51">
        <f t="shared" si="23"/>
        <v>-296715.62007983413</v>
      </c>
      <c r="AA46" s="51">
        <f t="shared" si="23"/>
        <v>-356622.4297517722</v>
      </c>
      <c r="AB46" s="51">
        <f t="shared" si="23"/>
        <v>-369954.09467581566</v>
      </c>
    </row>
    <row r="47" spans="2:28" x14ac:dyDescent="0.45">
      <c r="B47" s="28" t="s">
        <v>61</v>
      </c>
      <c r="C47" s="51"/>
      <c r="D47" s="51">
        <f>SUM(D42:D46)</f>
        <v>-7303943.4662620807</v>
      </c>
      <c r="E47" s="51">
        <f t="shared" ref="E47:AB47" si="24">SUM(E42:E46)</f>
        <v>-7530766.6127439421</v>
      </c>
      <c r="F47" s="51">
        <f t="shared" si="24"/>
        <v>-7691339.7775080083</v>
      </c>
      <c r="G47" s="51">
        <f t="shared" si="24"/>
        <v>-7860492.126702345</v>
      </c>
      <c r="H47" s="51">
        <f t="shared" si="24"/>
        <v>-8010683.3917506039</v>
      </c>
      <c r="I47" s="51">
        <f t="shared" si="24"/>
        <v>-8189192.1212060666</v>
      </c>
      <c r="J47" s="51">
        <f t="shared" si="24"/>
        <v>-8315171.023728868</v>
      </c>
      <c r="K47" s="51">
        <f t="shared" si="24"/>
        <v>-8411880.7559596524</v>
      </c>
      <c r="L47" s="51">
        <f t="shared" si="24"/>
        <v>-8591805.0260592606</v>
      </c>
      <c r="M47" s="51">
        <f t="shared" si="24"/>
        <v>-8731957.3542771321</v>
      </c>
      <c r="N47" s="51">
        <f t="shared" si="24"/>
        <v>-8942063.5933253802</v>
      </c>
      <c r="O47" s="51">
        <f t="shared" si="24"/>
        <v>-9177785.1145453788</v>
      </c>
      <c r="P47" s="51">
        <f t="shared" si="24"/>
        <v>-9318525.381533714</v>
      </c>
      <c r="Q47" s="51">
        <f t="shared" si="24"/>
        <v>-9541067.7841125019</v>
      </c>
      <c r="R47" s="51">
        <f t="shared" si="24"/>
        <v>-9731300.1898431033</v>
      </c>
      <c r="S47" s="51">
        <f t="shared" si="24"/>
        <v>-9846714.1219142452</v>
      </c>
      <c r="T47" s="51">
        <f t="shared" si="24"/>
        <v>-10012452.968738155</v>
      </c>
      <c r="U47" s="51">
        <f t="shared" si="24"/>
        <v>-10372995.811647149</v>
      </c>
      <c r="V47" s="51">
        <f t="shared" si="24"/>
        <v>-10457450.423589882</v>
      </c>
      <c r="W47" s="51">
        <f t="shared" si="24"/>
        <v>-10746481.714396136</v>
      </c>
      <c r="X47" s="51">
        <f t="shared" si="24"/>
        <v>-10924062.170616264</v>
      </c>
      <c r="Y47" s="51">
        <f t="shared" si="24"/>
        <v>-11187931.219274502</v>
      </c>
      <c r="Z47" s="51">
        <f t="shared" si="24"/>
        <v>-11319506.395854082</v>
      </c>
      <c r="AA47" s="51">
        <f t="shared" si="24"/>
        <v>-11599869.021041505</v>
      </c>
      <c r="AB47" s="51">
        <f t="shared" si="24"/>
        <v>-11838065.617791347</v>
      </c>
    </row>
    <row r="48" spans="2:28" x14ac:dyDescent="0.45">
      <c r="B48" s="29"/>
      <c r="C48" s="51"/>
      <c r="D48" s="51"/>
      <c r="E48" s="51"/>
      <c r="F48" s="51"/>
      <c r="G48" s="50"/>
      <c r="H48" s="50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</row>
    <row r="49" spans="2:28" x14ac:dyDescent="0.45">
      <c r="B49" s="28" t="s">
        <v>62</v>
      </c>
      <c r="C49" s="51"/>
      <c r="D49" s="51">
        <f>D47+D39+D34</f>
        <v>-61106968.49973242</v>
      </c>
      <c r="E49" s="51">
        <f t="shared" ref="E49:AB49" si="25">E47+E39+E34</f>
        <v>-65444445.976594307</v>
      </c>
      <c r="F49" s="51">
        <f t="shared" si="25"/>
        <v>-54801069.787035495</v>
      </c>
      <c r="G49" s="51">
        <f t="shared" si="25"/>
        <v>-65076095.607880443</v>
      </c>
      <c r="H49" s="51">
        <f t="shared" si="25"/>
        <v>-63173671.123012319</v>
      </c>
      <c r="I49" s="51">
        <f t="shared" si="25"/>
        <v>-73232172.4022751</v>
      </c>
      <c r="J49" s="51">
        <f t="shared" si="25"/>
        <v>-62544203.252617091</v>
      </c>
      <c r="K49" s="51">
        <f t="shared" si="25"/>
        <v>-60904967.100892499</v>
      </c>
      <c r="L49" s="51">
        <f t="shared" si="25"/>
        <v>-73473988.280005455</v>
      </c>
      <c r="M49" s="51">
        <f t="shared" si="25"/>
        <v>-76491826.049589008</v>
      </c>
      <c r="N49" s="51">
        <f t="shared" si="25"/>
        <v>-98057008.927126914</v>
      </c>
      <c r="O49" s="51">
        <f t="shared" si="25"/>
        <v>-89963263.610981524</v>
      </c>
      <c r="P49" s="51">
        <f t="shared" si="25"/>
        <v>-79203342.432630464</v>
      </c>
      <c r="Q49" s="51">
        <f t="shared" si="25"/>
        <v>-88932399.396979839</v>
      </c>
      <c r="R49" s="51">
        <f t="shared" si="25"/>
        <v>-94154971.241764247</v>
      </c>
      <c r="S49" s="51">
        <f t="shared" si="25"/>
        <v>-104003552.14787394</v>
      </c>
      <c r="T49" s="51">
        <f t="shared" si="25"/>
        <v>-117435816.95965919</v>
      </c>
      <c r="U49" s="51">
        <f t="shared" si="25"/>
        <v>-99869720.891451895</v>
      </c>
      <c r="V49" s="51">
        <f t="shared" si="25"/>
        <v>-99496657.447295785</v>
      </c>
      <c r="W49" s="51">
        <f t="shared" si="25"/>
        <v>-112208126.54426399</v>
      </c>
      <c r="X49" s="51">
        <f t="shared" si="25"/>
        <v>-115507564.98436281</v>
      </c>
      <c r="Y49" s="51">
        <f t="shared" si="25"/>
        <v>-113995892.7705676</v>
      </c>
      <c r="Z49" s="51">
        <f t="shared" si="25"/>
        <v>-112534642.97053996</v>
      </c>
      <c r="AA49" s="51">
        <f t="shared" si="25"/>
        <v>-121516064.24714863</v>
      </c>
      <c r="AB49" s="51">
        <f t="shared" si="25"/>
        <v>-115924976.57509527</v>
      </c>
    </row>
    <row r="50" spans="2:28" x14ac:dyDescent="0.45">
      <c r="B50" s="23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</row>
    <row r="51" spans="2:28" x14ac:dyDescent="0.45">
      <c r="B51" s="28" t="s">
        <v>63</v>
      </c>
      <c r="C51" s="51"/>
      <c r="D51" s="51">
        <f>D18+D49</f>
        <v>39879332.433907583</v>
      </c>
      <c r="E51" s="51">
        <f t="shared" ref="E51:AB51" si="26">E18+E49</f>
        <v>42882568.967160441</v>
      </c>
      <c r="F51" s="51">
        <f t="shared" si="26"/>
        <v>29272169.972184643</v>
      </c>
      <c r="G51" s="51">
        <f t="shared" si="26"/>
        <v>39283764.997080132</v>
      </c>
      <c r="H51" s="51">
        <f t="shared" si="26"/>
        <v>36477679.76947093</v>
      </c>
      <c r="I51" s="51">
        <f t="shared" si="26"/>
        <v>47066583.240636483</v>
      </c>
      <c r="J51" s="51">
        <f t="shared" si="26"/>
        <v>34475134.652086481</v>
      </c>
      <c r="K51" s="51">
        <f t="shared" si="26"/>
        <v>32386834.942232504</v>
      </c>
      <c r="L51" s="51">
        <f t="shared" si="26"/>
        <v>45845901.556989148</v>
      </c>
      <c r="M51" s="51">
        <f t="shared" si="26"/>
        <v>48752167.464116827</v>
      </c>
      <c r="N51" s="51">
        <f t="shared" si="26"/>
        <v>72232579.731641531</v>
      </c>
      <c r="O51" s="51">
        <f t="shared" si="26"/>
        <v>61839166.114752531</v>
      </c>
      <c r="P51" s="51">
        <f t="shared" si="26"/>
        <v>49117632.998528063</v>
      </c>
      <c r="Q51" s="51">
        <f t="shared" si="26"/>
        <v>59090712.932464361</v>
      </c>
      <c r="R51" s="51">
        <f t="shared" si="26"/>
        <v>64189382.042926699</v>
      </c>
      <c r="S51" s="51">
        <f t="shared" si="26"/>
        <v>75099101.847813249</v>
      </c>
      <c r="T51" s="51">
        <f t="shared" si="26"/>
        <v>89725679.182628244</v>
      </c>
      <c r="U51" s="51">
        <f t="shared" si="26"/>
        <v>67727393.965975046</v>
      </c>
      <c r="V51" s="51">
        <f t="shared" si="26"/>
        <v>67282943.811805993</v>
      </c>
      <c r="W51" s="51">
        <f t="shared" si="26"/>
        <v>80228785.047042698</v>
      </c>
      <c r="X51" s="51">
        <f t="shared" si="26"/>
        <v>83303605.279789895</v>
      </c>
      <c r="Y51" s="51">
        <f t="shared" si="26"/>
        <v>80296952.527495354</v>
      </c>
      <c r="Z51" s="51">
        <f t="shared" si="26"/>
        <v>78322334.40588361</v>
      </c>
      <c r="AA51" s="51">
        <f t="shared" si="26"/>
        <v>87143122.325319201</v>
      </c>
      <c r="AB51" s="51">
        <f t="shared" si="26"/>
        <v>79726793.650728315</v>
      </c>
    </row>
    <row r="52" spans="2:28" x14ac:dyDescent="0.45">
      <c r="B52" s="23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</row>
    <row r="53" spans="2:28" x14ac:dyDescent="0.45">
      <c r="B53" s="29" t="s">
        <v>64</v>
      </c>
      <c r="C53" s="51"/>
      <c r="D53" s="51">
        <f>C63*C10</f>
        <v>-28000000.000000004</v>
      </c>
      <c r="E53" s="51">
        <f>($C$63-SUM($D$53))*$C$10</f>
        <v>-26040000.000000004</v>
      </c>
      <c r="F53" s="51">
        <f>($C$63-SUM($D$53:$E$53))*$C$10</f>
        <v>-24217200.000000004</v>
      </c>
      <c r="G53" s="51">
        <f>($C$63-SUM($D$53:$F$53))*$C$10</f>
        <v>-22521996.000000004</v>
      </c>
      <c r="H53" s="51">
        <f>($C$63-SUM($D$53:$G$53))*$C$10</f>
        <v>-20945456.280000001</v>
      </c>
      <c r="I53" s="51">
        <f>($C$63-SUM($D$53:$H$53))*$C$10</f>
        <v>-19479274.340399999</v>
      </c>
      <c r="J53" s="51">
        <f>($C$63-SUM($D$53:$I$53))*$C$10</f>
        <v>-18115725.136572</v>
      </c>
      <c r="K53" s="51">
        <f>($C$63-SUM($D$53:$J$53))*$C$10</f>
        <v>-16847624.377011962</v>
      </c>
      <c r="L53" s="51">
        <f>($C$63-SUM($D$53:$K$53))*$C$10</f>
        <v>-15668290.670621123</v>
      </c>
      <c r="M53" s="51">
        <f>($C$63-SUM($D$53:$L$53))*$C$10</f>
        <v>-14571510.323677644</v>
      </c>
      <c r="N53" s="51">
        <f>($C$63-SUM($D$53:$M$53))*$C$10</f>
        <v>-13551504.601020211</v>
      </c>
      <c r="O53" s="51">
        <f>($C$63-SUM($D$53:$N$53))*$C$10</f>
        <v>-12602899.278948795</v>
      </c>
      <c r="P53" s="51">
        <f>($C$63-SUM($D$53:$O$53))*$C$10</f>
        <v>-11720696.329422381</v>
      </c>
      <c r="Q53" s="51">
        <f>($C$63-SUM($D$53:$P$53))*$C$10</f>
        <v>-10900247.586362813</v>
      </c>
      <c r="R53" s="51">
        <f>($C$63-SUM($D$53:$Q$53))*$C$10</f>
        <v>-10137230.255317416</v>
      </c>
      <c r="S53" s="51">
        <f>($C$63-SUM($D$53:$R$53))*$C$10</f>
        <v>-9427624.1374451965</v>
      </c>
      <c r="T53" s="51">
        <f>($C$63-SUM($D$53:$S$53))*$C$10</f>
        <v>-8767690.4478240348</v>
      </c>
      <c r="U53" s="51">
        <f>($C$63-SUM($D$53:$T$53))*$C$10</f>
        <v>-8153952.1164763505</v>
      </c>
      <c r="V53" s="51">
        <f>($C$63-SUM($D$53:$U$53))*$C$10</f>
        <v>-7583175.4683230054</v>
      </c>
      <c r="W53" s="51">
        <f>($C$63-SUM($D$53:$V$53))*$C$10</f>
        <v>-7052353.1855403958</v>
      </c>
      <c r="X53" s="51">
        <f>($C$63-SUM($D$53:$W$53))*$C$10</f>
        <v>-6558688.4625525689</v>
      </c>
      <c r="Y53" s="56">
        <f>($C$63-SUM($D$53:$X$53))*$C$10</f>
        <v>-6099580.2701738905</v>
      </c>
      <c r="Z53" s="51">
        <f>($C$63-SUM($D$53:$Y$53))*$C$10</f>
        <v>-5672609.6512617171</v>
      </c>
      <c r="AA53" s="51">
        <f>($C$63-SUM($D$53:$Z$53))*$C$10</f>
        <v>-5275526.9756733943</v>
      </c>
      <c r="AB53" s="51">
        <f>($C$63-SUM($D$53:$AA$53))*$C$10</f>
        <v>-4906240.0873762583</v>
      </c>
    </row>
    <row r="54" spans="2:28" x14ac:dyDescent="0.45">
      <c r="B54" s="29" t="s">
        <v>69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6"/>
      <c r="Z54" s="51"/>
      <c r="AA54" s="51"/>
      <c r="AB54" s="39">
        <f>5000000+($C$63-SUM($D$53:$AB$53))</f>
        <v>-60182904.017998874</v>
      </c>
    </row>
    <row r="55" spans="2:28" x14ac:dyDescent="0.45">
      <c r="B55" s="2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</row>
    <row r="56" spans="2:28" x14ac:dyDescent="0.45">
      <c r="B56" s="28" t="s">
        <v>66</v>
      </c>
      <c r="C56" s="51"/>
      <c r="D56" s="51">
        <f>SUM(D51:D55)</f>
        <v>11879332.43390758</v>
      </c>
      <c r="E56" s="51">
        <f t="shared" ref="E56:AB56" si="27">SUM(E51:E55)</f>
        <v>16842568.967160437</v>
      </c>
      <c r="F56" s="51">
        <f t="shared" si="27"/>
        <v>5054969.9721846394</v>
      </c>
      <c r="G56" s="51">
        <f t="shared" si="27"/>
        <v>16761768.997080129</v>
      </c>
      <c r="H56" s="51">
        <f t="shared" si="27"/>
        <v>15532223.489470929</v>
      </c>
      <c r="I56" s="51">
        <f t="shared" si="27"/>
        <v>27587308.900236484</v>
      </c>
      <c r="J56" s="51">
        <f t="shared" si="27"/>
        <v>16359409.515514482</v>
      </c>
      <c r="K56" s="51">
        <f t="shared" si="27"/>
        <v>15539210.565220542</v>
      </c>
      <c r="L56" s="51">
        <f t="shared" si="27"/>
        <v>30177610.886368025</v>
      </c>
      <c r="M56" s="51">
        <f t="shared" si="27"/>
        <v>34180657.140439183</v>
      </c>
      <c r="N56" s="51">
        <f t="shared" si="27"/>
        <v>58681075.130621321</v>
      </c>
      <c r="O56" s="51">
        <f t="shared" si="27"/>
        <v>49236266.835803732</v>
      </c>
      <c r="P56" s="51">
        <f t="shared" si="27"/>
        <v>37396936.669105679</v>
      </c>
      <c r="Q56" s="51">
        <f t="shared" si="27"/>
        <v>48190465.346101552</v>
      </c>
      <c r="R56" s="51">
        <f t="shared" si="27"/>
        <v>54052151.787609279</v>
      </c>
      <c r="S56" s="51">
        <f t="shared" si="27"/>
        <v>65671477.710368052</v>
      </c>
      <c r="T56" s="51">
        <f t="shared" si="27"/>
        <v>80957988.734804213</v>
      </c>
      <c r="U56" s="51">
        <f t="shared" si="27"/>
        <v>59573441.849498697</v>
      </c>
      <c r="V56" s="51">
        <f t="shared" si="27"/>
        <v>59699768.343482986</v>
      </c>
      <c r="W56" s="51">
        <f t="shared" si="27"/>
        <v>73176431.861502305</v>
      </c>
      <c r="X56" s="51">
        <f t="shared" si="27"/>
        <v>76744916.817237332</v>
      </c>
      <c r="Y56" s="51">
        <f t="shared" si="27"/>
        <v>74197372.257321462</v>
      </c>
      <c r="Z56" s="51">
        <f t="shared" si="27"/>
        <v>72649724.754621893</v>
      </c>
      <c r="AA56" s="51">
        <f t="shared" si="27"/>
        <v>81867595.349645808</v>
      </c>
      <c r="AB56" s="51">
        <f t="shared" si="27"/>
        <v>14637649.545353189</v>
      </c>
    </row>
    <row r="57" spans="2:28" x14ac:dyDescent="0.45">
      <c r="B57" s="23" t="s">
        <v>67</v>
      </c>
      <c r="C57" s="51"/>
      <c r="D57" s="51">
        <f>D56*$E$9*-1</f>
        <v>-2613453.1354596675</v>
      </c>
      <c r="E57" s="51">
        <f>E56*$E$9*-1</f>
        <v>-3705365.172775296</v>
      </c>
      <c r="F57" s="51">
        <f t="shared" ref="F57:AB57" si="28">F56*$E$9*-1</f>
        <v>-1112093.3938806206</v>
      </c>
      <c r="G57" s="51">
        <f t="shared" si="28"/>
        <v>-3687589.1793576283</v>
      </c>
      <c r="H57" s="51">
        <f t="shared" si="28"/>
        <v>-3417089.1676836042</v>
      </c>
      <c r="I57" s="51">
        <f t="shared" si="28"/>
        <v>-6069207.9580520261</v>
      </c>
      <c r="J57" s="51">
        <f t="shared" si="28"/>
        <v>-3599070.0934131858</v>
      </c>
      <c r="K57" s="51">
        <f t="shared" si="28"/>
        <v>-3418626.3243485191</v>
      </c>
      <c r="L57" s="51">
        <f t="shared" si="28"/>
        <v>-6639074.3950009653</v>
      </c>
      <c r="M57" s="51">
        <f t="shared" si="28"/>
        <v>-7519744.5708966199</v>
      </c>
      <c r="N57" s="51">
        <f t="shared" si="28"/>
        <v>-12909836.52873669</v>
      </c>
      <c r="O57" s="51">
        <f t="shared" si="28"/>
        <v>-10831978.703876821</v>
      </c>
      <c r="P57" s="51">
        <f t="shared" si="28"/>
        <v>-8227326.0672032498</v>
      </c>
      <c r="Q57" s="51">
        <f t="shared" si="28"/>
        <v>-10601902.376142342</v>
      </c>
      <c r="R57" s="51">
        <f t="shared" si="28"/>
        <v>-11891473.393274041</v>
      </c>
      <c r="S57" s="51">
        <f t="shared" si="28"/>
        <v>-14447725.096280972</v>
      </c>
      <c r="T57" s="51">
        <f t="shared" si="28"/>
        <v>-17810757.521656927</v>
      </c>
      <c r="U57" s="51">
        <f t="shared" si="28"/>
        <v>-13106157.206889713</v>
      </c>
      <c r="V57" s="51">
        <f t="shared" si="28"/>
        <v>-13133949.035566257</v>
      </c>
      <c r="W57" s="51">
        <f t="shared" si="28"/>
        <v>-16098815.009530507</v>
      </c>
      <c r="X57" s="51">
        <f t="shared" si="28"/>
        <v>-16883881.699792214</v>
      </c>
      <c r="Y57" s="51">
        <f t="shared" si="28"/>
        <v>-16323421.896610722</v>
      </c>
      <c r="Z57" s="51">
        <f t="shared" si="28"/>
        <v>-15982939.446016816</v>
      </c>
      <c r="AA57" s="51">
        <f t="shared" si="28"/>
        <v>-18010870.976922076</v>
      </c>
      <c r="AB57" s="51">
        <f t="shared" si="28"/>
        <v>-3220282.8999777017</v>
      </c>
    </row>
    <row r="58" spans="2:28" ht="16.3" thickBot="1" x14ac:dyDescent="0.5">
      <c r="B58" s="30" t="s">
        <v>68</v>
      </c>
      <c r="C58" s="57"/>
      <c r="D58" s="57">
        <f>SUM(D56:D57)</f>
        <v>9265879.2984479126</v>
      </c>
      <c r="E58" s="57">
        <f t="shared" ref="E58:AB58" si="29">SUM(E56:E57)</f>
        <v>13137203.794385141</v>
      </c>
      <c r="F58" s="57">
        <f t="shared" si="29"/>
        <v>3942876.5783040188</v>
      </c>
      <c r="G58" s="57">
        <f t="shared" si="29"/>
        <v>13074179.817722499</v>
      </c>
      <c r="H58" s="57">
        <f t="shared" si="29"/>
        <v>12115134.321787324</v>
      </c>
      <c r="I58" s="57">
        <f t="shared" si="29"/>
        <v>21518100.942184456</v>
      </c>
      <c r="J58" s="57">
        <f t="shared" si="29"/>
        <v>12760339.422101296</v>
      </c>
      <c r="K58" s="57">
        <f t="shared" si="29"/>
        <v>12120584.240872024</v>
      </c>
      <c r="L58" s="57">
        <f t="shared" si="29"/>
        <v>23538536.491367061</v>
      </c>
      <c r="M58" s="57">
        <f t="shared" si="29"/>
        <v>26660912.569542564</v>
      </c>
      <c r="N58" s="57">
        <f t="shared" si="29"/>
        <v>45771238.601884633</v>
      </c>
      <c r="O58" s="57">
        <f t="shared" si="29"/>
        <v>38404288.131926909</v>
      </c>
      <c r="P58" s="57">
        <f t="shared" si="29"/>
        <v>29169610.601902429</v>
      </c>
      <c r="Q58" s="57">
        <f t="shared" si="29"/>
        <v>37588562.969959214</v>
      </c>
      <c r="R58" s="57">
        <f t="shared" si="29"/>
        <v>42160678.39433524</v>
      </c>
      <c r="S58" s="57">
        <f t="shared" si="29"/>
        <v>51223752.614087082</v>
      </c>
      <c r="T58" s="57">
        <f t="shared" si="29"/>
        <v>63147231.213147283</v>
      </c>
      <c r="U58" s="57">
        <f t="shared" si="29"/>
        <v>46467284.642608985</v>
      </c>
      <c r="V58" s="57">
        <f t="shared" si="29"/>
        <v>46565819.307916731</v>
      </c>
      <c r="W58" s="57">
        <f t="shared" si="29"/>
        <v>57077616.851971798</v>
      </c>
      <c r="X58" s="57">
        <f t="shared" si="29"/>
        <v>59861035.117445119</v>
      </c>
      <c r="Y58" s="57">
        <f t="shared" si="29"/>
        <v>57873950.36071074</v>
      </c>
      <c r="Z58" s="57">
        <f t="shared" si="29"/>
        <v>56666785.308605075</v>
      </c>
      <c r="AA58" s="57">
        <f t="shared" si="29"/>
        <v>63856724.372723728</v>
      </c>
      <c r="AB58" s="57">
        <f t="shared" si="29"/>
        <v>11417366.645375486</v>
      </c>
    </row>
    <row r="59" spans="2:28" x14ac:dyDescent="0.45">
      <c r="B59" s="23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</row>
    <row r="60" spans="2:28" x14ac:dyDescent="0.45">
      <c r="B60" s="23" t="s">
        <v>64</v>
      </c>
      <c r="C60" s="51"/>
      <c r="D60" s="51">
        <f t="shared" ref="D60:AB60" si="30">D53*-1</f>
        <v>28000000.000000004</v>
      </c>
      <c r="E60" s="51">
        <f t="shared" si="30"/>
        <v>26040000.000000004</v>
      </c>
      <c r="F60" s="51">
        <f t="shared" si="30"/>
        <v>24217200.000000004</v>
      </c>
      <c r="G60" s="51">
        <f t="shared" si="30"/>
        <v>22521996.000000004</v>
      </c>
      <c r="H60" s="51">
        <f t="shared" si="30"/>
        <v>20945456.280000001</v>
      </c>
      <c r="I60" s="51">
        <f t="shared" si="30"/>
        <v>19479274.340399999</v>
      </c>
      <c r="J60" s="51">
        <f t="shared" si="30"/>
        <v>18115725.136572</v>
      </c>
      <c r="K60" s="51">
        <f t="shared" si="30"/>
        <v>16847624.377011962</v>
      </c>
      <c r="L60" s="51">
        <f t="shared" si="30"/>
        <v>15668290.670621123</v>
      </c>
      <c r="M60" s="51">
        <f t="shared" si="30"/>
        <v>14571510.323677644</v>
      </c>
      <c r="N60" s="51">
        <f t="shared" si="30"/>
        <v>13551504.601020211</v>
      </c>
      <c r="O60" s="51">
        <f t="shared" si="30"/>
        <v>12602899.278948795</v>
      </c>
      <c r="P60" s="51">
        <f t="shared" si="30"/>
        <v>11720696.329422381</v>
      </c>
      <c r="Q60" s="51">
        <f t="shared" si="30"/>
        <v>10900247.586362813</v>
      </c>
      <c r="R60" s="51">
        <f t="shared" si="30"/>
        <v>10137230.255317416</v>
      </c>
      <c r="S60" s="51">
        <f t="shared" si="30"/>
        <v>9427624.1374451965</v>
      </c>
      <c r="T60" s="51">
        <f t="shared" si="30"/>
        <v>8767690.4478240348</v>
      </c>
      <c r="U60" s="51">
        <f t="shared" si="30"/>
        <v>8153952.1164763505</v>
      </c>
      <c r="V60" s="51">
        <f t="shared" si="30"/>
        <v>7583175.4683230054</v>
      </c>
      <c r="W60" s="51">
        <f t="shared" si="30"/>
        <v>7052353.1855403958</v>
      </c>
      <c r="X60" s="51">
        <f t="shared" si="30"/>
        <v>6558688.4625525689</v>
      </c>
      <c r="Y60" s="51">
        <f t="shared" si="30"/>
        <v>6099580.2701738905</v>
      </c>
      <c r="Z60" s="51">
        <f t="shared" si="30"/>
        <v>5672609.6512617171</v>
      </c>
      <c r="AA60" s="51">
        <f t="shared" si="30"/>
        <v>5275526.9756733943</v>
      </c>
      <c r="AB60" s="51">
        <f t="shared" si="30"/>
        <v>4906240.0873762583</v>
      </c>
    </row>
    <row r="61" spans="2:28" x14ac:dyDescent="0.45">
      <c r="B61" s="23" t="s">
        <v>69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>
        <f>-AB54</f>
        <v>60182904.017998874</v>
      </c>
    </row>
    <row r="62" spans="2:28" x14ac:dyDescent="0.45">
      <c r="B62" s="23" t="s">
        <v>70</v>
      </c>
      <c r="C62" s="51">
        <f t="shared" ref="C62:AB62" si="31">(C18-D18)*$C$11</f>
        <v>-10098630.093364</v>
      </c>
      <c r="D62" s="51">
        <f t="shared" si="31"/>
        <v>-734071.40101147443</v>
      </c>
      <c r="E62" s="51">
        <f t="shared" si="31"/>
        <v>2425377.5184534611</v>
      </c>
      <c r="F62" s="51">
        <f t="shared" si="31"/>
        <v>-2028662.0845740438</v>
      </c>
      <c r="G62" s="51">
        <f t="shared" si="31"/>
        <v>470850.97124773264</v>
      </c>
      <c r="H62" s="51">
        <f t="shared" si="31"/>
        <v>-2064740.4750428335</v>
      </c>
      <c r="I62" s="51">
        <f t="shared" si="31"/>
        <v>2327941.7738208012</v>
      </c>
      <c r="J62" s="51">
        <f t="shared" si="31"/>
        <v>372753.58615785692</v>
      </c>
      <c r="K62" s="51">
        <f t="shared" si="31"/>
        <v>-2602808.77938696</v>
      </c>
      <c r="L62" s="51">
        <f t="shared" si="31"/>
        <v>-592410.36767112312</v>
      </c>
      <c r="M62" s="51">
        <f t="shared" si="31"/>
        <v>-4504559.5145062609</v>
      </c>
      <c r="N62" s="51">
        <f t="shared" si="31"/>
        <v>1848715.893303439</v>
      </c>
      <c r="O62" s="51">
        <f t="shared" si="31"/>
        <v>2348145.4294575527</v>
      </c>
      <c r="P62" s="51">
        <f t="shared" si="31"/>
        <v>-1970213.6898285672</v>
      </c>
      <c r="Q62" s="51">
        <f t="shared" si="31"/>
        <v>-1032124.0955246747</v>
      </c>
      <c r="R62" s="51">
        <f t="shared" si="31"/>
        <v>-2075830.071099624</v>
      </c>
      <c r="S62" s="51">
        <f t="shared" si="31"/>
        <v>-2805884.2146600247</v>
      </c>
      <c r="T62" s="51">
        <f t="shared" si="31"/>
        <v>3956438.1284860494</v>
      </c>
      <c r="U62" s="51">
        <f t="shared" si="31"/>
        <v>81751.359832516318</v>
      </c>
      <c r="V62" s="51">
        <f t="shared" si="31"/>
        <v>-2565731.0332204909</v>
      </c>
      <c r="W62" s="51">
        <f t="shared" si="31"/>
        <v>-637425.86728460202</v>
      </c>
      <c r="X62" s="51">
        <f t="shared" si="31"/>
        <v>451832.49660897558</v>
      </c>
      <c r="Y62" s="51">
        <f t="shared" si="31"/>
        <v>343586.79216393828</v>
      </c>
      <c r="Z62" s="51">
        <f>(Z18-AA18)*$C$11</f>
        <v>-1780220.9196044267</v>
      </c>
      <c r="AA62" s="51">
        <f t="shared" si="31"/>
        <v>1300741.6346644254</v>
      </c>
      <c r="AB62" s="51">
        <f t="shared" si="31"/>
        <v>19565177.02258236</v>
      </c>
    </row>
    <row r="63" spans="2:28" x14ac:dyDescent="0.45">
      <c r="B63" s="23" t="s">
        <v>71</v>
      </c>
      <c r="C63" s="51">
        <f>-K6</f>
        <v>-400000000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</row>
    <row r="64" spans="2:28" x14ac:dyDescent="0.45">
      <c r="B64" s="23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</row>
    <row r="65" spans="2:28" ht="16.3" thickBot="1" x14ac:dyDescent="0.5">
      <c r="B65" s="30" t="s">
        <v>72</v>
      </c>
      <c r="C65" s="57">
        <f>SUM(C58:C63)</f>
        <v>-410098630.093364</v>
      </c>
      <c r="D65" s="57">
        <f>SUM(D58:D63)</f>
        <v>36531807.89743644</v>
      </c>
      <c r="E65" s="57">
        <f t="shared" ref="E65:AB65" si="32">SUM(E58:E63)</f>
        <v>41602581.312838607</v>
      </c>
      <c r="F65" s="57">
        <f t="shared" si="32"/>
        <v>26131414.493729979</v>
      </c>
      <c r="G65" s="57">
        <f t="shared" si="32"/>
        <v>36067026.788970232</v>
      </c>
      <c r="H65" s="57">
        <f t="shared" si="32"/>
        <v>30995850.12674449</v>
      </c>
      <c r="I65" s="57">
        <f t="shared" si="32"/>
        <v>43325317.056405261</v>
      </c>
      <c r="J65" s="57">
        <f t="shared" si="32"/>
        <v>31248818.144831154</v>
      </c>
      <c r="K65" s="57">
        <f t="shared" si="32"/>
        <v>26365399.838497028</v>
      </c>
      <c r="L65" s="57">
        <f t="shared" si="32"/>
        <v>38614416.794317059</v>
      </c>
      <c r="M65" s="57">
        <f t="shared" si="32"/>
        <v>36727863.378713951</v>
      </c>
      <c r="N65" s="57">
        <f t="shared" si="32"/>
        <v>61171459.096208282</v>
      </c>
      <c r="O65" s="57">
        <f t="shared" si="32"/>
        <v>53355332.840333261</v>
      </c>
      <c r="P65" s="57">
        <f t="shared" si="32"/>
        <v>38920093.241496243</v>
      </c>
      <c r="Q65" s="57">
        <f t="shared" si="32"/>
        <v>47456686.460797347</v>
      </c>
      <c r="R65" s="57">
        <f t="shared" si="32"/>
        <v>50222078.578553036</v>
      </c>
      <c r="S65" s="57">
        <f t="shared" si="32"/>
        <v>57845492.536872253</v>
      </c>
      <c r="T65" s="57">
        <f t="shared" si="32"/>
        <v>75871359.789457366</v>
      </c>
      <c r="U65" s="57">
        <f t="shared" si="32"/>
        <v>54702988.118917853</v>
      </c>
      <c r="V65" s="57">
        <f t="shared" si="32"/>
        <v>51583263.743019246</v>
      </c>
      <c r="W65" s="57">
        <f t="shared" si="32"/>
        <v>63492544.170227587</v>
      </c>
      <c r="X65" s="57">
        <f t="shared" si="32"/>
        <v>66871556.076606661</v>
      </c>
      <c r="Y65" s="57">
        <f t="shared" si="32"/>
        <v>64317117.423048571</v>
      </c>
      <c r="Z65" s="57">
        <f t="shared" si="32"/>
        <v>60559174.040262364</v>
      </c>
      <c r="AA65" s="57">
        <f t="shared" si="32"/>
        <v>70432992.983061552</v>
      </c>
      <c r="AB65" s="57">
        <f t="shared" si="32"/>
        <v>96071687.773332983</v>
      </c>
    </row>
    <row r="66" spans="2:28" ht="16.3" thickBot="1" x14ac:dyDescent="0.5"/>
    <row r="67" spans="2:28" x14ac:dyDescent="0.45">
      <c r="B67" s="61" t="s">
        <v>4</v>
      </c>
      <c r="C67" s="62">
        <v>8.1726030101192532E-2</v>
      </c>
    </row>
    <row r="68" spans="2:28" x14ac:dyDescent="0.45">
      <c r="B68" s="63" t="s">
        <v>73</v>
      </c>
      <c r="C68" s="64">
        <f>NPV(C67,D65:AB65)+C65</f>
        <v>46784716.791160345</v>
      </c>
    </row>
    <row r="69" spans="2:28" ht="16.3" thickBot="1" x14ac:dyDescent="0.5">
      <c r="B69" s="65" t="s">
        <v>74</v>
      </c>
      <c r="C69" s="66">
        <f>MIRR(C65:AB65,C67,C67)</f>
        <v>8.6410516320785113E-2</v>
      </c>
    </row>
    <row r="70" spans="2:28" x14ac:dyDescent="0.45">
      <c r="C70" s="58"/>
    </row>
    <row r="72" spans="2:28" x14ac:dyDescent="0.45">
      <c r="C72" s="40"/>
      <c r="E72" s="41"/>
    </row>
    <row r="73" spans="2:28" x14ac:dyDescent="0.45">
      <c r="B73" s="55"/>
      <c r="C73" s="37"/>
    </row>
    <row r="74" spans="2:28" x14ac:dyDescent="0.45">
      <c r="B74" s="55"/>
    </row>
    <row r="75" spans="2:28" x14ac:dyDescent="0.45">
      <c r="B75" s="55"/>
      <c r="C75" s="38"/>
      <c r="D75" s="41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2:28" x14ac:dyDescent="0.45">
      <c r="D76" s="41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2:28" x14ac:dyDescent="0.45">
      <c r="B77" s="59"/>
      <c r="C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2:28" x14ac:dyDescent="0.45">
      <c r="B78" s="55"/>
      <c r="C78" s="114"/>
      <c r="D78" s="41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2:28" x14ac:dyDescent="0.45">
      <c r="B79" s="55"/>
      <c r="C79" s="114"/>
      <c r="D79" s="41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2:28" x14ac:dyDescent="0.45">
      <c r="B80" s="59"/>
      <c r="C80" s="60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2:20" x14ac:dyDescent="0.45">
      <c r="B81" s="59"/>
      <c r="C81" s="38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2:20" x14ac:dyDescent="0.45">
      <c r="B82" s="53"/>
      <c r="D82" s="41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2:20" x14ac:dyDescent="0.45">
      <c r="B83" s="53"/>
      <c r="C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2:20" x14ac:dyDescent="0.45"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2:20" x14ac:dyDescent="0.45">
      <c r="C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2:20" x14ac:dyDescent="0.45"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2:20" x14ac:dyDescent="0.45">
      <c r="C87" s="37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2:20" x14ac:dyDescent="0.45"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2:20" x14ac:dyDescent="0.45"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2:20" x14ac:dyDescent="0.45"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2:20" x14ac:dyDescent="0.45">
      <c r="C91" s="38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2:20" x14ac:dyDescent="0.45">
      <c r="C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2:20" x14ac:dyDescent="0.45"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2:20" x14ac:dyDescent="0.45"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2:20" x14ac:dyDescent="0.45"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2:20" x14ac:dyDescent="0.45"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3:20" x14ac:dyDescent="0.45"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3:20" x14ac:dyDescent="0.45"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</row>
    <row r="99" spans="3:20" x14ac:dyDescent="0.45"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3:20" x14ac:dyDescent="0.45"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3:20" x14ac:dyDescent="0.45">
      <c r="C101" s="39"/>
      <c r="D101" s="39"/>
      <c r="E101" s="39"/>
      <c r="F101" s="39"/>
    </row>
    <row r="102" spans="3:20" x14ac:dyDescent="0.45">
      <c r="C102" s="39"/>
      <c r="D102" s="39"/>
      <c r="E102" s="39"/>
      <c r="F102" s="39"/>
    </row>
    <row r="103" spans="3:20" x14ac:dyDescent="0.45">
      <c r="C103" s="39"/>
      <c r="D103" s="39"/>
      <c r="E103" s="39"/>
      <c r="F103" s="39"/>
    </row>
    <row r="104" spans="3:20" x14ac:dyDescent="0.45">
      <c r="C104" s="39"/>
      <c r="D104" s="39"/>
      <c r="E104" s="39"/>
      <c r="F104" s="39"/>
    </row>
    <row r="105" spans="3:20" x14ac:dyDescent="0.45">
      <c r="C105" s="39"/>
      <c r="D105" s="39"/>
      <c r="E105" s="39"/>
      <c r="F105" s="39"/>
    </row>
    <row r="106" spans="3:20" x14ac:dyDescent="0.45">
      <c r="C106" s="39"/>
      <c r="D106" s="39"/>
      <c r="E106" s="39"/>
      <c r="F106" s="39"/>
    </row>
    <row r="107" spans="3:20" x14ac:dyDescent="0.45">
      <c r="C107" s="39"/>
      <c r="D107" s="39"/>
      <c r="E107" s="39"/>
      <c r="F107" s="39"/>
    </row>
    <row r="108" spans="3:20" x14ac:dyDescent="0.45">
      <c r="C108" s="39"/>
      <c r="D108" s="39"/>
      <c r="E108" s="39"/>
      <c r="F108" s="39"/>
    </row>
    <row r="109" spans="3:20" x14ac:dyDescent="0.45">
      <c r="C109" s="39"/>
      <c r="D109" s="39"/>
      <c r="E109" s="39"/>
      <c r="F109" s="39"/>
    </row>
    <row r="110" spans="3:20" x14ac:dyDescent="0.45">
      <c r="C110" s="39"/>
      <c r="D110" s="39"/>
      <c r="E110" s="39"/>
      <c r="F110" s="39"/>
    </row>
    <row r="111" spans="3:20" x14ac:dyDescent="0.45">
      <c r="C111" s="39"/>
      <c r="D111" s="39"/>
      <c r="E111" s="39"/>
      <c r="F111" s="39"/>
    </row>
    <row r="112" spans="3:20" x14ac:dyDescent="0.45">
      <c r="C112" s="39"/>
      <c r="D112" s="39"/>
      <c r="E112" s="39"/>
      <c r="F112" s="39"/>
    </row>
    <row r="113" spans="3:6" x14ac:dyDescent="0.45">
      <c r="C113" s="39"/>
      <c r="D113" s="39"/>
      <c r="E113" s="39"/>
      <c r="F113" s="39"/>
    </row>
    <row r="114" spans="3:6" x14ac:dyDescent="0.45">
      <c r="C114" s="39"/>
      <c r="D114" s="39"/>
      <c r="E114" s="39"/>
      <c r="F114" s="39"/>
    </row>
    <row r="115" spans="3:6" x14ac:dyDescent="0.45">
      <c r="C115" s="39"/>
      <c r="D115" s="39"/>
      <c r="E115" s="39"/>
      <c r="F115" s="39"/>
    </row>
    <row r="116" spans="3:6" x14ac:dyDescent="0.45">
      <c r="C116" s="39"/>
      <c r="D116" s="39"/>
      <c r="E116" s="39"/>
      <c r="F116" s="39"/>
    </row>
    <row r="117" spans="3:6" x14ac:dyDescent="0.45">
      <c r="C117" s="39"/>
      <c r="D117" s="39"/>
      <c r="E117" s="39"/>
      <c r="F117" s="39"/>
    </row>
    <row r="118" spans="3:6" x14ac:dyDescent="0.45">
      <c r="C118" s="39"/>
      <c r="D118" s="39"/>
      <c r="E118" s="39"/>
      <c r="F118" s="39"/>
    </row>
    <row r="119" spans="3:6" x14ac:dyDescent="0.45">
      <c r="C119" s="39"/>
      <c r="D119" s="39"/>
      <c r="E119" s="39"/>
      <c r="F119" s="39"/>
    </row>
    <row r="120" spans="3:6" x14ac:dyDescent="0.45">
      <c r="C120" s="39"/>
      <c r="D120" s="39"/>
      <c r="E120" s="39"/>
      <c r="F120" s="39"/>
    </row>
    <row r="121" spans="3:6" x14ac:dyDescent="0.45">
      <c r="C121" s="39"/>
      <c r="D121" s="39"/>
      <c r="E121" s="39"/>
      <c r="F121" s="39"/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H121"/>
  <sheetViews>
    <sheetView zoomScale="80" zoomScaleNormal="80" workbookViewId="0">
      <selection activeCell="L9" sqref="L9"/>
    </sheetView>
  </sheetViews>
  <sheetFormatPr defaultColWidth="10.640625" defaultRowHeight="15.9" x14ac:dyDescent="0.45"/>
  <cols>
    <col min="1" max="1" width="10.640625" style="34"/>
    <col min="2" max="2" width="37.140625" style="34" customWidth="1"/>
    <col min="3" max="3" width="13.140625" style="34" customWidth="1"/>
    <col min="4" max="4" width="11.640625" style="34" customWidth="1"/>
    <col min="5" max="5" width="13.140625" style="34" customWidth="1"/>
    <col min="6" max="6" width="12.35546875" style="34" customWidth="1"/>
    <col min="7" max="7" width="12.5" style="34" customWidth="1"/>
    <col min="8" max="8" width="20.5" style="34" customWidth="1"/>
    <col min="9" max="9" width="12.35546875" style="34" customWidth="1"/>
    <col min="10" max="10" width="20.140625" style="34" customWidth="1"/>
    <col min="11" max="11" width="14.85546875" style="34" customWidth="1"/>
    <col min="12" max="12" width="12.35546875" style="34" customWidth="1"/>
    <col min="13" max="13" width="15.140625" style="34" customWidth="1"/>
    <col min="14" max="20" width="12.35546875" style="34" customWidth="1"/>
    <col min="21" max="25" width="13.140625" style="34" customWidth="1"/>
    <col min="26" max="26" width="13.35546875" style="34" customWidth="1"/>
    <col min="27" max="27" width="3.35546875" style="34" bestFit="1" customWidth="1"/>
    <col min="28" max="28" width="12.35546875" style="34" customWidth="1"/>
    <col min="29" max="29" width="13.140625" style="34" customWidth="1"/>
    <col min="30" max="16384" width="10.640625" style="34"/>
  </cols>
  <sheetData>
    <row r="2" spans="1:34" x14ac:dyDescent="0.45">
      <c r="A2" s="32"/>
      <c r="B2" s="4" t="s">
        <v>0</v>
      </c>
      <c r="C2" s="5"/>
      <c r="D2" s="5"/>
      <c r="E2" s="5"/>
      <c r="F2" s="5"/>
      <c r="G2" s="13"/>
      <c r="H2" s="21" t="s">
        <v>1</v>
      </c>
      <c r="I2" s="13"/>
      <c r="J2" s="13"/>
      <c r="K2" s="13"/>
      <c r="L2" s="42"/>
      <c r="M2" s="35"/>
      <c r="N2" s="42"/>
      <c r="T2" s="32"/>
      <c r="U2" s="33"/>
      <c r="V2" s="32"/>
      <c r="W2" s="32"/>
      <c r="Z2" s="31"/>
      <c r="AA2" s="31"/>
      <c r="AB2" s="35"/>
      <c r="AC2" s="31"/>
      <c r="AD2" s="31"/>
      <c r="AE2" s="31"/>
      <c r="AF2" s="31"/>
      <c r="AG2" s="35"/>
      <c r="AH2" s="31"/>
    </row>
    <row r="3" spans="1:34" x14ac:dyDescent="0.45">
      <c r="A3" s="32"/>
      <c r="B3" s="5" t="s">
        <v>2</v>
      </c>
      <c r="C3" s="8">
        <v>0.02</v>
      </c>
      <c r="D3" s="5" t="s">
        <v>3</v>
      </c>
      <c r="E3" s="15">
        <v>6.7000000000000002E-3</v>
      </c>
      <c r="F3" s="1" t="s">
        <v>4</v>
      </c>
      <c r="G3" s="15">
        <v>8.1726030101192532E-2</v>
      </c>
      <c r="H3" s="5" t="s">
        <v>5</v>
      </c>
      <c r="I3" s="5">
        <v>109802</v>
      </c>
      <c r="J3" s="13" t="s">
        <v>6</v>
      </c>
      <c r="K3" s="13">
        <v>3615</v>
      </c>
      <c r="L3" s="42"/>
      <c r="T3" s="32"/>
      <c r="U3" s="32"/>
      <c r="V3" s="36"/>
      <c r="W3" s="32"/>
      <c r="X3" s="37"/>
      <c r="Y3" s="31"/>
      <c r="Z3" s="38"/>
      <c r="AA3" s="38"/>
      <c r="AD3" s="31"/>
      <c r="AE3" s="31"/>
      <c r="AF3" s="31"/>
      <c r="AG3" s="31"/>
      <c r="AH3" s="39"/>
    </row>
    <row r="4" spans="1:34" x14ac:dyDescent="0.45">
      <c r="A4" s="32"/>
      <c r="B4" s="5" t="s">
        <v>7</v>
      </c>
      <c r="C4" s="8">
        <v>0.05</v>
      </c>
      <c r="D4" s="5" t="s">
        <v>8</v>
      </c>
      <c r="E4" s="19">
        <v>9.7000000000000005E-4</v>
      </c>
      <c r="F4" s="5"/>
      <c r="G4" s="13"/>
      <c r="H4" s="5" t="s">
        <v>9</v>
      </c>
      <c r="I4" s="5">
        <v>221.58</v>
      </c>
      <c r="J4" s="13" t="s">
        <v>10</v>
      </c>
      <c r="K4" s="13">
        <v>62686</v>
      </c>
      <c r="L4" s="42"/>
      <c r="T4" s="32"/>
      <c r="U4" s="32"/>
      <c r="V4" s="36"/>
      <c r="W4" s="32"/>
      <c r="X4" s="40"/>
      <c r="Z4" s="31"/>
      <c r="AA4" s="31"/>
      <c r="AD4" s="31"/>
      <c r="AE4" s="31"/>
      <c r="AF4" s="31"/>
      <c r="AG4" s="31"/>
      <c r="AH4" s="39"/>
    </row>
    <row r="5" spans="1:34" x14ac:dyDescent="0.45">
      <c r="A5" s="32"/>
      <c r="B5" s="5" t="s">
        <v>11</v>
      </c>
      <c r="C5" s="5">
        <v>162</v>
      </c>
      <c r="D5" s="5" t="s">
        <v>12</v>
      </c>
      <c r="E5" s="15">
        <v>1.72E-2</v>
      </c>
      <c r="F5" s="5"/>
      <c r="G5" s="13"/>
      <c r="H5" s="5" t="s">
        <v>13</v>
      </c>
      <c r="I5" s="5">
        <v>30</v>
      </c>
      <c r="J5" s="13" t="s">
        <v>14</v>
      </c>
      <c r="K5" s="13">
        <v>1678188</v>
      </c>
      <c r="L5" s="42"/>
      <c r="T5" s="32"/>
      <c r="U5" s="32"/>
      <c r="V5" s="36"/>
      <c r="W5" s="32"/>
      <c r="X5" s="37"/>
      <c r="Z5" s="31"/>
      <c r="AA5" s="31"/>
      <c r="AD5" s="31"/>
      <c r="AE5" s="31"/>
      <c r="AF5" s="31"/>
      <c r="AG5" s="31"/>
      <c r="AH5" s="39"/>
    </row>
    <row r="6" spans="1:34" x14ac:dyDescent="0.45">
      <c r="A6" s="32"/>
      <c r="B6" s="13" t="s">
        <v>15</v>
      </c>
      <c r="C6" s="14">
        <v>3.85E-2</v>
      </c>
      <c r="D6" s="5" t="s">
        <v>16</v>
      </c>
      <c r="E6" s="8">
        <v>0.04</v>
      </c>
      <c r="F6" s="1"/>
      <c r="G6" s="1"/>
      <c r="H6" s="13" t="s">
        <v>17</v>
      </c>
      <c r="I6" s="13">
        <v>9484.6299999999992</v>
      </c>
      <c r="J6" s="13" t="s">
        <v>18</v>
      </c>
      <c r="K6" s="13">
        <v>400000000</v>
      </c>
      <c r="L6" s="42"/>
      <c r="M6" s="42"/>
      <c r="N6" s="42"/>
      <c r="T6" s="32"/>
      <c r="U6" s="32"/>
      <c r="V6" s="32"/>
      <c r="W6" s="32"/>
      <c r="X6" s="41"/>
      <c r="Z6" s="31"/>
      <c r="AA6" s="31"/>
      <c r="AB6" s="31"/>
      <c r="AC6" s="31"/>
      <c r="AD6" s="31"/>
      <c r="AE6" s="31"/>
      <c r="AF6" s="31"/>
      <c r="AG6" s="31"/>
      <c r="AH6" s="31"/>
    </row>
    <row r="7" spans="1:34" x14ac:dyDescent="0.45">
      <c r="A7" s="32"/>
      <c r="B7" s="5" t="s">
        <v>19</v>
      </c>
      <c r="C7" s="15">
        <v>9.2600000000000002E-2</v>
      </c>
      <c r="D7" s="5" t="s">
        <v>20</v>
      </c>
      <c r="E7" s="8">
        <v>0.36</v>
      </c>
      <c r="F7" s="5"/>
      <c r="G7" s="13"/>
      <c r="H7" s="5" t="s">
        <v>21</v>
      </c>
      <c r="I7" s="16">
        <v>4.42</v>
      </c>
      <c r="J7" s="13" t="s">
        <v>22</v>
      </c>
      <c r="K7" s="20">
        <v>7714</v>
      </c>
      <c r="L7" s="42"/>
      <c r="M7" s="42"/>
      <c r="N7" s="42"/>
      <c r="T7" s="32"/>
      <c r="U7" s="42"/>
      <c r="V7" s="43"/>
      <c r="W7" s="32"/>
      <c r="X7" s="41"/>
      <c r="Z7" s="31"/>
      <c r="AA7" s="31"/>
      <c r="AB7" s="32"/>
      <c r="AC7" s="44"/>
      <c r="AD7" s="31"/>
      <c r="AE7" s="31"/>
      <c r="AF7" s="31"/>
      <c r="AG7" s="31"/>
      <c r="AH7" s="31"/>
    </row>
    <row r="8" spans="1:34" x14ac:dyDescent="0.45">
      <c r="A8" s="32"/>
      <c r="B8" s="5" t="s">
        <v>23</v>
      </c>
      <c r="C8" s="15">
        <v>0.40210000000000001</v>
      </c>
      <c r="D8" s="5" t="s">
        <v>24</v>
      </c>
      <c r="E8" s="15">
        <v>7.1999999999999995E-2</v>
      </c>
      <c r="F8" s="5"/>
      <c r="G8" s="13"/>
      <c r="H8" s="5" t="s">
        <v>25</v>
      </c>
      <c r="I8" s="104">
        <v>6.3</v>
      </c>
      <c r="J8" s="13" t="s">
        <v>26</v>
      </c>
      <c r="K8" s="20">
        <v>16246</v>
      </c>
      <c r="L8" s="42"/>
      <c r="M8" s="42"/>
      <c r="N8" s="42"/>
      <c r="T8" s="32"/>
      <c r="U8" s="32"/>
      <c r="V8" s="45"/>
      <c r="W8" s="32"/>
      <c r="X8" s="37"/>
      <c r="Z8" s="31"/>
      <c r="AA8" s="31"/>
      <c r="AB8" s="32"/>
      <c r="AC8" s="46"/>
      <c r="AD8" s="31"/>
      <c r="AE8" s="31"/>
      <c r="AF8" s="31"/>
      <c r="AG8" s="31"/>
      <c r="AH8" s="31"/>
    </row>
    <row r="9" spans="1:34" x14ac:dyDescent="0.45">
      <c r="A9" s="32"/>
      <c r="B9" s="5" t="s">
        <v>27</v>
      </c>
      <c r="C9" s="15">
        <v>7.4999999999999997E-3</v>
      </c>
      <c r="D9" s="5" t="s">
        <v>28</v>
      </c>
      <c r="E9" s="8">
        <v>0.22</v>
      </c>
      <c r="F9" s="5"/>
      <c r="G9" s="13"/>
      <c r="H9" s="5" t="s">
        <v>33</v>
      </c>
      <c r="I9" s="20">
        <v>10080</v>
      </c>
      <c r="J9" s="13" t="s">
        <v>30</v>
      </c>
      <c r="K9" s="20">
        <v>8830</v>
      </c>
      <c r="L9" s="42"/>
      <c r="M9" s="42"/>
      <c r="N9" s="42"/>
      <c r="T9" s="32"/>
      <c r="U9" s="32"/>
      <c r="V9" s="45"/>
      <c r="W9" s="32"/>
      <c r="X9" s="41"/>
      <c r="Z9" s="31"/>
      <c r="AA9" s="31"/>
      <c r="AC9" s="39"/>
      <c r="AF9" s="31"/>
      <c r="AG9" s="31"/>
      <c r="AH9" s="31"/>
    </row>
    <row r="10" spans="1:34" x14ac:dyDescent="0.45">
      <c r="A10" s="32"/>
      <c r="B10" s="5" t="s">
        <v>31</v>
      </c>
      <c r="C10" s="12">
        <v>7.0000000000000007E-2</v>
      </c>
      <c r="D10" s="5" t="s">
        <v>32</v>
      </c>
      <c r="E10" s="15">
        <v>6.5500000000000003E-2</v>
      </c>
      <c r="F10" s="13"/>
      <c r="G10" s="13"/>
      <c r="H10" s="1"/>
      <c r="I10" s="1"/>
      <c r="J10" s="1"/>
      <c r="K10" s="1"/>
      <c r="L10" s="42"/>
      <c r="M10" s="42"/>
      <c r="N10" s="42"/>
      <c r="T10" s="32"/>
      <c r="U10" s="32"/>
      <c r="V10" s="37"/>
      <c r="W10" s="32"/>
      <c r="X10" s="45"/>
      <c r="Y10" s="31"/>
      <c r="Z10" s="31"/>
      <c r="AA10" s="31"/>
      <c r="AC10" s="39"/>
      <c r="AF10" s="31"/>
      <c r="AG10" s="31"/>
      <c r="AH10" s="31"/>
    </row>
    <row r="11" spans="1:34" x14ac:dyDescent="0.45">
      <c r="A11" s="32"/>
      <c r="B11" s="5" t="s">
        <v>34</v>
      </c>
      <c r="C11" s="12">
        <v>0.1</v>
      </c>
      <c r="D11" s="13" t="s">
        <v>35</v>
      </c>
      <c r="E11" s="14">
        <v>2.29E-2</v>
      </c>
      <c r="F11" s="1"/>
      <c r="G11" s="1"/>
      <c r="H11" s="1"/>
      <c r="I11" s="1"/>
      <c r="J11" s="1"/>
      <c r="K11" s="1"/>
      <c r="T11" s="32"/>
      <c r="U11" s="32"/>
      <c r="V11" s="47"/>
      <c r="W11" s="32"/>
      <c r="X11" s="41"/>
    </row>
    <row r="13" spans="1:34" x14ac:dyDescent="0.45">
      <c r="B13" s="48" t="s">
        <v>36</v>
      </c>
      <c r="G13" s="49"/>
    </row>
    <row r="14" spans="1:34" x14ac:dyDescent="0.45">
      <c r="B14" s="84"/>
      <c r="C14" s="84">
        <v>0</v>
      </c>
      <c r="D14" s="84">
        <v>1</v>
      </c>
      <c r="E14" s="84">
        <v>2</v>
      </c>
      <c r="F14" s="84">
        <v>3</v>
      </c>
      <c r="G14" s="84">
        <v>4</v>
      </c>
      <c r="H14" s="84">
        <v>5</v>
      </c>
      <c r="I14" s="84">
        <v>6</v>
      </c>
      <c r="J14" s="84">
        <v>7</v>
      </c>
      <c r="K14" s="84">
        <v>8</v>
      </c>
      <c r="L14" s="84">
        <v>9</v>
      </c>
      <c r="M14" s="84">
        <v>10</v>
      </c>
      <c r="N14" s="84">
        <v>11</v>
      </c>
      <c r="O14" s="84">
        <v>12</v>
      </c>
      <c r="P14" s="84">
        <v>13</v>
      </c>
      <c r="Q14" s="84">
        <v>14</v>
      </c>
      <c r="R14" s="84">
        <v>15</v>
      </c>
      <c r="S14" s="84">
        <v>16</v>
      </c>
      <c r="T14" s="84">
        <v>17</v>
      </c>
      <c r="U14" s="84">
        <v>18</v>
      </c>
      <c r="V14" s="84">
        <v>19</v>
      </c>
      <c r="W14" s="84">
        <v>20</v>
      </c>
      <c r="X14" s="84">
        <v>21</v>
      </c>
      <c r="Y14" s="84">
        <v>22</v>
      </c>
      <c r="Z14" s="84">
        <v>23</v>
      </c>
      <c r="AA14" s="84"/>
      <c r="AB14" s="84">
        <v>24</v>
      </c>
      <c r="AC14" s="84">
        <v>25</v>
      </c>
    </row>
    <row r="15" spans="1:34" x14ac:dyDescent="0.45">
      <c r="B15" s="84" t="s">
        <v>37</v>
      </c>
      <c r="C15" s="84">
        <v>2021</v>
      </c>
      <c r="D15" s="84">
        <v>2022</v>
      </c>
      <c r="E15" s="84">
        <v>2023</v>
      </c>
      <c r="F15" s="84">
        <v>2024</v>
      </c>
      <c r="G15" s="84">
        <v>2025</v>
      </c>
      <c r="H15" s="84">
        <v>2026</v>
      </c>
      <c r="I15" s="84">
        <v>2027</v>
      </c>
      <c r="J15" s="84">
        <v>2028</v>
      </c>
      <c r="K15" s="84">
        <v>2029</v>
      </c>
      <c r="L15" s="84">
        <v>2030</v>
      </c>
      <c r="M15" s="84">
        <v>2031</v>
      </c>
      <c r="N15" s="84">
        <v>2032</v>
      </c>
      <c r="O15" s="84">
        <v>2033</v>
      </c>
      <c r="P15" s="84">
        <v>2034</v>
      </c>
      <c r="Q15" s="84">
        <v>2035</v>
      </c>
      <c r="R15" s="84">
        <v>2036</v>
      </c>
      <c r="S15" s="84">
        <v>2037</v>
      </c>
      <c r="T15" s="84">
        <v>2038</v>
      </c>
      <c r="U15" s="84">
        <v>2039</v>
      </c>
      <c r="V15" s="84">
        <v>2040</v>
      </c>
      <c r="W15" s="84">
        <v>2041</v>
      </c>
      <c r="X15" s="84">
        <v>2042</v>
      </c>
      <c r="Y15" s="84">
        <v>2043</v>
      </c>
      <c r="Z15" s="84">
        <v>2044</v>
      </c>
      <c r="AA15" s="84" t="s">
        <v>75</v>
      </c>
      <c r="AB15" s="84">
        <v>2045</v>
      </c>
      <c r="AC15" s="84">
        <v>2046</v>
      </c>
    </row>
    <row r="16" spans="1:34" x14ac:dyDescent="0.45">
      <c r="B16" s="23" t="s">
        <v>38</v>
      </c>
      <c r="C16" s="39"/>
      <c r="D16" s="39">
        <f>'Innt. Best'!D45*(1+$C$4)^D14</f>
        <v>103739798.40000001</v>
      </c>
      <c r="E16" s="39">
        <f>'Innt. Best'!E45*(1+$C$4)^E14</f>
        <v>112977622.485</v>
      </c>
      <c r="F16" s="39">
        <f>'Innt. Best'!F45*(1+$C$4)^F14</f>
        <v>118811813.90400001</v>
      </c>
      <c r="G16" s="39">
        <f>'Innt. Best'!G45*(1+$C$4)^G14</f>
        <v>98676653.453043744</v>
      </c>
      <c r="H16" s="39">
        <f>'Innt. Best'!H45*(1+$C$4)^H14</f>
        <v>102871914.74829282</v>
      </c>
      <c r="I16" s="39">
        <f>'Innt. Best'!I45*(1+$C$4)^I14</f>
        <v>107691586.58774249</v>
      </c>
      <c r="J16" s="39">
        <f>'Innt. Best'!J45*(1+$C$4)^J14</f>
        <v>134260904.22627223</v>
      </c>
      <c r="K16" s="39">
        <f>'Innt. Best'!K45*(1+$C$4)^K14</f>
        <v>142017892.8599692</v>
      </c>
      <c r="L16" s="39">
        <f>'Innt. Best'!L45*(1+$C$4)^L14</f>
        <v>147848262.104707</v>
      </c>
      <c r="M16" s="39">
        <f>'Innt. Best'!M45*(1+$C$4)^M14</f>
        <v>186535151.89568546</v>
      </c>
      <c r="N16" s="39">
        <f>'Innt. Best'!N45*(1+$C$4)^N14</f>
        <v>192889462.83049738</v>
      </c>
      <c r="O16" s="39">
        <f>'Innt. Best'!O45*(1+$C$4)^O14</f>
        <v>166247927.99122041</v>
      </c>
      <c r="P16" s="39">
        <f>'Innt. Best'!P45*(1+$C$4)^P14</f>
        <v>154726663.18290922</v>
      </c>
      <c r="Q16" s="39">
        <f>'Innt. Best'!Q45*(1+$C$4)^Q14</f>
        <v>194801848.77394694</v>
      </c>
      <c r="R16" s="39">
        <f>'Innt. Best'!R45*(1+$C$4)^R14</f>
        <v>168627612.86847213</v>
      </c>
      <c r="S16" s="39">
        <f>'Innt. Best'!S45*(1+$C$4)^S14</f>
        <v>206701208.01235291</v>
      </c>
      <c r="T16" s="39">
        <f>'Innt. Best'!T45*(1+$C$4)^T14</f>
        <v>219526796.14525804</v>
      </c>
      <c r="U16" s="39">
        <f>'Innt. Best'!U45*(1+$C$4)^U14</f>
        <v>242117162.70057526</v>
      </c>
      <c r="V16" s="39">
        <f>'Innt. Best'!V45*(1+$C$4)^V14</f>
        <v>234642421.64109525</v>
      </c>
      <c r="W16" s="39">
        <f>'Innt. Best'!W45*(1+$C$4)^W14</f>
        <v>245380614.74950519</v>
      </c>
      <c r="X16" s="39">
        <f>'Innt. Best'!X45*(1+$C$4)^X14</f>
        <v>328770888.10077965</v>
      </c>
      <c r="Y16" s="39">
        <f>'Innt. Best'!Y45*(1+$C$4)^Y14</f>
        <v>273606015.12790895</v>
      </c>
      <c r="Z16" s="39">
        <f>'Innt. Best'!Z45*(1+$C$4)^Z14</f>
        <v>282000103.71094346</v>
      </c>
      <c r="AA16" s="39"/>
      <c r="AB16" s="39">
        <f>'Innt. Best'!AA45*(1+$C$4)^AB14</f>
        <v>350926082.29213613</v>
      </c>
      <c r="AC16" s="39">
        <f>'Innt. Best'!AB45*(1+$C$4)^AC14</f>
        <v>316915945.15673566</v>
      </c>
    </row>
    <row r="17" spans="2:30" x14ac:dyDescent="0.45">
      <c r="B17" s="23" t="s">
        <v>39</v>
      </c>
      <c r="C17" s="39"/>
      <c r="D17" s="39">
        <f>Restråstoff!D97</f>
        <v>2416279.2536400012</v>
      </c>
      <c r="E17" s="39">
        <f>Restråstoff!E97</f>
        <v>3586053.1325547439</v>
      </c>
      <c r="F17" s="39">
        <f>Restråstoff!F97</f>
        <v>3796077.4245001306</v>
      </c>
      <c r="G17" s="39">
        <f>Restråstoff!G97</f>
        <v>4084853.8847148004</v>
      </c>
      <c r="H17" s="39">
        <f>Restråstoff!H97</f>
        <v>4069070.7195509225</v>
      </c>
      <c r="I17" s="39">
        <f>Restråstoff!I97</f>
        <v>4404550.2120037489</v>
      </c>
      <c r="J17" s="39">
        <f>Restråstoff!J97</f>
        <v>3967572.6065032785</v>
      </c>
      <c r="K17" s="39">
        <f>Restråstoff!K97</f>
        <v>3080345.0552473143</v>
      </c>
      <c r="L17" s="39">
        <f>Restråstoff!L97</f>
        <v>3304266.6088580452</v>
      </c>
      <c r="M17" s="39">
        <f>Restråstoff!M97</f>
        <v>2930299.547933626</v>
      </c>
      <c r="N17" s="39">
        <f>Restråstoff!N97</f>
        <v>3481504.0383743537</v>
      </c>
      <c r="O17" s="39">
        <f>Restråstoff!O97</f>
        <v>4341137.582384754</v>
      </c>
      <c r="P17" s="39">
        <f>Restråstoff!P97</f>
        <v>3833301.5103855915</v>
      </c>
      <c r="Q17" s="39">
        <f>Restråstoff!Q97</f>
        <v>4412354.9704282237</v>
      </c>
      <c r="R17" s="39">
        <f>Restråstoff!R97</f>
        <v>4492422.2093972331</v>
      </c>
      <c r="S17" s="39">
        <f>Restråstoff!S97</f>
        <v>3482102.990727935</v>
      </c>
      <c r="T17" s="39">
        <f>Restråstoff!T97</f>
        <v>3118475.1114539588</v>
      </c>
      <c r="U17" s="39">
        <f>Restråstoff!U97</f>
        <v>5407147.1627695877</v>
      </c>
      <c r="V17" s="39">
        <f>Restråstoff!V97</f>
        <v>3806883.1019942765</v>
      </c>
      <c r="W17" s="39">
        <f>Restråstoff!W97</f>
        <v>4992496.907568261</v>
      </c>
      <c r="X17" s="39">
        <f>Restråstoff!X97</f>
        <v>4573608.2614447325</v>
      </c>
      <c r="Y17" s="39">
        <f>Restråstoff!Y97</f>
        <v>5295466.6106445976</v>
      </c>
      <c r="Z17" s="39">
        <f>Restråstoff!Z97</f>
        <v>4121050.2788865855</v>
      </c>
      <c r="AA17" s="39"/>
      <c r="AB17" s="39">
        <f>Restråstoff!AA97</f>
        <v>4953089.3021079479</v>
      </c>
      <c r="AC17" s="39">
        <f>Restråstoff!AB97</f>
        <v>5138251.3149418849</v>
      </c>
      <c r="AD17" s="39"/>
    </row>
    <row r="18" spans="2:30" x14ac:dyDescent="0.45">
      <c r="B18" s="24" t="s">
        <v>40</v>
      </c>
      <c r="C18" s="39"/>
      <c r="D18" s="39">
        <f t="shared" ref="D18:AC18" si="0">SUM(D16:D17)</f>
        <v>106156077.65364</v>
      </c>
      <c r="E18" s="39">
        <f t="shared" si="0"/>
        <v>116563675.61755474</v>
      </c>
      <c r="F18" s="39">
        <f t="shared" si="0"/>
        <v>122607891.32850015</v>
      </c>
      <c r="G18" s="39">
        <f t="shared" si="0"/>
        <v>102761507.33775854</v>
      </c>
      <c r="H18" s="39">
        <f t="shared" si="0"/>
        <v>106940985.46784374</v>
      </c>
      <c r="I18" s="39">
        <f t="shared" si="0"/>
        <v>112096136.79974625</v>
      </c>
      <c r="J18" s="39">
        <f t="shared" si="0"/>
        <v>138228476.8327755</v>
      </c>
      <c r="K18" s="39">
        <f t="shared" si="0"/>
        <v>145098237.91521651</v>
      </c>
      <c r="L18" s="39">
        <f t="shared" si="0"/>
        <v>151152528.71356505</v>
      </c>
      <c r="M18" s="39">
        <f t="shared" si="0"/>
        <v>189465451.4436191</v>
      </c>
      <c r="N18" s="39">
        <f t="shared" si="0"/>
        <v>196370966.86887175</v>
      </c>
      <c r="O18" s="39">
        <f t="shared" si="0"/>
        <v>170589065.57360518</v>
      </c>
      <c r="P18" s="39">
        <f t="shared" si="0"/>
        <v>158559964.69329482</v>
      </c>
      <c r="Q18" s="39">
        <f t="shared" si="0"/>
        <v>199214203.74437517</v>
      </c>
      <c r="R18" s="39">
        <f t="shared" si="0"/>
        <v>173120035.07786936</v>
      </c>
      <c r="S18" s="39">
        <f t="shared" si="0"/>
        <v>210183311.00308084</v>
      </c>
      <c r="T18" s="39">
        <f t="shared" si="0"/>
        <v>222645271.25671199</v>
      </c>
      <c r="U18" s="39">
        <f t="shared" si="0"/>
        <v>247524309.86334485</v>
      </c>
      <c r="V18" s="39">
        <f t="shared" si="0"/>
        <v>238449304.74308953</v>
      </c>
      <c r="W18" s="39">
        <f t="shared" si="0"/>
        <v>250373111.65707344</v>
      </c>
      <c r="X18" s="39">
        <f t="shared" si="0"/>
        <v>333344496.3622244</v>
      </c>
      <c r="Y18" s="39">
        <f t="shared" si="0"/>
        <v>278901481.73855352</v>
      </c>
      <c r="Z18" s="39">
        <f t="shared" si="0"/>
        <v>286121153.98983002</v>
      </c>
      <c r="AA18" s="39"/>
      <c r="AB18" s="39">
        <f t="shared" si="0"/>
        <v>355879171.59424406</v>
      </c>
      <c r="AC18" s="39">
        <f t="shared" si="0"/>
        <v>322054196.47167754</v>
      </c>
    </row>
    <row r="19" spans="2:30" x14ac:dyDescent="0.45">
      <c r="B19" s="24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</row>
    <row r="20" spans="2:30" x14ac:dyDescent="0.45">
      <c r="B20" s="23" t="s">
        <v>41</v>
      </c>
      <c r="C20" s="39"/>
    </row>
    <row r="21" spans="2:30" x14ac:dyDescent="0.45">
      <c r="B21" s="25" t="s">
        <v>42</v>
      </c>
      <c r="C21" s="39"/>
      <c r="D21" s="39">
        <f>($I$9*$C$5)*(-$I$7*((1+$C$7)^D14))</f>
        <v>-7886040.6643199995</v>
      </c>
      <c r="E21" s="39">
        <f>($I$9*$C$5)*(-$I$7*((1+$C$7)^E14))</f>
        <v>-8616288.0298360325</v>
      </c>
      <c r="F21" s="39">
        <f>($I$9*$C$5)*(-$I$7*((1+$C$7)^F14))</f>
        <v>-9414156.3013988491</v>
      </c>
      <c r="G21" s="39">
        <f>($I$9*$C$5)*(-$I$7*((1+$C$7)^G14))</f>
        <v>-10285907.174908379</v>
      </c>
      <c r="H21" s="39">
        <f t="shared" ref="H21:Z21" si="1">($I$9*$C$5)*(-$I$8*((1+$C$3)^D14))</f>
        <v>-10493400.960000001</v>
      </c>
      <c r="I21" s="39">
        <f t="shared" si="1"/>
        <v>-10703268.9792</v>
      </c>
      <c r="J21" s="39">
        <f t="shared" si="1"/>
        <v>-10917334.358783998</v>
      </c>
      <c r="K21" s="39">
        <f t="shared" si="1"/>
        <v>-11135681.045959679</v>
      </c>
      <c r="L21" s="39">
        <f t="shared" si="1"/>
        <v>-11358394.666878873</v>
      </c>
      <c r="M21" s="39">
        <f t="shared" si="1"/>
        <v>-11585562.560216451</v>
      </c>
      <c r="N21" s="39">
        <f t="shared" si="1"/>
        <v>-11817273.811420778</v>
      </c>
      <c r="O21" s="39">
        <f t="shared" si="1"/>
        <v>-12053619.287649194</v>
      </c>
      <c r="P21" s="39">
        <f t="shared" si="1"/>
        <v>-12294691.673402177</v>
      </c>
      <c r="Q21" s="39">
        <f t="shared" si="1"/>
        <v>-12540585.506870221</v>
      </c>
      <c r="R21" s="39">
        <f t="shared" si="1"/>
        <v>-12791397.217007624</v>
      </c>
      <c r="S21" s="39">
        <f t="shared" si="1"/>
        <v>-13047225.161347779</v>
      </c>
      <c r="T21" s="39">
        <f t="shared" si="1"/>
        <v>-13308169.664574735</v>
      </c>
      <c r="U21" s="39">
        <f t="shared" si="1"/>
        <v>-13574333.057866231</v>
      </c>
      <c r="V21" s="39">
        <f t="shared" si="1"/>
        <v>-13845819.719023552</v>
      </c>
      <c r="W21" s="39">
        <f t="shared" si="1"/>
        <v>-14122736.113404024</v>
      </c>
      <c r="X21" s="39">
        <f t="shared" si="1"/>
        <v>-14405190.835672107</v>
      </c>
      <c r="Y21" s="39">
        <f t="shared" si="1"/>
        <v>-14693294.652385546</v>
      </c>
      <c r="Z21" s="39">
        <f t="shared" si="1"/>
        <v>-14987160.545433257</v>
      </c>
      <c r="AA21" s="39"/>
      <c r="AB21" s="39">
        <f>($I$9*$C$5)*(-$I$8*((1+$C$3)^W14))</f>
        <v>-15286903.756341923</v>
      </c>
      <c r="AC21" s="39">
        <f>($I$9*$C$5)*(-$I$8*((1+$C$3)^X14))</f>
        <v>-15592641.831468759</v>
      </c>
    </row>
    <row r="22" spans="2:30" x14ac:dyDescent="0.45">
      <c r="B22" s="25" t="s">
        <v>27</v>
      </c>
      <c r="C22" s="39"/>
      <c r="D22" s="39">
        <f>(D16*0.25)*-$C$9</f>
        <v>-194512.122</v>
      </c>
      <c r="E22" s="39">
        <f t="shared" ref="E22:AC22" si="2">(E16*0.25)*-$C$9</f>
        <v>-211833.04215937498</v>
      </c>
      <c r="F22" s="39">
        <f t="shared" si="2"/>
        <v>-222772.15107000002</v>
      </c>
      <c r="G22" s="39">
        <f t="shared" si="2"/>
        <v>-185018.72522445701</v>
      </c>
      <c r="H22" s="39">
        <f t="shared" si="2"/>
        <v>-192884.84015304904</v>
      </c>
      <c r="I22" s="39">
        <f t="shared" si="2"/>
        <v>-201921.72485201716</v>
      </c>
      <c r="J22" s="39">
        <f t="shared" si="2"/>
        <v>-251739.19542426043</v>
      </c>
      <c r="K22" s="39">
        <f t="shared" si="2"/>
        <v>-266283.54911244224</v>
      </c>
      <c r="L22" s="39">
        <f t="shared" si="2"/>
        <v>-277215.49144632561</v>
      </c>
      <c r="M22" s="39">
        <f t="shared" si="2"/>
        <v>-349753.40980441024</v>
      </c>
      <c r="N22" s="39">
        <f t="shared" si="2"/>
        <v>-361667.7428071826</v>
      </c>
      <c r="O22" s="39">
        <f t="shared" si="2"/>
        <v>-311714.86498353828</v>
      </c>
      <c r="P22" s="39">
        <f t="shared" si="2"/>
        <v>-290112.4934679548</v>
      </c>
      <c r="Q22" s="39">
        <f t="shared" si="2"/>
        <v>-365253.46645115048</v>
      </c>
      <c r="R22" s="39">
        <f t="shared" si="2"/>
        <v>-316176.77412838524</v>
      </c>
      <c r="S22" s="39">
        <f t="shared" si="2"/>
        <v>-387564.76502316172</v>
      </c>
      <c r="T22" s="39">
        <f t="shared" si="2"/>
        <v>-411612.74277235882</v>
      </c>
      <c r="U22" s="39">
        <f t="shared" si="2"/>
        <v>-453969.68006357859</v>
      </c>
      <c r="V22" s="39">
        <f t="shared" si="2"/>
        <v>-439954.54057705356</v>
      </c>
      <c r="W22" s="39">
        <f t="shared" si="2"/>
        <v>-460088.65265532222</v>
      </c>
      <c r="X22" s="39">
        <f t="shared" si="2"/>
        <v>-616445.41518896178</v>
      </c>
      <c r="Y22" s="39">
        <f t="shared" si="2"/>
        <v>-513011.27836482925</v>
      </c>
      <c r="Z22" s="39">
        <f t="shared" si="2"/>
        <v>-528750.19445801899</v>
      </c>
      <c r="AA22" s="39"/>
      <c r="AB22" s="39">
        <f t="shared" si="2"/>
        <v>-657986.40429775522</v>
      </c>
      <c r="AC22" s="39">
        <f t="shared" si="2"/>
        <v>-594217.39716887928</v>
      </c>
    </row>
    <row r="23" spans="2:30" x14ac:dyDescent="0.45">
      <c r="B23" s="25" t="s">
        <v>43</v>
      </c>
      <c r="C23" s="39"/>
      <c r="D23" s="39">
        <f>D16*-$C$6</f>
        <v>-3993982.2384000001</v>
      </c>
      <c r="E23" s="39">
        <f t="shared" ref="E23:AC23" si="3">E16*-$C$6</f>
        <v>-4349638.4656724995</v>
      </c>
      <c r="F23" s="39">
        <f t="shared" si="3"/>
        <v>-4574254.8353040004</v>
      </c>
      <c r="G23" s="39">
        <f t="shared" si="3"/>
        <v>-3799051.1579421842</v>
      </c>
      <c r="H23" s="39">
        <f t="shared" si="3"/>
        <v>-3960568.7178092734</v>
      </c>
      <c r="I23" s="39">
        <f t="shared" si="3"/>
        <v>-4146126.0836280859</v>
      </c>
      <c r="J23" s="39">
        <f t="shared" si="3"/>
        <v>-5169044.812711481</v>
      </c>
      <c r="K23" s="39">
        <f t="shared" si="3"/>
        <v>-5467688.8751088139</v>
      </c>
      <c r="L23" s="39">
        <f t="shared" si="3"/>
        <v>-5692158.0910312198</v>
      </c>
      <c r="M23" s="39">
        <f t="shared" si="3"/>
        <v>-7181603.3479838902</v>
      </c>
      <c r="N23" s="39">
        <f t="shared" si="3"/>
        <v>-7426244.3189741494</v>
      </c>
      <c r="O23" s="39">
        <f t="shared" si="3"/>
        <v>-6400545.2276619859</v>
      </c>
      <c r="P23" s="39">
        <f t="shared" si="3"/>
        <v>-5956976.5325420052</v>
      </c>
      <c r="Q23" s="39">
        <f t="shared" si="3"/>
        <v>-7499871.1777969571</v>
      </c>
      <c r="R23" s="39">
        <f t="shared" si="3"/>
        <v>-6492163.0954361772</v>
      </c>
      <c r="S23" s="39">
        <f t="shared" si="3"/>
        <v>-7957996.5084755868</v>
      </c>
      <c r="T23" s="39">
        <f t="shared" si="3"/>
        <v>-8451781.6515924353</v>
      </c>
      <c r="U23" s="39">
        <f t="shared" si="3"/>
        <v>-9321510.7639721483</v>
      </c>
      <c r="V23" s="39">
        <f t="shared" si="3"/>
        <v>-9033733.2331821676</v>
      </c>
      <c r="W23" s="39">
        <f t="shared" si="3"/>
        <v>-9447153.6678559501</v>
      </c>
      <c r="X23" s="39">
        <f t="shared" si="3"/>
        <v>-12657679.191880016</v>
      </c>
      <c r="Y23" s="39">
        <f t="shared" si="3"/>
        <v>-10533831.582424494</v>
      </c>
      <c r="Z23" s="39">
        <f t="shared" si="3"/>
        <v>-10857003.992871324</v>
      </c>
      <c r="AA23" s="39"/>
      <c r="AB23" s="39">
        <f t="shared" si="3"/>
        <v>-13510654.168247242</v>
      </c>
      <c r="AC23" s="39">
        <f t="shared" si="3"/>
        <v>-12201263.888534322</v>
      </c>
    </row>
    <row r="24" spans="2:30" x14ac:dyDescent="0.45">
      <c r="B24" s="25" t="s">
        <v>44</v>
      </c>
      <c r="C24" s="39"/>
      <c r="D24" s="39">
        <f t="shared" ref="D24:AC24" si="4">$I$3*(1+$C$3)^D14*-1</f>
        <v>-111998.04000000001</v>
      </c>
      <c r="E24" s="39">
        <f t="shared" si="4"/>
        <v>-114238.00079999999</v>
      </c>
      <c r="F24" s="39">
        <f t="shared" si="4"/>
        <v>-116522.76081599999</v>
      </c>
      <c r="G24" s="39">
        <f t="shared" si="4"/>
        <v>-118853.21603231999</v>
      </c>
      <c r="H24" s="39">
        <f t="shared" si="4"/>
        <v>-121230.28035296641</v>
      </c>
      <c r="I24" s="39">
        <f t="shared" si="4"/>
        <v>-123654.88596002574</v>
      </c>
      <c r="J24" s="39">
        <f t="shared" si="4"/>
        <v>-126127.98367922622</v>
      </c>
      <c r="K24" s="39">
        <f t="shared" si="4"/>
        <v>-128650.54335281075</v>
      </c>
      <c r="L24" s="39">
        <f t="shared" si="4"/>
        <v>-131223.55421986699</v>
      </c>
      <c r="M24" s="39">
        <f t="shared" si="4"/>
        <v>-133848.02530426433</v>
      </c>
      <c r="N24" s="39">
        <f t="shared" si="4"/>
        <v>-136524.98581034958</v>
      </c>
      <c r="O24" s="39">
        <f t="shared" si="4"/>
        <v>-139255.48552655659</v>
      </c>
      <c r="P24" s="39">
        <f t="shared" si="4"/>
        <v>-142040.59523708772</v>
      </c>
      <c r="Q24" s="39">
        <f t="shared" si="4"/>
        <v>-144881.40714182949</v>
      </c>
      <c r="R24" s="39">
        <f t="shared" si="4"/>
        <v>-147779.03528466602</v>
      </c>
      <c r="S24" s="39">
        <f t="shared" si="4"/>
        <v>-150734.61599035939</v>
      </c>
      <c r="T24" s="39">
        <f t="shared" si="4"/>
        <v>-153749.30831016658</v>
      </c>
      <c r="U24" s="39">
        <f t="shared" si="4"/>
        <v>-156824.29447636989</v>
      </c>
      <c r="V24" s="39">
        <f t="shared" si="4"/>
        <v>-159960.78036589728</v>
      </c>
      <c r="W24" s="39">
        <f t="shared" si="4"/>
        <v>-163159.99597321526</v>
      </c>
      <c r="X24" s="39">
        <f t="shared" si="4"/>
        <v>-166423.19589267953</v>
      </c>
      <c r="Y24" s="39">
        <f t="shared" si="4"/>
        <v>-169751.65981053314</v>
      </c>
      <c r="Z24" s="39">
        <f t="shared" si="4"/>
        <v>-173146.69300674376</v>
      </c>
      <c r="AA24" s="39"/>
      <c r="AB24" s="39">
        <f t="shared" si="4"/>
        <v>-176609.62686687865</v>
      </c>
      <c r="AC24" s="39">
        <f t="shared" si="4"/>
        <v>-180141.81940421622</v>
      </c>
    </row>
    <row r="25" spans="2:30" x14ac:dyDescent="0.45">
      <c r="B25" s="25" t="s">
        <v>45</v>
      </c>
      <c r="C25" s="39"/>
      <c r="D25" s="39">
        <f t="shared" ref="D25:AC25" si="5">D17*$C$8*-1</f>
        <v>-971585.88788864447</v>
      </c>
      <c r="E25" s="39">
        <f t="shared" si="5"/>
        <v>-1441951.9646002625</v>
      </c>
      <c r="F25" s="39">
        <f t="shared" si="5"/>
        <v>-1526402.7323915025</v>
      </c>
      <c r="G25" s="39">
        <f t="shared" si="5"/>
        <v>-1642519.7470438213</v>
      </c>
      <c r="H25" s="39">
        <f t="shared" si="5"/>
        <v>-1636173.3363314259</v>
      </c>
      <c r="I25" s="39">
        <f t="shared" si="5"/>
        <v>-1771069.6402467075</v>
      </c>
      <c r="J25" s="39">
        <f t="shared" si="5"/>
        <v>-1595360.9450749683</v>
      </c>
      <c r="K25" s="39">
        <f t="shared" si="5"/>
        <v>-1238606.7467149452</v>
      </c>
      <c r="L25" s="39">
        <f t="shared" si="5"/>
        <v>-1328645.6034218201</v>
      </c>
      <c r="M25" s="39">
        <f t="shared" si="5"/>
        <v>-1178273.448224111</v>
      </c>
      <c r="N25" s="39">
        <f t="shared" si="5"/>
        <v>-1399912.7738303277</v>
      </c>
      <c r="O25" s="39">
        <f t="shared" si="5"/>
        <v>-1745571.4218769097</v>
      </c>
      <c r="P25" s="39">
        <f t="shared" si="5"/>
        <v>-1541370.5373260465</v>
      </c>
      <c r="Q25" s="39">
        <f t="shared" si="5"/>
        <v>-1774207.9336091888</v>
      </c>
      <c r="R25" s="39">
        <f t="shared" si="5"/>
        <v>-1806402.9703986275</v>
      </c>
      <c r="S25" s="39">
        <f t="shared" si="5"/>
        <v>-1400153.6125717028</v>
      </c>
      <c r="T25" s="39">
        <f t="shared" si="5"/>
        <v>-1253938.8423156368</v>
      </c>
      <c r="U25" s="39">
        <f t="shared" si="5"/>
        <v>-2174213.8741496513</v>
      </c>
      <c r="V25" s="39">
        <f t="shared" si="5"/>
        <v>-1530747.6953118986</v>
      </c>
      <c r="W25" s="39">
        <f t="shared" si="5"/>
        <v>-2007483.0065331978</v>
      </c>
      <c r="X25" s="39">
        <f t="shared" si="5"/>
        <v>-1839047.881926927</v>
      </c>
      <c r="Y25" s="39">
        <f t="shared" si="5"/>
        <v>-2129307.1241401928</v>
      </c>
      <c r="Z25" s="39">
        <f t="shared" si="5"/>
        <v>-1657074.3171402961</v>
      </c>
      <c r="AA25" s="39"/>
      <c r="AB25" s="39">
        <f t="shared" si="5"/>
        <v>-1991637.208377606</v>
      </c>
      <c r="AC25" s="39">
        <f t="shared" si="5"/>
        <v>-2066090.8537381319</v>
      </c>
    </row>
    <row r="26" spans="2:30" x14ac:dyDescent="0.45">
      <c r="B26" s="25" t="s">
        <v>46</v>
      </c>
      <c r="C26" s="39"/>
      <c r="D26" s="39">
        <f t="shared" ref="D26:AC26" si="6">($I$4*$I$5*$C$5)*-1*(1+$C$3)^D14</f>
        <v>-1098416.3760000002</v>
      </c>
      <c r="E26" s="39">
        <f t="shared" si="6"/>
        <v>-1120384.70352</v>
      </c>
      <c r="F26" s="39">
        <f t="shared" si="6"/>
        <v>-1142792.3975904</v>
      </c>
      <c r="G26" s="39">
        <f t="shared" si="6"/>
        <v>-1165648.245542208</v>
      </c>
      <c r="H26" s="39">
        <f t="shared" si="6"/>
        <v>-1188961.2104530523</v>
      </c>
      <c r="I26" s="39">
        <f t="shared" si="6"/>
        <v>-1212740.4346621134</v>
      </c>
      <c r="J26" s="39">
        <f t="shared" si="6"/>
        <v>-1236995.2433553552</v>
      </c>
      <c r="K26" s="39">
        <f t="shared" si="6"/>
        <v>-1261735.1482224625</v>
      </c>
      <c r="L26" s="39">
        <f t="shared" si="6"/>
        <v>-1286969.8511869118</v>
      </c>
      <c r="M26" s="39">
        <f t="shared" si="6"/>
        <v>-1312709.2482106502</v>
      </c>
      <c r="N26" s="39">
        <f t="shared" si="6"/>
        <v>-1338963.4331748628</v>
      </c>
      <c r="O26" s="39">
        <f t="shared" si="6"/>
        <v>-1365742.7018383604</v>
      </c>
      <c r="P26" s="39">
        <f t="shared" si="6"/>
        <v>-1393057.5558751274</v>
      </c>
      <c r="Q26" s="39">
        <f t="shared" si="6"/>
        <v>-1420918.7069926301</v>
      </c>
      <c r="R26" s="39">
        <f t="shared" si="6"/>
        <v>-1449337.0811324823</v>
      </c>
      <c r="S26" s="39">
        <f t="shared" si="6"/>
        <v>-1478323.8227551323</v>
      </c>
      <c r="T26" s="39">
        <f t="shared" si="6"/>
        <v>-1507890.299210235</v>
      </c>
      <c r="U26" s="39">
        <f t="shared" si="6"/>
        <v>-1538048.1051944396</v>
      </c>
      <c r="V26" s="39">
        <f t="shared" si="6"/>
        <v>-1568809.0672983283</v>
      </c>
      <c r="W26" s="39">
        <f t="shared" si="6"/>
        <v>-1600185.2486442949</v>
      </c>
      <c r="X26" s="39">
        <f t="shared" si="6"/>
        <v>-1632188.9536171807</v>
      </c>
      <c r="Y26" s="39">
        <f t="shared" si="6"/>
        <v>-1664832.7326895245</v>
      </c>
      <c r="Z26" s="39">
        <f t="shared" si="6"/>
        <v>-1698129.3873433147</v>
      </c>
      <c r="AA26" s="39"/>
      <c r="AB26" s="39">
        <f t="shared" si="6"/>
        <v>-1732091.975090181</v>
      </c>
      <c r="AC26" s="39">
        <f t="shared" si="6"/>
        <v>-1766733.8145919847</v>
      </c>
    </row>
    <row r="27" spans="2:30" x14ac:dyDescent="0.45">
      <c r="B27" s="25" t="s">
        <v>47</v>
      </c>
      <c r="C27" s="39"/>
      <c r="D27" s="39">
        <f t="shared" ref="D27:AC27" si="7">D16*$E$10*-1</f>
        <v>-6794956.7952000005</v>
      </c>
      <c r="E27" s="39">
        <f t="shared" si="7"/>
        <v>-7400034.2727675</v>
      </c>
      <c r="F27" s="39">
        <f t="shared" si="7"/>
        <v>-7782173.8107120013</v>
      </c>
      <c r="G27" s="39">
        <f t="shared" si="7"/>
        <v>-6463320.8011743659</v>
      </c>
      <c r="H27" s="39">
        <f t="shared" si="7"/>
        <v>-6738110.4160131803</v>
      </c>
      <c r="I27" s="39">
        <f t="shared" si="7"/>
        <v>-7053798.9214971336</v>
      </c>
      <c r="J27" s="39">
        <f t="shared" si="7"/>
        <v>-8794089.2268208303</v>
      </c>
      <c r="K27" s="39">
        <f t="shared" si="7"/>
        <v>-9302171.9823279828</v>
      </c>
      <c r="L27" s="39">
        <f t="shared" si="7"/>
        <v>-9684061.1678583082</v>
      </c>
      <c r="M27" s="39">
        <f t="shared" si="7"/>
        <v>-12218052.449167399</v>
      </c>
      <c r="N27" s="39">
        <f t="shared" si="7"/>
        <v>-12634259.815397579</v>
      </c>
      <c r="O27" s="39">
        <f t="shared" si="7"/>
        <v>-10889239.283424938</v>
      </c>
      <c r="P27" s="39">
        <f t="shared" si="7"/>
        <v>-10134596.438480554</v>
      </c>
      <c r="Q27" s="39">
        <f t="shared" si="7"/>
        <v>-12759521.094693525</v>
      </c>
      <c r="R27" s="39">
        <f t="shared" si="7"/>
        <v>-11045108.642884925</v>
      </c>
      <c r="S27" s="39">
        <f t="shared" si="7"/>
        <v>-13538929.124809116</v>
      </c>
      <c r="T27" s="39">
        <f t="shared" si="7"/>
        <v>-14379005.147514403</v>
      </c>
      <c r="U27" s="39">
        <f t="shared" si="7"/>
        <v>-15858674.15688768</v>
      </c>
      <c r="V27" s="39">
        <f t="shared" si="7"/>
        <v>-15369078.617491739</v>
      </c>
      <c r="W27" s="39">
        <f t="shared" si="7"/>
        <v>-16072430.266092591</v>
      </c>
      <c r="X27" s="39">
        <f t="shared" si="7"/>
        <v>-21534493.17060107</v>
      </c>
      <c r="Y27" s="39">
        <f t="shared" si="7"/>
        <v>-17921193.990878038</v>
      </c>
      <c r="Z27" s="39">
        <f t="shared" si="7"/>
        <v>-18471006.793066796</v>
      </c>
      <c r="AA27" s="39"/>
      <c r="AB27" s="39">
        <f t="shared" si="7"/>
        <v>-22985658.390134919</v>
      </c>
      <c r="AC27" s="39">
        <f t="shared" si="7"/>
        <v>-20757994.407766186</v>
      </c>
    </row>
    <row r="28" spans="2:30" x14ac:dyDescent="0.45">
      <c r="B28" s="25" t="s">
        <v>48</v>
      </c>
      <c r="C28" s="39"/>
      <c r="D28" s="39">
        <f t="shared" ref="D28:AC28" si="8">($I$6*$I$5)*-1*(1+$C$3)^D14</f>
        <v>-290229.67799999996</v>
      </c>
      <c r="E28" s="39">
        <f t="shared" si="8"/>
        <v>-296034.27155999996</v>
      </c>
      <c r="F28" s="39">
        <f t="shared" si="8"/>
        <v>-301954.95699119993</v>
      </c>
      <c r="G28" s="39">
        <f t="shared" si="8"/>
        <v>-307994.05613102397</v>
      </c>
      <c r="H28" s="39">
        <f t="shared" si="8"/>
        <v>-314153.93725364446</v>
      </c>
      <c r="I28" s="39">
        <f t="shared" si="8"/>
        <v>-320437.01599871734</v>
      </c>
      <c r="J28" s="39">
        <f t="shared" si="8"/>
        <v>-326845.75631869165</v>
      </c>
      <c r="K28" s="39">
        <f t="shared" si="8"/>
        <v>-333382.67144506547</v>
      </c>
      <c r="L28" s="39">
        <f t="shared" si="8"/>
        <v>-340050.32487396681</v>
      </c>
      <c r="M28" s="39">
        <f t="shared" si="8"/>
        <v>-346851.33137144614</v>
      </c>
      <c r="N28" s="39">
        <f t="shared" si="8"/>
        <v>-353788.35799887503</v>
      </c>
      <c r="O28" s="39">
        <f t="shared" si="8"/>
        <v>-360864.12515885255</v>
      </c>
      <c r="P28" s="39">
        <f t="shared" si="8"/>
        <v>-368081.40766202961</v>
      </c>
      <c r="Q28" s="39">
        <f t="shared" si="8"/>
        <v>-375443.03581527021</v>
      </c>
      <c r="R28" s="39">
        <f t="shared" si="8"/>
        <v>-382951.89653157553</v>
      </c>
      <c r="S28" s="39">
        <f t="shared" si="8"/>
        <v>-390610.93446220708</v>
      </c>
      <c r="T28" s="39">
        <f t="shared" si="8"/>
        <v>-398423.15315145126</v>
      </c>
      <c r="U28" s="39">
        <f t="shared" si="8"/>
        <v>-406391.61621448025</v>
      </c>
      <c r="V28" s="39">
        <f t="shared" si="8"/>
        <v>-414519.44853876985</v>
      </c>
      <c r="W28" s="39">
        <f t="shared" si="8"/>
        <v>-422809.83750954526</v>
      </c>
      <c r="X28" s="39">
        <f t="shared" si="8"/>
        <v>-431266.03425973619</v>
      </c>
      <c r="Y28" s="39">
        <f t="shared" si="8"/>
        <v>-439891.35494493094</v>
      </c>
      <c r="Z28" s="39">
        <f t="shared" si="8"/>
        <v>-448689.18204382947</v>
      </c>
      <c r="AA28" s="39"/>
      <c r="AB28" s="39">
        <f t="shared" si="8"/>
        <v>-457662.96568470605</v>
      </c>
      <c r="AC28" s="39">
        <f t="shared" si="8"/>
        <v>-466816.2249984002</v>
      </c>
    </row>
    <row r="29" spans="2:30" x14ac:dyDescent="0.45">
      <c r="B29" s="25" t="s">
        <v>3</v>
      </c>
      <c r="C29" s="39"/>
      <c r="D29" s="39">
        <f>D16*$E$3*-1</f>
        <v>-695056.64928000001</v>
      </c>
      <c r="E29" s="39">
        <f>E16*$E$3*-1</f>
        <v>-756950.0706495</v>
      </c>
      <c r="F29" s="39">
        <f t="shared" ref="F29:AC29" si="9">F16*$E$3*-1</f>
        <v>-796039.15315680008</v>
      </c>
      <c r="G29" s="39">
        <f t="shared" si="9"/>
        <v>-661133.57813539309</v>
      </c>
      <c r="H29" s="39">
        <f t="shared" si="9"/>
        <v>-689241.82881356194</v>
      </c>
      <c r="I29" s="39">
        <f t="shared" si="9"/>
        <v>-721533.63013787474</v>
      </c>
      <c r="J29" s="39">
        <f t="shared" si="9"/>
        <v>-899548.0583160239</v>
      </c>
      <c r="K29" s="39">
        <f t="shared" si="9"/>
        <v>-951519.88216179365</v>
      </c>
      <c r="L29" s="39">
        <f t="shared" si="9"/>
        <v>-990583.35610153701</v>
      </c>
      <c r="M29" s="39">
        <f t="shared" si="9"/>
        <v>-1249785.5177010926</v>
      </c>
      <c r="N29" s="39">
        <f t="shared" si="9"/>
        <v>-1292359.4009643325</v>
      </c>
      <c r="O29" s="39">
        <f t="shared" si="9"/>
        <v>-1113861.1175411767</v>
      </c>
      <c r="P29" s="39">
        <f t="shared" si="9"/>
        <v>-1036668.6433254918</v>
      </c>
      <c r="Q29" s="39">
        <f t="shared" si="9"/>
        <v>-1305172.3867854446</v>
      </c>
      <c r="R29" s="39">
        <f t="shared" si="9"/>
        <v>-1129805.0062187633</v>
      </c>
      <c r="S29" s="39">
        <f t="shared" si="9"/>
        <v>-1384898.0936827646</v>
      </c>
      <c r="T29" s="39">
        <f t="shared" si="9"/>
        <v>-1470829.534173229</v>
      </c>
      <c r="U29" s="39">
        <f t="shared" si="9"/>
        <v>-1622184.9900938543</v>
      </c>
      <c r="V29" s="39">
        <f t="shared" si="9"/>
        <v>-1572104.2249953381</v>
      </c>
      <c r="W29" s="39">
        <f t="shared" si="9"/>
        <v>-1644050.1188216847</v>
      </c>
      <c r="X29" s="39">
        <f t="shared" si="9"/>
        <v>-2202764.9502752237</v>
      </c>
      <c r="Y29" s="39">
        <f t="shared" si="9"/>
        <v>-1833160.3013569899</v>
      </c>
      <c r="Z29" s="39">
        <f t="shared" si="9"/>
        <v>-1889400.6948633213</v>
      </c>
      <c r="AA29" s="39"/>
      <c r="AB29" s="39">
        <f t="shared" si="9"/>
        <v>-2351204.7513573123</v>
      </c>
      <c r="AC29" s="39">
        <f t="shared" si="9"/>
        <v>-2123336.8325501289</v>
      </c>
    </row>
    <row r="30" spans="2:30" x14ac:dyDescent="0.45">
      <c r="B30" s="25" t="s">
        <v>49</v>
      </c>
      <c r="C30" s="39"/>
      <c r="D30" s="39">
        <f>D16*$E$4*-1</f>
        <v>-100627.60444800001</v>
      </c>
      <c r="E30" s="39">
        <f>E16*$E$4*-1</f>
        <v>-109588.29381045001</v>
      </c>
      <c r="F30" s="39">
        <f t="shared" ref="F30:AC30" si="10">F16*$E$4*-1</f>
        <v>-115247.45948688002</v>
      </c>
      <c r="G30" s="39">
        <f t="shared" si="10"/>
        <v>-95716.35384945244</v>
      </c>
      <c r="H30" s="39">
        <f t="shared" si="10"/>
        <v>-99785.757305844032</v>
      </c>
      <c r="I30" s="39">
        <f t="shared" si="10"/>
        <v>-104460.83899011022</v>
      </c>
      <c r="J30" s="39">
        <f t="shared" si="10"/>
        <v>-130233.07709948407</v>
      </c>
      <c r="K30" s="39">
        <f t="shared" si="10"/>
        <v>-137757.35607417012</v>
      </c>
      <c r="L30" s="39">
        <f t="shared" si="10"/>
        <v>-143412.81424156579</v>
      </c>
      <c r="M30" s="39">
        <f t="shared" si="10"/>
        <v>-180939.0973388149</v>
      </c>
      <c r="N30" s="39">
        <f t="shared" si="10"/>
        <v>-187102.77894558248</v>
      </c>
      <c r="O30" s="39">
        <f t="shared" si="10"/>
        <v>-161260.4901514838</v>
      </c>
      <c r="P30" s="39">
        <f t="shared" si="10"/>
        <v>-150084.86328742196</v>
      </c>
      <c r="Q30" s="39">
        <f t="shared" si="10"/>
        <v>-188957.79331072854</v>
      </c>
      <c r="R30" s="39">
        <f t="shared" si="10"/>
        <v>-163568.78448241798</v>
      </c>
      <c r="S30" s="39">
        <f t="shared" si="10"/>
        <v>-200500.17177198234</v>
      </c>
      <c r="T30" s="39">
        <f t="shared" si="10"/>
        <v>-212940.9922609003</v>
      </c>
      <c r="U30" s="39">
        <f t="shared" si="10"/>
        <v>-234853.64781955801</v>
      </c>
      <c r="V30" s="39">
        <f t="shared" si="10"/>
        <v>-227603.1489918624</v>
      </c>
      <c r="W30" s="39">
        <f t="shared" si="10"/>
        <v>-238019.19630702006</v>
      </c>
      <c r="X30" s="39">
        <f t="shared" si="10"/>
        <v>-318907.76145775628</v>
      </c>
      <c r="Y30" s="39">
        <f t="shared" si="10"/>
        <v>-265397.8346740717</v>
      </c>
      <c r="Z30" s="39">
        <f t="shared" si="10"/>
        <v>-273540.10059961519</v>
      </c>
      <c r="AA30" s="39"/>
      <c r="AB30" s="39">
        <f t="shared" si="10"/>
        <v>-340398.29982337204</v>
      </c>
      <c r="AC30" s="39">
        <f t="shared" si="10"/>
        <v>-307408.4668020336</v>
      </c>
    </row>
    <row r="31" spans="2:30" x14ac:dyDescent="0.45">
      <c r="B31" s="25" t="s">
        <v>50</v>
      </c>
      <c r="C31" s="39"/>
      <c r="D31" s="39">
        <f t="shared" ref="D31:AC31" si="11">($K$3*$C$5)*-1*(1+$C$3)^D14</f>
        <v>-597342.6</v>
      </c>
      <c r="E31" s="39">
        <f t="shared" si="11"/>
        <v>-609289.45200000005</v>
      </c>
      <c r="F31" s="39">
        <f t="shared" si="11"/>
        <v>-621475.24103999999</v>
      </c>
      <c r="G31" s="39">
        <f t="shared" si="11"/>
        <v>-633904.74586080003</v>
      </c>
      <c r="H31" s="39">
        <f t="shared" si="11"/>
        <v>-646582.84077801602</v>
      </c>
      <c r="I31" s="39">
        <f t="shared" si="11"/>
        <v>-659514.49759357632</v>
      </c>
      <c r="J31" s="39">
        <f t="shared" si="11"/>
        <v>-672704.7875454477</v>
      </c>
      <c r="K31" s="39">
        <f t="shared" si="11"/>
        <v>-686158.88329635677</v>
      </c>
      <c r="L31" s="39">
        <f t="shared" si="11"/>
        <v>-699882.06096228387</v>
      </c>
      <c r="M31" s="39">
        <f t="shared" si="11"/>
        <v>-713879.7021815296</v>
      </c>
      <c r="N31" s="39">
        <f t="shared" si="11"/>
        <v>-728157.29622516001</v>
      </c>
      <c r="O31" s="39">
        <f t="shared" si="11"/>
        <v>-742720.44214966334</v>
      </c>
      <c r="P31" s="39">
        <f t="shared" si="11"/>
        <v>-757574.85099265666</v>
      </c>
      <c r="Q31" s="39">
        <f t="shared" si="11"/>
        <v>-772726.34801250987</v>
      </c>
      <c r="R31" s="39">
        <f t="shared" si="11"/>
        <v>-788180.87497275975</v>
      </c>
      <c r="S31" s="39">
        <f t="shared" si="11"/>
        <v>-803944.49247221509</v>
      </c>
      <c r="T31" s="39">
        <f t="shared" si="11"/>
        <v>-820023.38232165948</v>
      </c>
      <c r="U31" s="39">
        <f t="shared" si="11"/>
        <v>-836423.84996809263</v>
      </c>
      <c r="V31" s="39">
        <f t="shared" si="11"/>
        <v>-853152.3269674544</v>
      </c>
      <c r="W31" s="39">
        <f t="shared" si="11"/>
        <v>-870215.37350680365</v>
      </c>
      <c r="X31" s="39">
        <f t="shared" si="11"/>
        <v>-887619.68097693962</v>
      </c>
      <c r="Y31" s="39">
        <f t="shared" si="11"/>
        <v>-905372.07459647849</v>
      </c>
      <c r="Z31" s="39">
        <f t="shared" si="11"/>
        <v>-923479.51608840784</v>
      </c>
      <c r="AA31" s="39"/>
      <c r="AB31" s="39">
        <f t="shared" si="11"/>
        <v>-941949.10641017603</v>
      </c>
      <c r="AC31" s="39">
        <f t="shared" si="11"/>
        <v>-960788.08853837952</v>
      </c>
    </row>
    <row r="32" spans="2:30" x14ac:dyDescent="0.45">
      <c r="B32" s="25" t="s">
        <v>12</v>
      </c>
      <c r="C32" s="39"/>
      <c r="D32" s="39">
        <f>D21*$E$5</f>
        <v>-135639.89942630398</v>
      </c>
      <c r="E32" s="39">
        <f>E21*$E$5</f>
        <v>-148200.15411317977</v>
      </c>
      <c r="F32" s="39">
        <f t="shared" ref="F32:AC32" si="12">F21*$E$5</f>
        <v>-161923.48838406021</v>
      </c>
      <c r="G32" s="39">
        <f t="shared" si="12"/>
        <v>-176917.60340842413</v>
      </c>
      <c r="H32" s="39">
        <f t="shared" si="12"/>
        <v>-180486.49651200001</v>
      </c>
      <c r="I32" s="39">
        <f t="shared" si="12"/>
        <v>-184096.22644224</v>
      </c>
      <c r="J32" s="39">
        <f t="shared" si="12"/>
        <v>-187778.15097108475</v>
      </c>
      <c r="K32" s="39">
        <f t="shared" si="12"/>
        <v>-191533.71399050648</v>
      </c>
      <c r="L32" s="39">
        <f t="shared" si="12"/>
        <v>-195364.38827031662</v>
      </c>
      <c r="M32" s="39">
        <f t="shared" si="12"/>
        <v>-199271.67603572295</v>
      </c>
      <c r="N32" s="39">
        <f t="shared" si="12"/>
        <v>-203257.10955643738</v>
      </c>
      <c r="O32" s="39">
        <f t="shared" si="12"/>
        <v>-207322.25174756613</v>
      </c>
      <c r="P32" s="39">
        <f t="shared" si="12"/>
        <v>-211468.69678251745</v>
      </c>
      <c r="Q32" s="39">
        <f t="shared" si="12"/>
        <v>-215698.07071816782</v>
      </c>
      <c r="R32" s="39">
        <f t="shared" si="12"/>
        <v>-220012.03213253114</v>
      </c>
      <c r="S32" s="39">
        <f t="shared" si="12"/>
        <v>-224412.2727751818</v>
      </c>
      <c r="T32" s="39">
        <f t="shared" si="12"/>
        <v>-228900.51823068544</v>
      </c>
      <c r="U32" s="39">
        <f t="shared" si="12"/>
        <v>-233478.52859529917</v>
      </c>
      <c r="V32" s="39">
        <f t="shared" si="12"/>
        <v>-238148.0991672051</v>
      </c>
      <c r="W32" s="39">
        <f t="shared" si="12"/>
        <v>-242911.06115054921</v>
      </c>
      <c r="X32" s="39">
        <f t="shared" si="12"/>
        <v>-247769.28237356024</v>
      </c>
      <c r="Y32" s="39">
        <f>Y21*$E$5</f>
        <v>-252724.66802103139</v>
      </c>
      <c r="Z32" s="39">
        <f t="shared" si="12"/>
        <v>-257779.16138145202</v>
      </c>
      <c r="AA32" s="39"/>
      <c r="AB32" s="39">
        <f t="shared" si="12"/>
        <v>-262934.74460908107</v>
      </c>
      <c r="AC32" s="39">
        <f t="shared" si="12"/>
        <v>-268193.43950126268</v>
      </c>
    </row>
    <row r="33" spans="2:29" x14ac:dyDescent="0.45">
      <c r="B33" s="26" t="s">
        <v>10</v>
      </c>
      <c r="C33" s="39"/>
      <c r="D33" s="39">
        <f t="shared" ref="D33:AC33" si="13">(-$K$4)*(1+$E$11)^D14</f>
        <v>-64121.509399999995</v>
      </c>
      <c r="E33" s="39">
        <f t="shared" si="13"/>
        <v>-65589.891965259987</v>
      </c>
      <c r="F33" s="39">
        <f t="shared" si="13"/>
        <v>-67091.90049126443</v>
      </c>
      <c r="G33" s="39">
        <f t="shared" si="13"/>
        <v>-68628.305012514378</v>
      </c>
      <c r="H33" s="39">
        <f t="shared" si="13"/>
        <v>-70199.893197300946</v>
      </c>
      <c r="I33" s="39">
        <f t="shared" si="13"/>
        <v>-71807.470751519126</v>
      </c>
      <c r="J33" s="39">
        <f t="shared" si="13"/>
        <v>-73451.861831728907</v>
      </c>
      <c r="K33" s="39">
        <f t="shared" si="13"/>
        <v>-75133.909467675476</v>
      </c>
      <c r="L33" s="39">
        <f t="shared" si="13"/>
        <v>-76854.475994485241</v>
      </c>
      <c r="M33" s="39">
        <f t="shared" si="13"/>
        <v>-78614.443494758947</v>
      </c>
      <c r="N33" s="39">
        <f t="shared" si="13"/>
        <v>-80414.714250788922</v>
      </c>
      <c r="O33" s="39">
        <f t="shared" si="13"/>
        <v>-82256.211207131972</v>
      </c>
      <c r="P33" s="39">
        <f t="shared" si="13"/>
        <v>-84139.878443775277</v>
      </c>
      <c r="Q33" s="39">
        <f t="shared" si="13"/>
        <v>-86066.681660137721</v>
      </c>
      <c r="R33" s="39">
        <f t="shared" si="13"/>
        <v>-88037.608670154863</v>
      </c>
      <c r="S33" s="39">
        <f t="shared" si="13"/>
        <v>-90053.669908701384</v>
      </c>
      <c r="T33" s="39">
        <f t="shared" si="13"/>
        <v>-92115.898949610637</v>
      </c>
      <c r="U33" s="39">
        <f t="shared" si="13"/>
        <v>-94225.353035556705</v>
      </c>
      <c r="V33" s="39">
        <f t="shared" si="13"/>
        <v>-96383.113620070944</v>
      </c>
      <c r="W33" s="39">
        <f t="shared" si="13"/>
        <v>-98590.286921970561</v>
      </c>
      <c r="X33" s="39">
        <f t="shared" si="13"/>
        <v>-100848.00449248367</v>
      </c>
      <c r="Y33" s="39">
        <f t="shared" si="13"/>
        <v>-103157.42379536154</v>
      </c>
      <c r="Z33" s="39">
        <f t="shared" si="13"/>
        <v>-105519.7288002753</v>
      </c>
      <c r="AA33" s="39"/>
      <c r="AB33" s="39">
        <f t="shared" si="13"/>
        <v>-107936.13058980157</v>
      </c>
      <c r="AC33" s="39">
        <f t="shared" si="13"/>
        <v>-110407.86798030802</v>
      </c>
    </row>
    <row r="34" spans="2:29" x14ac:dyDescent="0.45">
      <c r="B34" s="27" t="s">
        <v>51</v>
      </c>
      <c r="C34" s="39"/>
      <c r="D34" s="39">
        <f>SUM(D21:D33)</f>
        <v>-22934510.064362951</v>
      </c>
      <c r="E34" s="39">
        <f t="shared" ref="E34:AC34" si="14">SUM(E21:E33)</f>
        <v>-25240020.613454059</v>
      </c>
      <c r="F34" s="39">
        <f t="shared" si="14"/>
        <v>-26842807.188832954</v>
      </c>
      <c r="G34" s="39">
        <f t="shared" si="14"/>
        <v>-25604613.710265342</v>
      </c>
      <c r="H34" s="39">
        <f t="shared" si="14"/>
        <v>-26331780.514973316</v>
      </c>
      <c r="I34" s="39">
        <f t="shared" si="14"/>
        <v>-27274430.349960126</v>
      </c>
      <c r="J34" s="39">
        <f t="shared" si="14"/>
        <v>-30381253.457932577</v>
      </c>
      <c r="K34" s="39">
        <f t="shared" si="14"/>
        <v>-31176304.307234701</v>
      </c>
      <c r="L34" s="39">
        <f t="shared" si="14"/>
        <v>-32204815.846487474</v>
      </c>
      <c r="M34" s="39">
        <f t="shared" si="14"/>
        <v>-36729144.257034548</v>
      </c>
      <c r="N34" s="39">
        <f t="shared" si="14"/>
        <v>-37959926.539356411</v>
      </c>
      <c r="O34" s="39">
        <f t="shared" si="14"/>
        <v>-35573972.910917357</v>
      </c>
      <c r="P34" s="39">
        <f t="shared" si="14"/>
        <v>-34360864.166824847</v>
      </c>
      <c r="Q34" s="39">
        <f t="shared" si="14"/>
        <v>-39449303.609857768</v>
      </c>
      <c r="R34" s="39">
        <f t="shared" si="14"/>
        <v>-36820921.019281082</v>
      </c>
      <c r="S34" s="39">
        <f t="shared" si="14"/>
        <v>-41055347.246045887</v>
      </c>
      <c r="T34" s="39">
        <f t="shared" si="14"/>
        <v>-42689381.135377504</v>
      </c>
      <c r="U34" s="39">
        <f t="shared" si="14"/>
        <v>-46505131.918336935</v>
      </c>
      <c r="V34" s="39">
        <f t="shared" si="14"/>
        <v>-45350014.015531339</v>
      </c>
      <c r="W34" s="39">
        <f t="shared" si="14"/>
        <v>-47389832.825376175</v>
      </c>
      <c r="X34" s="39">
        <f t="shared" si="14"/>
        <v>-57040644.358614646</v>
      </c>
      <c r="Y34" s="39">
        <f t="shared" si="14"/>
        <v>-51424926.678082019</v>
      </c>
      <c r="Z34" s="39">
        <f t="shared" si="14"/>
        <v>-52270680.307096645</v>
      </c>
      <c r="AA34" s="39"/>
      <c r="AB34" s="39">
        <f t="shared" si="14"/>
        <v>-60803627.527830943</v>
      </c>
      <c r="AC34" s="39">
        <f t="shared" si="14"/>
        <v>-57396034.933042988</v>
      </c>
    </row>
    <row r="35" spans="2:29" x14ac:dyDescent="0.45">
      <c r="B35" s="28" t="s">
        <v>52</v>
      </c>
      <c r="C35" s="39"/>
      <c r="D35" s="39">
        <f>SUM(D18:D33)</f>
        <v>83221567.589277059</v>
      </c>
      <c r="E35" s="39">
        <f t="shared" ref="E35:AC35" si="15">SUM(E18:E33)</f>
        <v>91323655.00410068</v>
      </c>
      <c r="F35" s="39">
        <f t="shared" si="15"/>
        <v>95765084.139667198</v>
      </c>
      <c r="G35" s="39">
        <f t="shared" si="15"/>
        <v>77156893.627493188</v>
      </c>
      <c r="H35" s="39">
        <f t="shared" si="15"/>
        <v>80609204.952870414</v>
      </c>
      <c r="I35" s="39">
        <f t="shared" si="15"/>
        <v>84821706.449786112</v>
      </c>
      <c r="J35" s="39">
        <f t="shared" si="15"/>
        <v>107847223.37484296</v>
      </c>
      <c r="K35" s="39">
        <f t="shared" si="15"/>
        <v>113921933.60798179</v>
      </c>
      <c r="L35" s="39">
        <f t="shared" si="15"/>
        <v>118947712.86707754</v>
      </c>
      <c r="M35" s="39">
        <f t="shared" si="15"/>
        <v>152736307.18658456</v>
      </c>
      <c r="N35" s="39">
        <f t="shared" si="15"/>
        <v>158411040.32951537</v>
      </c>
      <c r="O35" s="39">
        <f t="shared" si="15"/>
        <v>135015092.66268781</v>
      </c>
      <c r="P35" s="39">
        <f t="shared" si="15"/>
        <v>124199100.52646998</v>
      </c>
      <c r="Q35" s="39">
        <f t="shared" si="15"/>
        <v>159764900.13451743</v>
      </c>
      <c r="R35" s="39">
        <f t="shared" si="15"/>
        <v>136299114.05858824</v>
      </c>
      <c r="S35" s="39">
        <f t="shared" si="15"/>
        <v>169127963.75703496</v>
      </c>
      <c r="T35" s="39">
        <f t="shared" si="15"/>
        <v>179955890.12133446</v>
      </c>
      <c r="U35" s="39">
        <f t="shared" si="15"/>
        <v>201019177.94500792</v>
      </c>
      <c r="V35" s="39">
        <f t="shared" si="15"/>
        <v>193099290.7275582</v>
      </c>
      <c r="W35" s="39">
        <f t="shared" si="15"/>
        <v>202983278.8316972</v>
      </c>
      <c r="X35" s="39">
        <f t="shared" si="15"/>
        <v>276303852.00360984</v>
      </c>
      <c r="Y35" s="39">
        <f t="shared" si="15"/>
        <v>227476555.06047148</v>
      </c>
      <c r="Z35" s="39">
        <f t="shared" si="15"/>
        <v>233850473.68273336</v>
      </c>
      <c r="AA35" s="39"/>
      <c r="AB35" s="39">
        <f t="shared" si="15"/>
        <v>295075544.0664131</v>
      </c>
      <c r="AC35" s="39">
        <f t="shared" si="15"/>
        <v>264658161.53863454</v>
      </c>
    </row>
    <row r="36" spans="2:29" x14ac:dyDescent="0.45">
      <c r="B36" s="29"/>
      <c r="C36" s="39"/>
      <c r="D36" s="39"/>
      <c r="E36" s="39"/>
      <c r="F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</row>
    <row r="37" spans="2:29" x14ac:dyDescent="0.45">
      <c r="B37" s="23" t="s">
        <v>53</v>
      </c>
      <c r="C37" s="39"/>
      <c r="D37" s="39">
        <f>D35*$E$6*-1</f>
        <v>-3328862.7035710826</v>
      </c>
      <c r="E37" s="39">
        <f>E35*$E$6*-1</f>
        <v>-3652946.2001640275</v>
      </c>
      <c r="F37" s="39">
        <f>F35*$E$6*-1</f>
        <v>-3830603.3655866878</v>
      </c>
      <c r="G37" s="39">
        <f t="shared" ref="G37:AC37" si="16">G35*$E$6*-1</f>
        <v>-3086275.7450997275</v>
      </c>
      <c r="H37" s="39">
        <f t="shared" si="16"/>
        <v>-3224368.1981148166</v>
      </c>
      <c r="I37" s="39">
        <f t="shared" si="16"/>
        <v>-3392868.2579914443</v>
      </c>
      <c r="J37" s="39">
        <f t="shared" si="16"/>
        <v>-4313888.9349937188</v>
      </c>
      <c r="K37" s="39">
        <f t="shared" si="16"/>
        <v>-4556877.3443192719</v>
      </c>
      <c r="L37" s="39">
        <f t="shared" si="16"/>
        <v>-4757908.5146831023</v>
      </c>
      <c r="M37" s="39">
        <f t="shared" si="16"/>
        <v>-6109452.2874633828</v>
      </c>
      <c r="N37" s="39">
        <f t="shared" si="16"/>
        <v>-6336441.613180615</v>
      </c>
      <c r="O37" s="39">
        <f t="shared" si="16"/>
        <v>-5400603.7065075124</v>
      </c>
      <c r="P37" s="39">
        <f t="shared" si="16"/>
        <v>-4967964.0210587988</v>
      </c>
      <c r="Q37" s="39">
        <f t="shared" si="16"/>
        <v>-6390596.0053806975</v>
      </c>
      <c r="R37" s="39">
        <f t="shared" si="16"/>
        <v>-5451964.5623435294</v>
      </c>
      <c r="S37" s="39">
        <f t="shared" si="16"/>
        <v>-6765118.550281398</v>
      </c>
      <c r="T37" s="39">
        <f t="shared" si="16"/>
        <v>-7198235.6048533786</v>
      </c>
      <c r="U37" s="39">
        <f t="shared" si="16"/>
        <v>-8040767.1178003168</v>
      </c>
      <c r="V37" s="39">
        <f t="shared" si="16"/>
        <v>-7723971.6291023279</v>
      </c>
      <c r="W37" s="39">
        <f t="shared" si="16"/>
        <v>-8119331.1532678884</v>
      </c>
      <c r="X37" s="39">
        <f t="shared" si="16"/>
        <v>-11052154.080144394</v>
      </c>
      <c r="Y37" s="39">
        <f t="shared" si="16"/>
        <v>-9099062.20241886</v>
      </c>
      <c r="Z37" s="39">
        <f t="shared" si="16"/>
        <v>-9354018.9473093338</v>
      </c>
      <c r="AA37" s="39"/>
      <c r="AB37" s="39">
        <f t="shared" si="16"/>
        <v>-11803021.762656525</v>
      </c>
      <c r="AC37" s="39">
        <f t="shared" si="16"/>
        <v>-10586326.461545382</v>
      </c>
    </row>
    <row r="38" spans="2:29" x14ac:dyDescent="0.45">
      <c r="B38" s="23" t="s">
        <v>54</v>
      </c>
      <c r="C38" s="39"/>
      <c r="D38" s="39">
        <f>D35*$E$7*-1</f>
        <v>-29959764.332139742</v>
      </c>
      <c r="E38" s="39">
        <f>E35*$E$7*-1</f>
        <v>-32876515.801476244</v>
      </c>
      <c r="F38" s="39">
        <f t="shared" ref="F38:AC38" si="17">F35*$E$7*-1</f>
        <v>-34475430.290280193</v>
      </c>
      <c r="G38" s="39">
        <f t="shared" si="17"/>
        <v>-27776481.705897547</v>
      </c>
      <c r="H38" s="39">
        <f t="shared" si="17"/>
        <v>-29019313.783033349</v>
      </c>
      <c r="I38" s="39">
        <f t="shared" si="17"/>
        <v>-30535814.321922999</v>
      </c>
      <c r="J38" s="39">
        <f t="shared" si="17"/>
        <v>-38825000.414943464</v>
      </c>
      <c r="K38" s="39">
        <f t="shared" si="17"/>
        <v>-41011896.098873444</v>
      </c>
      <c r="L38" s="39">
        <f t="shared" si="17"/>
        <v>-42821176.632147916</v>
      </c>
      <c r="M38" s="39">
        <f t="shared" si="17"/>
        <v>-54985070.587170437</v>
      </c>
      <c r="N38" s="39">
        <f t="shared" si="17"/>
        <v>-57027974.518625528</v>
      </c>
      <c r="O38" s="39">
        <f t="shared" si="17"/>
        <v>-48605433.35856761</v>
      </c>
      <c r="P38" s="39">
        <f t="shared" si="17"/>
        <v>-44711676.189529188</v>
      </c>
      <c r="Q38" s="39">
        <f t="shared" si="17"/>
        <v>-57515364.04842627</v>
      </c>
      <c r="R38" s="39">
        <f t="shared" si="17"/>
        <v>-49067681.061091766</v>
      </c>
      <c r="S38" s="39">
        <f t="shared" si="17"/>
        <v>-60886066.952532582</v>
      </c>
      <c r="T38" s="39">
        <f t="shared" si="17"/>
        <v>-64784120.443680406</v>
      </c>
      <c r="U38" s="39">
        <f t="shared" si="17"/>
        <v>-72366904.060202852</v>
      </c>
      <c r="V38" s="39">
        <f t="shared" si="17"/>
        <v>-69515744.66192095</v>
      </c>
      <c r="W38" s="39">
        <f t="shared" si="17"/>
        <v>-73073980.379410982</v>
      </c>
      <c r="X38" s="39">
        <f t="shared" si="17"/>
        <v>-99469386.721299544</v>
      </c>
      <c r="Y38" s="39">
        <f t="shared" si="17"/>
        <v>-81891559.821769729</v>
      </c>
      <c r="Z38" s="39">
        <f t="shared" si="17"/>
        <v>-84186170.525784001</v>
      </c>
      <c r="AA38" s="39"/>
      <c r="AB38" s="39">
        <f t="shared" si="17"/>
        <v>-106227195.86390871</v>
      </c>
      <c r="AC38" s="39">
        <f t="shared" si="17"/>
        <v>-95276938.153908432</v>
      </c>
    </row>
    <row r="39" spans="2:29" x14ac:dyDescent="0.45">
      <c r="B39" s="24" t="s">
        <v>55</v>
      </c>
      <c r="C39" s="39"/>
      <c r="D39" s="39">
        <f>SUM(D37:D38)</f>
        <v>-33288627.035710823</v>
      </c>
      <c r="E39" s="39">
        <f t="shared" ref="E39:AC39" si="18">SUM(E37:E38)</f>
        <v>-36529462.001640275</v>
      </c>
      <c r="F39" s="39">
        <f t="shared" si="18"/>
        <v>-38306033.655866884</v>
      </c>
      <c r="G39" s="39">
        <f t="shared" si="18"/>
        <v>-30862757.450997274</v>
      </c>
      <c r="H39" s="39">
        <f t="shared" si="18"/>
        <v>-32243681.981148165</v>
      </c>
      <c r="I39" s="39">
        <f t="shared" si="18"/>
        <v>-33928682.579914443</v>
      </c>
      <c r="J39" s="39">
        <f t="shared" si="18"/>
        <v>-43138889.349937186</v>
      </c>
      <c r="K39" s="39">
        <f t="shared" si="18"/>
        <v>-45568773.443192713</v>
      </c>
      <c r="L39" s="39">
        <f t="shared" si="18"/>
        <v>-47579085.146831021</v>
      </c>
      <c r="M39" s="39">
        <f t="shared" si="18"/>
        <v>-61094522.874633819</v>
      </c>
      <c r="N39" s="39">
        <f t="shared" si="18"/>
        <v>-63364416.131806143</v>
      </c>
      <c r="O39" s="39">
        <f t="shared" si="18"/>
        <v>-54006037.065075122</v>
      </c>
      <c r="P39" s="39">
        <f t="shared" si="18"/>
        <v>-49679640.210587986</v>
      </c>
      <c r="Q39" s="39">
        <f t="shared" si="18"/>
        <v>-63905960.053806968</v>
      </c>
      <c r="R39" s="39">
        <f t="shared" si="18"/>
        <v>-54519645.623435296</v>
      </c>
      <c r="S39" s="39">
        <f t="shared" si="18"/>
        <v>-67651185.50281398</v>
      </c>
      <c r="T39" s="39">
        <f t="shared" si="18"/>
        <v>-71982356.048533782</v>
      </c>
      <c r="U39" s="39">
        <f t="shared" si="18"/>
        <v>-80407671.178003162</v>
      </c>
      <c r="V39" s="39">
        <f t="shared" si="18"/>
        <v>-77239716.291023284</v>
      </c>
      <c r="W39" s="39">
        <f t="shared" si="18"/>
        <v>-81193311.532678872</v>
      </c>
      <c r="X39" s="39">
        <f t="shared" si="18"/>
        <v>-110521540.80144393</v>
      </c>
      <c r="Y39" s="39">
        <f t="shared" si="18"/>
        <v>-90990622.024188593</v>
      </c>
      <c r="Z39" s="39">
        <f t="shared" si="18"/>
        <v>-93540189.473093331</v>
      </c>
      <c r="AA39" s="39"/>
      <c r="AB39" s="39">
        <f t="shared" si="18"/>
        <v>-118030217.62656523</v>
      </c>
      <c r="AC39" s="39">
        <f t="shared" si="18"/>
        <v>-105863264.61545381</v>
      </c>
    </row>
    <row r="40" spans="2:29" x14ac:dyDescent="0.45">
      <c r="B40" s="2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</row>
    <row r="41" spans="2:29" x14ac:dyDescent="0.45">
      <c r="B41" s="23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</row>
    <row r="42" spans="2:29" x14ac:dyDescent="0.45">
      <c r="B42" s="25" t="s">
        <v>57</v>
      </c>
      <c r="C42" s="39"/>
      <c r="D42" s="39">
        <f t="shared" ref="D42:AC42" si="19">$K$7*$C$5*(1+$C$3)^D14*-1</f>
        <v>-1274661.3600000001</v>
      </c>
      <c r="E42" s="39">
        <f t="shared" si="19"/>
        <v>-1300154.5872</v>
      </c>
      <c r="F42" s="39">
        <f t="shared" si="19"/>
        <v>-1326157.6789439998</v>
      </c>
      <c r="G42" s="39">
        <f t="shared" si="19"/>
        <v>-1352680.8325228801</v>
      </c>
      <c r="H42" s="39">
        <f t="shared" si="19"/>
        <v>-1379734.4491733375</v>
      </c>
      <c r="I42" s="39">
        <f t="shared" si="19"/>
        <v>-1407329.1381568045</v>
      </c>
      <c r="J42" s="39">
        <f t="shared" si="19"/>
        <v>-1435475.7209199402</v>
      </c>
      <c r="K42" s="39">
        <f t="shared" si="19"/>
        <v>-1464185.2353383391</v>
      </c>
      <c r="L42" s="39">
        <f t="shared" si="19"/>
        <v>-1493468.940045106</v>
      </c>
      <c r="M42" s="39">
        <f t="shared" si="19"/>
        <v>-1523338.318846008</v>
      </c>
      <c r="N42" s="39">
        <f t="shared" si="19"/>
        <v>-1553805.0852229281</v>
      </c>
      <c r="O42" s="39">
        <f t="shared" si="19"/>
        <v>-1584881.1869273868</v>
      </c>
      <c r="P42" s="39">
        <f t="shared" si="19"/>
        <v>-1616578.8106659343</v>
      </c>
      <c r="Q42" s="39">
        <f t="shared" si="19"/>
        <v>-1648910.3868792532</v>
      </c>
      <c r="R42" s="39">
        <f t="shared" si="19"/>
        <v>-1681888.5946168378</v>
      </c>
      <c r="S42" s="39">
        <f t="shared" si="19"/>
        <v>-1715526.3665091749</v>
      </c>
      <c r="T42" s="39">
        <f t="shared" si="19"/>
        <v>-1749836.8938393586</v>
      </c>
      <c r="U42" s="39">
        <f t="shared" si="19"/>
        <v>-1784833.6317161457</v>
      </c>
      <c r="V42" s="39">
        <f t="shared" si="19"/>
        <v>-1820530.3043504683</v>
      </c>
      <c r="W42" s="39">
        <f t="shared" si="19"/>
        <v>-1856940.910437478</v>
      </c>
      <c r="X42" s="39">
        <f t="shared" si="19"/>
        <v>-1894079.7286462274</v>
      </c>
      <c r="Y42" s="39">
        <f t="shared" si="19"/>
        <v>-1931961.3232191522</v>
      </c>
      <c r="Z42" s="39">
        <f t="shared" si="19"/>
        <v>-1970600.5496835348</v>
      </c>
      <c r="AA42" s="39"/>
      <c r="AB42" s="39">
        <f t="shared" si="19"/>
        <v>-2010012.5606772054</v>
      </c>
      <c r="AC42" s="39">
        <f t="shared" si="19"/>
        <v>-2050212.8118907497</v>
      </c>
    </row>
    <row r="43" spans="2:29" x14ac:dyDescent="0.45">
      <c r="B43" s="25" t="s">
        <v>58</v>
      </c>
      <c r="C43" s="39"/>
      <c r="D43" s="39">
        <f t="shared" ref="D43:AC43" si="20">$K$8*$C$5*(1+$C$3)^D14*-1</f>
        <v>-2684489.04</v>
      </c>
      <c r="E43" s="39">
        <f t="shared" si="20"/>
        <v>-2738178.8207999999</v>
      </c>
      <c r="F43" s="39">
        <f t="shared" si="20"/>
        <v>-2792942.3972159997</v>
      </c>
      <c r="G43" s="39">
        <f t="shared" si="20"/>
        <v>-2848801.2451603198</v>
      </c>
      <c r="H43" s="39">
        <f t="shared" si="20"/>
        <v>-2905777.2700635265</v>
      </c>
      <c r="I43" s="39">
        <f t="shared" si="20"/>
        <v>-2963892.815464797</v>
      </c>
      <c r="J43" s="39">
        <f t="shared" si="20"/>
        <v>-3023170.6717740926</v>
      </c>
      <c r="K43" s="39">
        <f t="shared" si="20"/>
        <v>-3083634.0852095746</v>
      </c>
      <c r="L43" s="39">
        <f t="shared" si="20"/>
        <v>-3145306.766913766</v>
      </c>
      <c r="M43" s="39">
        <f t="shared" si="20"/>
        <v>-3208212.9022520413</v>
      </c>
      <c r="N43" s="39">
        <f t="shared" si="20"/>
        <v>-3272377.1602970818</v>
      </c>
      <c r="O43" s="39">
        <f t="shared" si="20"/>
        <v>-3337824.7035030238</v>
      </c>
      <c r="P43" s="39">
        <f t="shared" si="20"/>
        <v>-3404581.1975730839</v>
      </c>
      <c r="Q43" s="39">
        <f t="shared" si="20"/>
        <v>-3472672.821524546</v>
      </c>
      <c r="R43" s="39">
        <f t="shared" si="20"/>
        <v>-3542126.2779550361</v>
      </c>
      <c r="S43" s="39">
        <f t="shared" si="20"/>
        <v>-3612968.8035141374</v>
      </c>
      <c r="T43" s="39">
        <f t="shared" si="20"/>
        <v>-3685228.1795844208</v>
      </c>
      <c r="U43" s="39">
        <f t="shared" si="20"/>
        <v>-3758932.7431761087</v>
      </c>
      <c r="V43" s="39">
        <f t="shared" si="20"/>
        <v>-3834111.3980396306</v>
      </c>
      <c r="W43" s="39">
        <f t="shared" si="20"/>
        <v>-3910793.6260004235</v>
      </c>
      <c r="X43" s="39">
        <f t="shared" si="20"/>
        <v>-3989009.4985204316</v>
      </c>
      <c r="Y43" s="39">
        <f t="shared" si="20"/>
        <v>-4068789.6884908406</v>
      </c>
      <c r="Z43" s="39">
        <f t="shared" si="20"/>
        <v>-4150165.4822606565</v>
      </c>
      <c r="AA43" s="39"/>
      <c r="AB43" s="39">
        <f t="shared" si="20"/>
        <v>-4233168.7919058697</v>
      </c>
      <c r="AC43" s="39">
        <f t="shared" si="20"/>
        <v>-4317832.1677439874</v>
      </c>
    </row>
    <row r="44" spans="2:29" x14ac:dyDescent="0.45">
      <c r="B44" s="25" t="s">
        <v>59</v>
      </c>
      <c r="C44" s="39"/>
      <c r="D44" s="39">
        <f t="shared" ref="D44:AC44" si="21">$K$9*$C$5*(1+$C$3)^D14*-1</f>
        <v>-1459069.2</v>
      </c>
      <c r="E44" s="39">
        <f t="shared" si="21"/>
        <v>-1488250.584</v>
      </c>
      <c r="F44" s="39">
        <f t="shared" si="21"/>
        <v>-1518015.5956799998</v>
      </c>
      <c r="G44" s="39">
        <f t="shared" si="21"/>
        <v>-1548375.9075936</v>
      </c>
      <c r="H44" s="39">
        <f t="shared" si="21"/>
        <v>-1579343.4257454721</v>
      </c>
      <c r="I44" s="39">
        <f t="shared" si="21"/>
        <v>-1610930.2942603815</v>
      </c>
      <c r="J44" s="39">
        <f t="shared" si="21"/>
        <v>-1643148.9001455889</v>
      </c>
      <c r="K44" s="39">
        <f t="shared" si="21"/>
        <v>-1676011.8781485008</v>
      </c>
      <c r="L44" s="39">
        <f t="shared" si="21"/>
        <v>-1709532.1157114708</v>
      </c>
      <c r="M44" s="39">
        <f t="shared" si="21"/>
        <v>-1743722.7580257002</v>
      </c>
      <c r="N44" s="39">
        <f t="shared" si="21"/>
        <v>-1778597.213186214</v>
      </c>
      <c r="O44" s="39">
        <f t="shared" si="21"/>
        <v>-1814169.1574499386</v>
      </c>
      <c r="P44" s="39">
        <f t="shared" si="21"/>
        <v>-1850452.5405989371</v>
      </c>
      <c r="Q44" s="39">
        <f t="shared" si="21"/>
        <v>-1887461.5914109161</v>
      </c>
      <c r="R44" s="39">
        <f t="shared" si="21"/>
        <v>-1925210.8232391339</v>
      </c>
      <c r="S44" s="39">
        <f t="shared" si="21"/>
        <v>-1963715.039703917</v>
      </c>
      <c r="T44" s="39">
        <f t="shared" si="21"/>
        <v>-2002989.3404979955</v>
      </c>
      <c r="U44" s="39">
        <f t="shared" si="21"/>
        <v>-2043049.1273079552</v>
      </c>
      <c r="V44" s="39">
        <f t="shared" si="21"/>
        <v>-2083910.109854114</v>
      </c>
      <c r="W44" s="39">
        <f t="shared" si="21"/>
        <v>-2125588.3120511966</v>
      </c>
      <c r="X44" s="39">
        <f t="shared" si="21"/>
        <v>-2168100.0782922204</v>
      </c>
      <c r="Y44" s="39">
        <f t="shared" si="21"/>
        <v>-2211462.0798580651</v>
      </c>
      <c r="Z44" s="39">
        <f t="shared" si="21"/>
        <v>-2255691.3214552258</v>
      </c>
      <c r="AA44" s="39"/>
      <c r="AB44" s="39">
        <f t="shared" si="21"/>
        <v>-2300805.1478843302</v>
      </c>
      <c r="AC44" s="39">
        <f t="shared" si="21"/>
        <v>-2346821.2508420171</v>
      </c>
    </row>
    <row r="45" spans="2:29" x14ac:dyDescent="0.45">
      <c r="B45" s="25" t="s">
        <v>14</v>
      </c>
      <c r="C45" s="39"/>
      <c r="D45" s="39">
        <f t="shared" ref="D45:AC45" si="22">$K$5*(1+$C$3)^D14*-1</f>
        <v>-1711751.76</v>
      </c>
      <c r="E45" s="39">
        <f t="shared" si="22"/>
        <v>-1745986.7952000001</v>
      </c>
      <c r="F45" s="39">
        <f t="shared" si="22"/>
        <v>-1780906.5311039998</v>
      </c>
      <c r="G45" s="39">
        <f t="shared" si="22"/>
        <v>-1816524.6617260799</v>
      </c>
      <c r="H45" s="39">
        <f t="shared" si="22"/>
        <v>-1852855.1549606016</v>
      </c>
      <c r="I45" s="39">
        <f t="shared" si="22"/>
        <v>-1889912.2580598136</v>
      </c>
      <c r="J45" s="39">
        <f t="shared" si="22"/>
        <v>-1927710.5032210096</v>
      </c>
      <c r="K45" s="39">
        <f t="shared" si="22"/>
        <v>-1966264.7132854299</v>
      </c>
      <c r="L45" s="39">
        <f t="shared" si="22"/>
        <v>-2005590.0075511385</v>
      </c>
      <c r="M45" s="39">
        <f t="shared" si="22"/>
        <v>-2045701.8077021614</v>
      </c>
      <c r="N45" s="39">
        <f t="shared" si="22"/>
        <v>-2086615.8438562043</v>
      </c>
      <c r="O45" s="39">
        <f t="shared" si="22"/>
        <v>-2128348.1607333287</v>
      </c>
      <c r="P45" s="39">
        <f t="shared" si="22"/>
        <v>-2170915.1239479952</v>
      </c>
      <c r="Q45" s="39">
        <f t="shared" si="22"/>
        <v>-2214333.4264269555</v>
      </c>
      <c r="R45" s="39">
        <f t="shared" si="22"/>
        <v>-2258620.0949554937</v>
      </c>
      <c r="S45" s="39">
        <f t="shared" si="22"/>
        <v>-2303792.4968546042</v>
      </c>
      <c r="T45" s="39">
        <f t="shared" si="22"/>
        <v>-2349868.3467916963</v>
      </c>
      <c r="U45" s="39">
        <f t="shared" si="22"/>
        <v>-2396865.7137275301</v>
      </c>
      <c r="V45" s="39">
        <f t="shared" si="22"/>
        <v>-2444803.0280020805</v>
      </c>
      <c r="W45" s="39">
        <f t="shared" si="22"/>
        <v>-2493699.0885621225</v>
      </c>
      <c r="X45" s="39">
        <f t="shared" si="22"/>
        <v>-2543573.0703333644</v>
      </c>
      <c r="Y45" s="39">
        <f t="shared" si="22"/>
        <v>-2594444.5317400321</v>
      </c>
      <c r="Z45" s="39">
        <f t="shared" si="22"/>
        <v>-2646333.422374832</v>
      </c>
      <c r="AA45" s="39"/>
      <c r="AB45" s="39">
        <f t="shared" si="22"/>
        <v>-2699260.0908223288</v>
      </c>
      <c r="AC45" s="39">
        <f t="shared" si="22"/>
        <v>-2753245.2926387754</v>
      </c>
    </row>
    <row r="46" spans="2:29" x14ac:dyDescent="0.45">
      <c r="B46" s="25" t="s">
        <v>60</v>
      </c>
      <c r="C46" s="39"/>
      <c r="D46" s="39">
        <f>D17*$E$8*-1</f>
        <v>-173972.10626208008</v>
      </c>
      <c r="E46" s="39">
        <f t="shared" ref="E46:AC46" si="23">E17*$E$8*-1</f>
        <v>-258195.82554394155</v>
      </c>
      <c r="F46" s="39">
        <f t="shared" si="23"/>
        <v>-273317.57456400938</v>
      </c>
      <c r="G46" s="39">
        <f t="shared" si="23"/>
        <v>-294109.47969946562</v>
      </c>
      <c r="H46" s="39">
        <f t="shared" si="23"/>
        <v>-292973.09180766641</v>
      </c>
      <c r="I46" s="39">
        <f t="shared" si="23"/>
        <v>-317127.61526426987</v>
      </c>
      <c r="J46" s="39">
        <f t="shared" si="23"/>
        <v>-285665.22766823601</v>
      </c>
      <c r="K46" s="39">
        <f t="shared" si="23"/>
        <v>-221784.84397780662</v>
      </c>
      <c r="L46" s="39">
        <f t="shared" si="23"/>
        <v>-237907.19583777923</v>
      </c>
      <c r="M46" s="39">
        <f t="shared" si="23"/>
        <v>-210981.56745122105</v>
      </c>
      <c r="N46" s="39">
        <f t="shared" si="23"/>
        <v>-250668.29076295343</v>
      </c>
      <c r="O46" s="39">
        <f t="shared" si="23"/>
        <v>-312561.90593170229</v>
      </c>
      <c r="P46" s="39">
        <f t="shared" si="23"/>
        <v>-275997.70874776255</v>
      </c>
      <c r="Q46" s="39">
        <f t="shared" si="23"/>
        <v>-317689.5578708321</v>
      </c>
      <c r="R46" s="39">
        <f t="shared" si="23"/>
        <v>-323454.39907660073</v>
      </c>
      <c r="S46" s="39">
        <f t="shared" si="23"/>
        <v>-250711.4153324113</v>
      </c>
      <c r="T46" s="39">
        <f t="shared" si="23"/>
        <v>-224530.20802468501</v>
      </c>
      <c r="U46" s="39">
        <f t="shared" si="23"/>
        <v>-389314.59571941028</v>
      </c>
      <c r="V46" s="39">
        <f t="shared" si="23"/>
        <v>-274095.58334358787</v>
      </c>
      <c r="W46" s="39">
        <f t="shared" si="23"/>
        <v>-359459.77734491479</v>
      </c>
      <c r="X46" s="39">
        <f t="shared" si="23"/>
        <v>-329299.7948240207</v>
      </c>
      <c r="Y46" s="39">
        <f t="shared" si="23"/>
        <v>-381273.595966411</v>
      </c>
      <c r="Z46" s="39">
        <f t="shared" si="23"/>
        <v>-296715.62007983413</v>
      </c>
      <c r="AA46" s="39"/>
      <c r="AB46" s="39">
        <f t="shared" si="23"/>
        <v>-356622.4297517722</v>
      </c>
      <c r="AC46" s="39">
        <f t="shared" si="23"/>
        <v>-369954.09467581566</v>
      </c>
    </row>
    <row r="47" spans="2:29" x14ac:dyDescent="0.45">
      <c r="B47" s="28" t="s">
        <v>61</v>
      </c>
      <c r="C47" s="39"/>
      <c r="D47" s="39">
        <f>SUM(D42:D46)</f>
        <v>-7303943.4662620807</v>
      </c>
      <c r="E47" s="39">
        <f t="shared" ref="E47:AC47" si="24">SUM(E42:E46)</f>
        <v>-7530766.6127439421</v>
      </c>
      <c r="F47" s="39">
        <f t="shared" si="24"/>
        <v>-7691339.7775080083</v>
      </c>
      <c r="G47" s="39">
        <f t="shared" si="24"/>
        <v>-7860492.126702345</v>
      </c>
      <c r="H47" s="39">
        <f t="shared" si="24"/>
        <v>-8010683.3917506039</v>
      </c>
      <c r="I47" s="39">
        <f t="shared" si="24"/>
        <v>-8189192.1212060666</v>
      </c>
      <c r="J47" s="39">
        <f t="shared" si="24"/>
        <v>-8315171.023728868</v>
      </c>
      <c r="K47" s="39">
        <f t="shared" si="24"/>
        <v>-8411880.7559596524</v>
      </c>
      <c r="L47" s="39">
        <f t="shared" si="24"/>
        <v>-8591805.0260592606</v>
      </c>
      <c r="M47" s="39">
        <f t="shared" si="24"/>
        <v>-8731957.3542771321</v>
      </c>
      <c r="N47" s="39">
        <f t="shared" si="24"/>
        <v>-8942063.5933253802</v>
      </c>
      <c r="O47" s="39">
        <f t="shared" si="24"/>
        <v>-9177785.1145453788</v>
      </c>
      <c r="P47" s="39">
        <f t="shared" si="24"/>
        <v>-9318525.381533714</v>
      </c>
      <c r="Q47" s="39">
        <f t="shared" si="24"/>
        <v>-9541067.7841125019</v>
      </c>
      <c r="R47" s="39">
        <f t="shared" si="24"/>
        <v>-9731300.1898431033</v>
      </c>
      <c r="S47" s="39">
        <f t="shared" si="24"/>
        <v>-9846714.1219142452</v>
      </c>
      <c r="T47" s="39">
        <f t="shared" si="24"/>
        <v>-10012452.968738155</v>
      </c>
      <c r="U47" s="39">
        <f t="shared" si="24"/>
        <v>-10372995.811647149</v>
      </c>
      <c r="V47" s="39">
        <f t="shared" si="24"/>
        <v>-10457450.423589882</v>
      </c>
      <c r="W47" s="39">
        <f t="shared" si="24"/>
        <v>-10746481.714396136</v>
      </c>
      <c r="X47" s="39">
        <f t="shared" si="24"/>
        <v>-10924062.170616264</v>
      </c>
      <c r="Y47" s="39">
        <f t="shared" si="24"/>
        <v>-11187931.219274502</v>
      </c>
      <c r="Z47" s="39">
        <f t="shared" si="24"/>
        <v>-11319506.395854082</v>
      </c>
      <c r="AA47" s="39"/>
      <c r="AB47" s="39">
        <f t="shared" si="24"/>
        <v>-11599869.021041505</v>
      </c>
      <c r="AC47" s="39">
        <f t="shared" si="24"/>
        <v>-11838065.617791347</v>
      </c>
    </row>
    <row r="48" spans="2:29" x14ac:dyDescent="0.45">
      <c r="B48" s="29"/>
      <c r="C48" s="39"/>
      <c r="D48" s="39"/>
      <c r="E48" s="39"/>
      <c r="F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</row>
    <row r="49" spans="2:29" x14ac:dyDescent="0.45">
      <c r="B49" s="28" t="s">
        <v>62</v>
      </c>
      <c r="C49" s="39"/>
      <c r="D49" s="39">
        <f>D47+D39+D34</f>
        <v>-63527080.566335857</v>
      </c>
      <c r="E49" s="39">
        <f t="shared" ref="E49:AC49" si="25">E47+E39+E34</f>
        <v>-69300249.227838278</v>
      </c>
      <c r="F49" s="39">
        <f t="shared" si="25"/>
        <v>-72840180.62220785</v>
      </c>
      <c r="G49" s="39">
        <f t="shared" si="25"/>
        <v>-64327863.287964955</v>
      </c>
      <c r="H49" s="39">
        <f t="shared" si="25"/>
        <v>-66586145.887872085</v>
      </c>
      <c r="I49" s="39">
        <f t="shared" si="25"/>
        <v>-69392305.051080644</v>
      </c>
      <c r="J49" s="39">
        <f t="shared" si="25"/>
        <v>-81835313.831598639</v>
      </c>
      <c r="K49" s="39">
        <f t="shared" si="25"/>
        <v>-85156958.50638707</v>
      </c>
      <c r="L49" s="39">
        <f t="shared" si="25"/>
        <v>-88375706.019377753</v>
      </c>
      <c r="M49" s="39">
        <f t="shared" si="25"/>
        <v>-106555624.48594549</v>
      </c>
      <c r="N49" s="39">
        <f t="shared" si="25"/>
        <v>-110266406.26448794</v>
      </c>
      <c r="O49" s="39">
        <f t="shared" si="25"/>
        <v>-98757795.090537861</v>
      </c>
      <c r="P49" s="39">
        <f t="shared" si="25"/>
        <v>-93359029.758946538</v>
      </c>
      <c r="Q49" s="39">
        <f t="shared" si="25"/>
        <v>-112896331.44777724</v>
      </c>
      <c r="R49" s="39">
        <f t="shared" si="25"/>
        <v>-101071866.83255948</v>
      </c>
      <c r="S49" s="39">
        <f t="shared" si="25"/>
        <v>-118553246.87077412</v>
      </c>
      <c r="T49" s="39">
        <f t="shared" si="25"/>
        <v>-124684190.15264943</v>
      </c>
      <c r="U49" s="39">
        <f t="shared" si="25"/>
        <v>-137285798.90798724</v>
      </c>
      <c r="V49" s="39">
        <f t="shared" si="25"/>
        <v>-133047180.7301445</v>
      </c>
      <c r="W49" s="39">
        <f t="shared" si="25"/>
        <v>-139329626.07245117</v>
      </c>
      <c r="X49" s="39">
        <f t="shared" si="25"/>
        <v>-178486247.33067486</v>
      </c>
      <c r="Y49" s="39">
        <f t="shared" si="25"/>
        <v>-153603479.92154512</v>
      </c>
      <c r="Z49" s="39">
        <f t="shared" si="25"/>
        <v>-157130376.17604405</v>
      </c>
      <c r="AA49" s="39"/>
      <c r="AB49" s="39">
        <f t="shared" si="25"/>
        <v>-190433714.17543769</v>
      </c>
      <c r="AC49" s="39">
        <f t="shared" si="25"/>
        <v>-175097365.16628814</v>
      </c>
    </row>
    <row r="50" spans="2:29" x14ac:dyDescent="0.45">
      <c r="B50" s="23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</row>
    <row r="51" spans="2:29" x14ac:dyDescent="0.45">
      <c r="B51" s="28" t="s">
        <v>63</v>
      </c>
      <c r="C51" s="39"/>
      <c r="D51" s="39">
        <f>D18+D49</f>
        <v>42628997.087304145</v>
      </c>
      <c r="E51" s="39">
        <f t="shared" ref="E51:AC51" si="26">E18+E49</f>
        <v>47263426.389716461</v>
      </c>
      <c r="F51" s="39">
        <f t="shared" si="26"/>
        <v>49767710.706292301</v>
      </c>
      <c r="G51" s="39">
        <f t="shared" si="26"/>
        <v>38433644.049793586</v>
      </c>
      <c r="H51" s="39">
        <f t="shared" si="26"/>
        <v>40354839.579971656</v>
      </c>
      <c r="I51" s="39">
        <f t="shared" si="26"/>
        <v>42703831.748665601</v>
      </c>
      <c r="J51" s="39">
        <f t="shared" si="26"/>
        <v>56393163.001176864</v>
      </c>
      <c r="K51" s="39">
        <f t="shared" si="26"/>
        <v>59941279.408829436</v>
      </c>
      <c r="L51" s="39">
        <f t="shared" si="26"/>
        <v>62776822.694187298</v>
      </c>
      <c r="M51" s="39">
        <f t="shared" si="26"/>
        <v>82909826.957673609</v>
      </c>
      <c r="N51" s="39">
        <f t="shared" si="26"/>
        <v>86104560.604383811</v>
      </c>
      <c r="O51" s="39">
        <f t="shared" si="26"/>
        <v>71831270.483067319</v>
      </c>
      <c r="P51" s="39">
        <f t="shared" si="26"/>
        <v>65200934.934348285</v>
      </c>
      <c r="Q51" s="39">
        <f t="shared" si="26"/>
        <v>86317872.296597928</v>
      </c>
      <c r="R51" s="39">
        <f t="shared" si="26"/>
        <v>72048168.245309874</v>
      </c>
      <c r="S51" s="39">
        <f t="shared" si="26"/>
        <v>91630064.132306725</v>
      </c>
      <c r="T51" s="39">
        <f t="shared" si="26"/>
        <v>97961081.104062557</v>
      </c>
      <c r="U51" s="39">
        <f t="shared" si="26"/>
        <v>110238510.95535761</v>
      </c>
      <c r="V51" s="39">
        <f t="shared" si="26"/>
        <v>105402124.01294503</v>
      </c>
      <c r="W51" s="39">
        <f t="shared" si="26"/>
        <v>111043485.58462226</v>
      </c>
      <c r="X51" s="39">
        <f t="shared" si="26"/>
        <v>154858249.03154954</v>
      </c>
      <c r="Y51" s="39">
        <f t="shared" si="26"/>
        <v>125298001.81700841</v>
      </c>
      <c r="Z51" s="39">
        <f t="shared" si="26"/>
        <v>128990777.81378597</v>
      </c>
      <c r="AA51" s="39"/>
      <c r="AB51" s="39">
        <f t="shared" si="26"/>
        <v>165445457.41880637</v>
      </c>
      <c r="AC51" s="39">
        <f t="shared" si="26"/>
        <v>146956831.3053894</v>
      </c>
    </row>
    <row r="52" spans="2:29" x14ac:dyDescent="0.45">
      <c r="B52" s="23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</row>
    <row r="53" spans="2:29" x14ac:dyDescent="0.45">
      <c r="B53" s="29" t="s">
        <v>64</v>
      </c>
      <c r="C53" s="39"/>
      <c r="D53" s="39">
        <f>C63*$C$10</f>
        <v>-28000000.000000004</v>
      </c>
      <c r="E53" s="39">
        <f>($C$63-SUM($D$53))*$C$10</f>
        <v>-26040000.000000004</v>
      </c>
      <c r="F53" s="39">
        <f>($C$63-SUM($D$53:$E$53))*$C$10</f>
        <v>-24217200.000000004</v>
      </c>
      <c r="G53" s="39">
        <f>($C$63-SUM($D$53:$F$53))*$C$10</f>
        <v>-22521996.000000004</v>
      </c>
      <c r="H53" s="39">
        <f>($C$63-SUM($D$53:$G$53))*$C$10</f>
        <v>-20945456.280000001</v>
      </c>
      <c r="I53" s="39">
        <f>($C$63-SUM($D$53:$H$53))*$C$10</f>
        <v>-19479274.340399999</v>
      </c>
      <c r="J53" s="39">
        <f>($C$63-SUM($D$53:$I$53))*$C$10</f>
        <v>-18115725.136572</v>
      </c>
      <c r="K53" s="39">
        <f>($C$63-SUM($D$53:$J$53))*$C$10</f>
        <v>-16847624.377011962</v>
      </c>
      <c r="L53" s="39">
        <f>($C$63-SUM($D$53:$K$53))*$C$10</f>
        <v>-15668290.670621123</v>
      </c>
      <c r="M53" s="39">
        <f>($C$63-SUM($D$53:$L$53))*$C$10</f>
        <v>-14571510.323677644</v>
      </c>
      <c r="N53" s="39">
        <f>($C$63-SUM($D$53:$M$53))*$C$10</f>
        <v>-13551504.601020211</v>
      </c>
      <c r="O53" s="39">
        <f>($C$63-SUM($D$53:$N$53))*$C$10</f>
        <v>-12602899.278948795</v>
      </c>
      <c r="P53" s="39">
        <f>($C$63-SUM($D$53:$O$53))*$C$10</f>
        <v>-11720696.329422381</v>
      </c>
      <c r="Q53" s="39">
        <f>($C$63-SUM($D$53:$P$53))*$C$10</f>
        <v>-10900247.586362813</v>
      </c>
      <c r="R53" s="39">
        <f>($C$63-SUM($D$53:$Q$53))*$C$10</f>
        <v>-10137230.255317416</v>
      </c>
      <c r="S53" s="39">
        <f>($C$63-SUM($D$53:$R$53))*$C$10</f>
        <v>-9427624.1374451965</v>
      </c>
      <c r="T53" s="39">
        <f>($C$63-SUM($D$53:$S$53))*$C$10</f>
        <v>-8767690.4478240348</v>
      </c>
      <c r="U53" s="39">
        <f>($C$63-SUM($D$53:$T$53))*$C$10</f>
        <v>-8153952.1164763505</v>
      </c>
      <c r="V53" s="39">
        <f>($C$63-SUM($D$53:$U$53))*$C$10</f>
        <v>-7583175.4683230054</v>
      </c>
      <c r="W53" s="39">
        <f>($C$63-SUM($D$53:$V$53))*$C$10</f>
        <v>-7052353.1855403958</v>
      </c>
      <c r="X53" s="39">
        <f>($C$63-SUM($D$53:$W$53))*$C$10</f>
        <v>-6558688.4625525689</v>
      </c>
      <c r="Y53" s="80">
        <f>($C$63-SUM($D$53:$X$53))*$C$10</f>
        <v>-6099580.2701738905</v>
      </c>
      <c r="Z53" s="39">
        <f>($C$63-SUM($D$53:$Y$53))*$C$10</f>
        <v>-5672609.6512617171</v>
      </c>
      <c r="AA53" s="39"/>
      <c r="AB53" s="39">
        <f>($C$63-SUM($D$53:$Z$53))*$C$10</f>
        <v>-5275526.9756733943</v>
      </c>
      <c r="AC53" s="39">
        <f>($C$63-SUM($D$53:$AB$53))*$C$10</f>
        <v>-4906240.0873762583</v>
      </c>
    </row>
    <row r="54" spans="2:29" x14ac:dyDescent="0.45">
      <c r="B54" s="29" t="s">
        <v>69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80"/>
      <c r="Z54" s="39"/>
      <c r="AA54" s="39"/>
      <c r="AB54" s="39"/>
      <c r="AC54" s="39">
        <f>5000000+($C$63-SUM($D$53:$AC$53))</f>
        <v>-60182904.017998874</v>
      </c>
    </row>
    <row r="55" spans="2:29" x14ac:dyDescent="0.45">
      <c r="B55" s="23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</row>
    <row r="56" spans="2:29" x14ac:dyDescent="0.45">
      <c r="B56" s="28" t="s">
        <v>66</v>
      </c>
      <c r="C56" s="39"/>
      <c r="D56" s="39">
        <f>SUM(D51:D55)</f>
        <v>14628997.087304141</v>
      </c>
      <c r="E56" s="39">
        <f t="shared" ref="E56:AC56" si="27">SUM(E51:E55)</f>
        <v>21223426.389716458</v>
      </c>
      <c r="F56" s="39">
        <f t="shared" si="27"/>
        <v>25550510.706292298</v>
      </c>
      <c r="G56" s="39">
        <f t="shared" si="27"/>
        <v>15911648.049793582</v>
      </c>
      <c r="H56" s="39">
        <f t="shared" si="27"/>
        <v>19409383.299971655</v>
      </c>
      <c r="I56" s="39">
        <f t="shared" si="27"/>
        <v>23224557.408265602</v>
      </c>
      <c r="J56" s="39">
        <f t="shared" si="27"/>
        <v>38277437.864604861</v>
      </c>
      <c r="K56" s="39">
        <f t="shared" si="27"/>
        <v>43093655.031817473</v>
      </c>
      <c r="L56" s="39">
        <f t="shared" si="27"/>
        <v>47108532.023566172</v>
      </c>
      <c r="M56" s="39">
        <f t="shared" si="27"/>
        <v>68338316.633995965</v>
      </c>
      <c r="N56" s="39">
        <f t="shared" si="27"/>
        <v>72553056.003363594</v>
      </c>
      <c r="O56" s="39">
        <f t="shared" si="27"/>
        <v>59228371.20411852</v>
      </c>
      <c r="P56" s="39">
        <f t="shared" si="27"/>
        <v>53480238.604925901</v>
      </c>
      <c r="Q56" s="39">
        <f t="shared" si="27"/>
        <v>75417624.710235119</v>
      </c>
      <c r="R56" s="39">
        <f t="shared" si="27"/>
        <v>61910937.989992455</v>
      </c>
      <c r="S56" s="39">
        <f t="shared" si="27"/>
        <v>82202439.994861528</v>
      </c>
      <c r="T56" s="39">
        <f t="shared" si="27"/>
        <v>89193390.656238526</v>
      </c>
      <c r="U56" s="39">
        <f t="shared" si="27"/>
        <v>102084558.83888125</v>
      </c>
      <c r="V56" s="39">
        <f t="shared" si="27"/>
        <v>97818948.544622019</v>
      </c>
      <c r="W56" s="39">
        <f t="shared" si="27"/>
        <v>103991132.39908187</v>
      </c>
      <c r="X56" s="39">
        <f t="shared" si="27"/>
        <v>148299560.56899697</v>
      </c>
      <c r="Y56" s="39">
        <f t="shared" si="27"/>
        <v>119198421.54683451</v>
      </c>
      <c r="Z56" s="39">
        <f t="shared" si="27"/>
        <v>123318168.16252425</v>
      </c>
      <c r="AA56" s="39"/>
      <c r="AB56" s="39">
        <f t="shared" si="27"/>
        <v>160169930.44313297</v>
      </c>
      <c r="AC56" s="39">
        <f t="shared" si="27"/>
        <v>81867687.200014263</v>
      </c>
    </row>
    <row r="57" spans="2:29" x14ac:dyDescent="0.45">
      <c r="B57" s="23" t="s">
        <v>67</v>
      </c>
      <c r="C57" s="39"/>
      <c r="D57" s="39">
        <f>D56*$E$9*-1</f>
        <v>-3218379.3592069112</v>
      </c>
      <c r="E57" s="39">
        <f>E56*$E$9*-1</f>
        <v>-4669153.8057376212</v>
      </c>
      <c r="F57" s="39">
        <f t="shared" ref="F57:AC57" si="28">F56*$E$9*-1</f>
        <v>-5621112.3553843051</v>
      </c>
      <c r="G57" s="39">
        <f t="shared" si="28"/>
        <v>-3500562.5709545882</v>
      </c>
      <c r="H57" s="39">
        <f t="shared" si="28"/>
        <v>-4270064.3259937642</v>
      </c>
      <c r="I57" s="39">
        <f t="shared" si="28"/>
        <v>-5109402.629818432</v>
      </c>
      <c r="J57" s="39">
        <f t="shared" si="28"/>
        <v>-8421036.3302130699</v>
      </c>
      <c r="K57" s="39">
        <f t="shared" si="28"/>
        <v>-9480604.1069998443</v>
      </c>
      <c r="L57" s="39">
        <f t="shared" si="28"/>
        <v>-10363877.045184558</v>
      </c>
      <c r="M57" s="39">
        <f t="shared" si="28"/>
        <v>-15034429.659479113</v>
      </c>
      <c r="N57" s="39">
        <f t="shared" si="28"/>
        <v>-15961672.32073999</v>
      </c>
      <c r="O57" s="39">
        <f t="shared" si="28"/>
        <v>-13030241.664906075</v>
      </c>
      <c r="P57" s="39">
        <f t="shared" si="28"/>
        <v>-11765652.493083699</v>
      </c>
      <c r="Q57" s="39">
        <f t="shared" si="28"/>
        <v>-16591877.436251726</v>
      </c>
      <c r="R57" s="39">
        <f t="shared" si="28"/>
        <v>-13620406.35779834</v>
      </c>
      <c r="S57" s="39">
        <f t="shared" si="28"/>
        <v>-18084536.798869535</v>
      </c>
      <c r="T57" s="39">
        <f t="shared" si="28"/>
        <v>-19622545.944372475</v>
      </c>
      <c r="U57" s="39">
        <f t="shared" si="28"/>
        <v>-22458602.944553874</v>
      </c>
      <c r="V57" s="39">
        <f t="shared" si="28"/>
        <v>-21520168.679816846</v>
      </c>
      <c r="W57" s="39">
        <f t="shared" si="28"/>
        <v>-22878049.127798013</v>
      </c>
      <c r="X57" s="39">
        <f t="shared" si="28"/>
        <v>-32625903.325179331</v>
      </c>
      <c r="Y57" s="39">
        <f t="shared" si="28"/>
        <v>-26223652.740303595</v>
      </c>
      <c r="Z57" s="39">
        <f t="shared" si="28"/>
        <v>-27129996.995755337</v>
      </c>
      <c r="AA57" s="39"/>
      <c r="AB57" s="39">
        <f t="shared" si="28"/>
        <v>-35237384.697489254</v>
      </c>
      <c r="AC57" s="39">
        <f t="shared" si="28"/>
        <v>-18010891.184003137</v>
      </c>
    </row>
    <row r="58" spans="2:29" ht="16.3" thickBot="1" x14ac:dyDescent="0.5">
      <c r="B58" s="30" t="s">
        <v>68</v>
      </c>
      <c r="C58" s="81"/>
      <c r="D58" s="81">
        <f>SUM(D56:D57)</f>
        <v>11410617.72809723</v>
      </c>
      <c r="E58" s="81">
        <f t="shared" ref="E58:AC58" si="29">SUM(E56:E57)</f>
        <v>16554272.583978835</v>
      </c>
      <c r="F58" s="81">
        <f t="shared" si="29"/>
        <v>19929398.350907993</v>
      </c>
      <c r="G58" s="81">
        <f t="shared" si="29"/>
        <v>12411085.478838995</v>
      </c>
      <c r="H58" s="81">
        <f t="shared" si="29"/>
        <v>15139318.97397789</v>
      </c>
      <c r="I58" s="81">
        <f t="shared" si="29"/>
        <v>18115154.77844717</v>
      </c>
      <c r="J58" s="81">
        <f t="shared" si="29"/>
        <v>29856401.534391791</v>
      </c>
      <c r="K58" s="81">
        <f t="shared" si="29"/>
        <v>33613050.924817629</v>
      </c>
      <c r="L58" s="81">
        <f t="shared" si="29"/>
        <v>36744654.978381611</v>
      </c>
      <c r="M58" s="81">
        <f t="shared" si="29"/>
        <v>53303886.974516854</v>
      </c>
      <c r="N58" s="81">
        <f t="shared" si="29"/>
        <v>56591383.682623602</v>
      </c>
      <c r="O58" s="81">
        <f t="shared" si="29"/>
        <v>46198129.539212443</v>
      </c>
      <c r="P58" s="81">
        <f t="shared" si="29"/>
        <v>41714586.1118422</v>
      </c>
      <c r="Q58" s="81">
        <f t="shared" si="29"/>
        <v>58825747.273983389</v>
      </c>
      <c r="R58" s="81">
        <f t="shared" si="29"/>
        <v>48290531.632194117</v>
      </c>
      <c r="S58" s="81">
        <f t="shared" si="29"/>
        <v>64117903.195991993</v>
      </c>
      <c r="T58" s="81">
        <f t="shared" si="29"/>
        <v>69570844.711866051</v>
      </c>
      <c r="U58" s="81">
        <f t="shared" si="29"/>
        <v>79625955.894327372</v>
      </c>
      <c r="V58" s="81">
        <f t="shared" si="29"/>
        <v>76298779.864805177</v>
      </c>
      <c r="W58" s="81">
        <f t="shared" si="29"/>
        <v>81113083.271283865</v>
      </c>
      <c r="X58" s="81">
        <f t="shared" si="29"/>
        <v>115673657.24381763</v>
      </c>
      <c r="Y58" s="81">
        <f t="shared" si="29"/>
        <v>92974768.806530923</v>
      </c>
      <c r="Z58" s="81">
        <f t="shared" si="29"/>
        <v>96188171.166768909</v>
      </c>
      <c r="AA58" s="81"/>
      <c r="AB58" s="81">
        <f t="shared" si="29"/>
        <v>124932545.74564371</v>
      </c>
      <c r="AC58" s="81">
        <f t="shared" si="29"/>
        <v>63856796.016011126</v>
      </c>
    </row>
    <row r="59" spans="2:29" x14ac:dyDescent="0.45">
      <c r="B59" s="23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</row>
    <row r="60" spans="2:29" x14ac:dyDescent="0.45">
      <c r="B60" s="23" t="s">
        <v>64</v>
      </c>
      <c r="C60" s="39"/>
      <c r="D60" s="39">
        <f>D53*-1</f>
        <v>28000000.000000004</v>
      </c>
      <c r="E60" s="39">
        <f t="shared" ref="E60:AC60" si="30">E53*-1</f>
        <v>26040000.000000004</v>
      </c>
      <c r="F60" s="39">
        <f t="shared" si="30"/>
        <v>24217200.000000004</v>
      </c>
      <c r="G60" s="39">
        <f t="shared" si="30"/>
        <v>22521996.000000004</v>
      </c>
      <c r="H60" s="39">
        <f t="shared" si="30"/>
        <v>20945456.280000001</v>
      </c>
      <c r="I60" s="39">
        <f t="shared" si="30"/>
        <v>19479274.340399999</v>
      </c>
      <c r="J60" s="39">
        <f t="shared" si="30"/>
        <v>18115725.136572</v>
      </c>
      <c r="K60" s="39">
        <f t="shared" si="30"/>
        <v>16847624.377011962</v>
      </c>
      <c r="L60" s="39">
        <f t="shared" si="30"/>
        <v>15668290.670621123</v>
      </c>
      <c r="M60" s="39">
        <f t="shared" si="30"/>
        <v>14571510.323677644</v>
      </c>
      <c r="N60" s="39">
        <f t="shared" si="30"/>
        <v>13551504.601020211</v>
      </c>
      <c r="O60" s="39">
        <f t="shared" si="30"/>
        <v>12602899.278948795</v>
      </c>
      <c r="P60" s="39">
        <f t="shared" si="30"/>
        <v>11720696.329422381</v>
      </c>
      <c r="Q60" s="39">
        <f t="shared" si="30"/>
        <v>10900247.586362813</v>
      </c>
      <c r="R60" s="39">
        <f t="shared" si="30"/>
        <v>10137230.255317416</v>
      </c>
      <c r="S60" s="39">
        <f t="shared" si="30"/>
        <v>9427624.1374451965</v>
      </c>
      <c r="T60" s="39">
        <f t="shared" si="30"/>
        <v>8767690.4478240348</v>
      </c>
      <c r="U60" s="39">
        <f t="shared" si="30"/>
        <v>8153952.1164763505</v>
      </c>
      <c r="V60" s="39">
        <f t="shared" si="30"/>
        <v>7583175.4683230054</v>
      </c>
      <c r="W60" s="39">
        <f t="shared" si="30"/>
        <v>7052353.1855403958</v>
      </c>
      <c r="X60" s="39">
        <f t="shared" si="30"/>
        <v>6558688.4625525689</v>
      </c>
      <c r="Y60" s="39">
        <f t="shared" si="30"/>
        <v>6099580.2701738905</v>
      </c>
      <c r="Z60" s="39">
        <f t="shared" si="30"/>
        <v>5672609.6512617171</v>
      </c>
      <c r="AA60" s="39"/>
      <c r="AB60" s="39">
        <f t="shared" si="30"/>
        <v>5275526.9756733943</v>
      </c>
      <c r="AC60" s="39">
        <f t="shared" si="30"/>
        <v>4906240.0873762583</v>
      </c>
    </row>
    <row r="61" spans="2:29" x14ac:dyDescent="0.45">
      <c r="B61" s="23" t="s">
        <v>69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>
        <f>-AC54</f>
        <v>60182904.017998874</v>
      </c>
    </row>
    <row r="62" spans="2:29" x14ac:dyDescent="0.45">
      <c r="B62" s="23" t="s">
        <v>70</v>
      </c>
      <c r="C62" s="39">
        <f t="shared" ref="C62:AC62" si="31">(C18-D18)*$C$11</f>
        <v>-10615607.765364001</v>
      </c>
      <c r="D62" s="39">
        <f t="shared" si="31"/>
        <v>-1040759.7963914737</v>
      </c>
      <c r="E62" s="39">
        <f t="shared" si="31"/>
        <v>-604421.57109454123</v>
      </c>
      <c r="F62" s="39">
        <f t="shared" si="31"/>
        <v>1984638.3990741612</v>
      </c>
      <c r="G62" s="39">
        <f t="shared" si="31"/>
        <v>-417947.81300852005</v>
      </c>
      <c r="H62" s="39">
        <f t="shared" si="31"/>
        <v>-515515.13319025043</v>
      </c>
      <c r="I62" s="39">
        <f t="shared" si="31"/>
        <v>-2613234.0033029262</v>
      </c>
      <c r="J62" s="39">
        <f t="shared" si="31"/>
        <v>-686976.10824410024</v>
      </c>
      <c r="K62" s="39">
        <f t="shared" si="31"/>
        <v>-605429.07983485458</v>
      </c>
      <c r="L62" s="39">
        <f t="shared" si="31"/>
        <v>-3831292.2730054054</v>
      </c>
      <c r="M62" s="39">
        <f t="shared" si="31"/>
        <v>-690551.54252526467</v>
      </c>
      <c r="N62" s="39">
        <f t="shared" si="31"/>
        <v>2578190.1295266571</v>
      </c>
      <c r="O62" s="39">
        <f t="shared" si="31"/>
        <v>1202910.0880310356</v>
      </c>
      <c r="P62" s="39">
        <f t="shared" si="31"/>
        <v>-4065423.9051080346</v>
      </c>
      <c r="Q62" s="39">
        <f t="shared" si="31"/>
        <v>2609416.8666505814</v>
      </c>
      <c r="R62" s="39">
        <f t="shared" si="31"/>
        <v>-3706327.5925211492</v>
      </c>
      <c r="S62" s="39">
        <f t="shared" si="31"/>
        <v>-1246196.0253631144</v>
      </c>
      <c r="T62" s="39">
        <f t="shared" si="31"/>
        <v>-2487903.8606632859</v>
      </c>
      <c r="U62" s="39">
        <f t="shared" si="31"/>
        <v>907500.5120255322</v>
      </c>
      <c r="V62" s="39">
        <f t="shared" si="31"/>
        <v>-1192380.6913983913</v>
      </c>
      <c r="W62" s="39">
        <f t="shared" si="31"/>
        <v>-8297138.4705150966</v>
      </c>
      <c r="X62" s="39">
        <f t="shared" si="31"/>
        <v>5444301.4623670876</v>
      </c>
      <c r="Y62" s="39">
        <f t="shared" si="31"/>
        <v>-721967.22512764938</v>
      </c>
      <c r="Z62" s="39">
        <f>(Z18-AB18)*$C$11</f>
        <v>-6975801.7604414048</v>
      </c>
      <c r="AA62" s="39"/>
      <c r="AB62" s="39">
        <f t="shared" si="31"/>
        <v>3382497.5122566521</v>
      </c>
      <c r="AC62" s="39">
        <f t="shared" si="31"/>
        <v>32205419.647167757</v>
      </c>
    </row>
    <row r="63" spans="2:29" x14ac:dyDescent="0.45">
      <c r="B63" s="23" t="s">
        <v>71</v>
      </c>
      <c r="C63" s="39">
        <f>-K6</f>
        <v>-400000000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</row>
    <row r="64" spans="2:29" x14ac:dyDescent="0.45">
      <c r="B64" s="23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</row>
    <row r="65" spans="2:29" ht="16.3" thickBot="1" x14ac:dyDescent="0.5">
      <c r="B65" s="30" t="s">
        <v>72</v>
      </c>
      <c r="C65" s="81">
        <f>SUM(C58:C63)</f>
        <v>-410615607.76536399</v>
      </c>
      <c r="D65" s="81">
        <f t="shared" ref="D65:AC65" si="32">SUM(D58:D63)</f>
        <v>38369857.931705758</v>
      </c>
      <c r="E65" s="81">
        <f t="shared" si="32"/>
        <v>41989851.012884296</v>
      </c>
      <c r="F65" s="81">
        <f t="shared" si="32"/>
        <v>46131236.749982156</v>
      </c>
      <c r="G65" s="81">
        <f t="shared" si="32"/>
        <v>34515133.665830478</v>
      </c>
      <c r="H65" s="81">
        <f t="shared" si="32"/>
        <v>35569260.120787643</v>
      </c>
      <c r="I65" s="81">
        <f t="shared" si="32"/>
        <v>34981195.115544245</v>
      </c>
      <c r="J65" s="81">
        <f t="shared" si="32"/>
        <v>47285150.562719695</v>
      </c>
      <c r="K65" s="81">
        <f t="shared" si="32"/>
        <v>49855246.221994735</v>
      </c>
      <c r="L65" s="81">
        <f t="shared" si="32"/>
        <v>48581653.375997327</v>
      </c>
      <c r="M65" s="81">
        <f t="shared" si="32"/>
        <v>67184845.755669236</v>
      </c>
      <c r="N65" s="81">
        <f t="shared" si="32"/>
        <v>72721078.413170472</v>
      </c>
      <c r="O65" s="81">
        <f t="shared" si="32"/>
        <v>60003938.906192273</v>
      </c>
      <c r="P65" s="81">
        <f t="shared" si="32"/>
        <v>49369858.53615655</v>
      </c>
      <c r="Q65" s="81">
        <f t="shared" si="32"/>
        <v>72335411.726996779</v>
      </c>
      <c r="R65" s="81">
        <f t="shared" si="32"/>
        <v>54721434.294990391</v>
      </c>
      <c r="S65" s="81">
        <f t="shared" si="32"/>
        <v>72299331.308074072</v>
      </c>
      <c r="T65" s="81">
        <f t="shared" si="32"/>
        <v>75850631.299026802</v>
      </c>
      <c r="U65" s="81">
        <f t="shared" si="32"/>
        <v>88687408.522829264</v>
      </c>
      <c r="V65" s="81">
        <f t="shared" si="32"/>
        <v>82689574.641729787</v>
      </c>
      <c r="W65" s="81">
        <f t="shared" si="32"/>
        <v>79868297.986309156</v>
      </c>
      <c r="X65" s="81">
        <f t="shared" si="32"/>
        <v>127676647.16873728</v>
      </c>
      <c r="Y65" s="81">
        <f t="shared" si="32"/>
        <v>98352381.851577163</v>
      </c>
      <c r="Z65" s="81">
        <f t="shared" si="32"/>
        <v>94884979.057589218</v>
      </c>
      <c r="AA65" s="81"/>
      <c r="AB65" s="81">
        <f t="shared" si="32"/>
        <v>133590570.23357375</v>
      </c>
      <c r="AC65" s="81">
        <f t="shared" si="32"/>
        <v>161151359.76855403</v>
      </c>
    </row>
    <row r="66" spans="2:29" ht="16.3" thickBot="1" x14ac:dyDescent="0.5"/>
    <row r="67" spans="2:29" x14ac:dyDescent="0.45">
      <c r="B67" s="61" t="s">
        <v>4</v>
      </c>
      <c r="C67" s="62">
        <v>8.1726030101192532E-2</v>
      </c>
    </row>
    <row r="68" spans="2:29" x14ac:dyDescent="0.45">
      <c r="B68" s="63" t="s">
        <v>73</v>
      </c>
      <c r="C68" s="64">
        <f>NPV(C67,D65:AC65)+C65</f>
        <v>187157916.99147195</v>
      </c>
    </row>
    <row r="69" spans="2:29" ht="16.3" thickBot="1" x14ac:dyDescent="0.5">
      <c r="B69" s="65" t="s">
        <v>74</v>
      </c>
      <c r="C69" s="66">
        <f>MIRR(C65:AC65,C67,C67)</f>
        <v>9.8098578636490963E-2</v>
      </c>
    </row>
    <row r="70" spans="2:29" x14ac:dyDescent="0.45">
      <c r="C70" s="58"/>
    </row>
    <row r="72" spans="2:29" x14ac:dyDescent="0.45">
      <c r="C72" s="40"/>
      <c r="E72" s="41"/>
    </row>
    <row r="73" spans="2:29" x14ac:dyDescent="0.45">
      <c r="B73" s="55"/>
      <c r="C73" s="37"/>
    </row>
    <row r="74" spans="2:29" x14ac:dyDescent="0.45">
      <c r="B74" s="55"/>
    </row>
    <row r="75" spans="2:29" x14ac:dyDescent="0.45">
      <c r="B75" s="55"/>
      <c r="C75" s="38"/>
      <c r="D75" s="41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2:29" x14ac:dyDescent="0.45">
      <c r="D76" s="41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2:29" x14ac:dyDescent="0.45">
      <c r="B77" s="55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2:29" x14ac:dyDescent="0.45">
      <c r="B78" s="59"/>
      <c r="C78" s="38"/>
      <c r="D78" s="41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2:29" x14ac:dyDescent="0.45">
      <c r="B79" s="55"/>
      <c r="C79" s="115"/>
      <c r="D79" s="41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2:29" x14ac:dyDescent="0.45">
      <c r="B80" s="55"/>
      <c r="C80" s="114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2:20" x14ac:dyDescent="0.45">
      <c r="B81" s="59"/>
      <c r="C81" s="60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2:20" x14ac:dyDescent="0.45">
      <c r="B82" s="59"/>
      <c r="C82" s="38"/>
      <c r="D82" s="41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2:20" x14ac:dyDescent="0.45">
      <c r="B83" s="53"/>
      <c r="C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2:20" x14ac:dyDescent="0.45">
      <c r="B84" s="82"/>
      <c r="C84" s="83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2:20" x14ac:dyDescent="0.45">
      <c r="C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2:20" x14ac:dyDescent="0.45"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2:20" x14ac:dyDescent="0.45">
      <c r="C87" s="37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2:20" x14ac:dyDescent="0.45"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2:20" x14ac:dyDescent="0.45"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2:20" x14ac:dyDescent="0.45"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2:20" x14ac:dyDescent="0.45">
      <c r="C91" s="38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2:20" x14ac:dyDescent="0.45">
      <c r="C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2:20" x14ac:dyDescent="0.45"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2:20" x14ac:dyDescent="0.45"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2:20" x14ac:dyDescent="0.45"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2:20" x14ac:dyDescent="0.45"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3:20" x14ac:dyDescent="0.45"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3:20" x14ac:dyDescent="0.45"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</row>
    <row r="99" spans="3:20" x14ac:dyDescent="0.45"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3:20" x14ac:dyDescent="0.45"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3:20" x14ac:dyDescent="0.45">
      <c r="C101" s="39"/>
      <c r="D101" s="39"/>
      <c r="E101" s="39"/>
      <c r="F101" s="39"/>
    </row>
    <row r="102" spans="3:20" x14ac:dyDescent="0.45">
      <c r="C102" s="39"/>
      <c r="D102" s="39"/>
      <c r="E102" s="39"/>
      <c r="F102" s="39"/>
    </row>
    <row r="103" spans="3:20" x14ac:dyDescent="0.45">
      <c r="C103" s="39"/>
      <c r="D103" s="39"/>
      <c r="E103" s="39"/>
      <c r="F103" s="39"/>
    </row>
    <row r="104" spans="3:20" x14ac:dyDescent="0.45">
      <c r="C104" s="39"/>
      <c r="D104" s="39"/>
      <c r="E104" s="39"/>
      <c r="F104" s="39"/>
    </row>
    <row r="105" spans="3:20" x14ac:dyDescent="0.45">
      <c r="C105" s="39"/>
      <c r="D105" s="39"/>
      <c r="E105" s="39"/>
      <c r="F105" s="39"/>
    </row>
    <row r="106" spans="3:20" x14ac:dyDescent="0.45">
      <c r="C106" s="39"/>
      <c r="D106" s="39"/>
      <c r="E106" s="39"/>
      <c r="F106" s="39"/>
    </row>
    <row r="107" spans="3:20" x14ac:dyDescent="0.45">
      <c r="C107" s="39"/>
      <c r="D107" s="39"/>
      <c r="E107" s="39"/>
      <c r="F107" s="39"/>
    </row>
    <row r="108" spans="3:20" x14ac:dyDescent="0.45">
      <c r="C108" s="39"/>
      <c r="D108" s="39"/>
      <c r="E108" s="39"/>
      <c r="F108" s="39"/>
    </row>
    <row r="109" spans="3:20" x14ac:dyDescent="0.45">
      <c r="C109" s="39"/>
      <c r="D109" s="39"/>
      <c r="E109" s="39"/>
      <c r="F109" s="39"/>
    </row>
    <row r="110" spans="3:20" x14ac:dyDescent="0.45">
      <c r="C110" s="39"/>
      <c r="D110" s="39"/>
      <c r="E110" s="39"/>
      <c r="F110" s="39"/>
    </row>
    <row r="111" spans="3:20" x14ac:dyDescent="0.45">
      <c r="C111" s="39"/>
      <c r="D111" s="39"/>
      <c r="E111" s="39"/>
      <c r="F111" s="39"/>
    </row>
    <row r="112" spans="3:20" x14ac:dyDescent="0.45">
      <c r="C112" s="39"/>
      <c r="D112" s="39"/>
      <c r="E112" s="39"/>
      <c r="F112" s="39"/>
    </row>
    <row r="113" spans="3:6" x14ac:dyDescent="0.45">
      <c r="C113" s="39"/>
      <c r="D113" s="39"/>
      <c r="E113" s="39"/>
      <c r="F113" s="39"/>
    </row>
    <row r="114" spans="3:6" x14ac:dyDescent="0.45">
      <c r="C114" s="39"/>
      <c r="D114" s="39"/>
      <c r="E114" s="39"/>
      <c r="F114" s="39"/>
    </row>
    <row r="115" spans="3:6" x14ac:dyDescent="0.45">
      <c r="C115" s="39"/>
      <c r="D115" s="39"/>
      <c r="E115" s="39"/>
      <c r="F115" s="39"/>
    </row>
    <row r="116" spans="3:6" x14ac:dyDescent="0.45">
      <c r="C116" s="39"/>
      <c r="D116" s="39"/>
      <c r="E116" s="39"/>
      <c r="F116" s="39"/>
    </row>
    <row r="117" spans="3:6" x14ac:dyDescent="0.45">
      <c r="C117" s="39"/>
      <c r="D117" s="39"/>
      <c r="E117" s="39"/>
      <c r="F117" s="39"/>
    </row>
    <row r="118" spans="3:6" x14ac:dyDescent="0.45">
      <c r="C118" s="39"/>
      <c r="D118" s="39"/>
      <c r="E118" s="39"/>
      <c r="F118" s="39"/>
    </row>
    <row r="119" spans="3:6" x14ac:dyDescent="0.45">
      <c r="C119" s="39"/>
      <c r="D119" s="39"/>
      <c r="E119" s="39"/>
      <c r="F119" s="39"/>
    </row>
    <row r="120" spans="3:6" x14ac:dyDescent="0.45">
      <c r="C120" s="39"/>
      <c r="D120" s="39"/>
      <c r="E120" s="39"/>
      <c r="F120" s="39"/>
    </row>
    <row r="121" spans="3:6" x14ac:dyDescent="0.45">
      <c r="C121" s="39"/>
      <c r="D121" s="39"/>
      <c r="E121" s="39"/>
      <c r="F121" s="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U81"/>
  <sheetViews>
    <sheetView zoomScale="90" zoomScaleNormal="90" workbookViewId="0">
      <selection activeCell="K16" sqref="K16"/>
    </sheetView>
  </sheetViews>
  <sheetFormatPr defaultColWidth="10.640625" defaultRowHeight="15.9" x14ac:dyDescent="0.45"/>
  <cols>
    <col min="1" max="1" width="10.640625" style="34"/>
    <col min="2" max="2" width="31" style="34" bestFit="1" customWidth="1"/>
    <col min="3" max="3" width="11.5" style="34" bestFit="1" customWidth="1"/>
    <col min="4" max="4" width="17.640625" style="34" bestFit="1" customWidth="1"/>
    <col min="5" max="5" width="10.640625" style="34"/>
    <col min="6" max="6" width="15.85546875" style="34" bestFit="1" customWidth="1"/>
    <col min="7" max="7" width="10.640625" style="34"/>
    <col min="8" max="8" width="19" style="34" bestFit="1" customWidth="1"/>
    <col min="9" max="10" width="10.640625" style="34"/>
    <col min="11" max="11" width="11.35546875" style="34" customWidth="1"/>
    <col min="12" max="13" width="10.640625" style="34"/>
    <col min="14" max="14" width="12.140625" style="34" customWidth="1"/>
    <col min="15" max="15" width="10.640625" style="34"/>
    <col min="16" max="16" width="26.640625" style="34" bestFit="1" customWidth="1"/>
    <col min="17" max="17" width="25.640625" style="34" bestFit="1" customWidth="1"/>
    <col min="18" max="18" width="15" style="34" bestFit="1" customWidth="1"/>
    <col min="19" max="21" width="10.640625" style="34"/>
    <col min="22" max="22" width="18.640625" style="34" bestFit="1" customWidth="1"/>
    <col min="23" max="24" width="10.640625" style="34"/>
    <col min="25" max="25" width="13.640625" style="34" bestFit="1" customWidth="1"/>
    <col min="26" max="26" width="10.640625" style="34"/>
    <col min="27" max="27" width="24" style="34" bestFit="1" customWidth="1"/>
    <col min="28" max="16384" width="10.640625" style="34"/>
  </cols>
  <sheetData>
    <row r="2" spans="2:21" x14ac:dyDescent="0.45">
      <c r="B2" s="95" t="s">
        <v>0</v>
      </c>
      <c r="C2" s="3"/>
      <c r="D2" s="3"/>
      <c r="E2" s="3"/>
      <c r="F2" s="1"/>
      <c r="G2" s="1"/>
      <c r="H2" s="96" t="s">
        <v>1</v>
      </c>
      <c r="I2" s="1"/>
      <c r="J2" s="1"/>
      <c r="K2" s="1"/>
      <c r="L2" s="1"/>
      <c r="M2" s="96" t="s">
        <v>76</v>
      </c>
      <c r="N2" s="1"/>
      <c r="R2" s="39"/>
    </row>
    <row r="3" spans="2:21" x14ac:dyDescent="0.45">
      <c r="B3" s="1" t="s">
        <v>2</v>
      </c>
      <c r="C3" s="12">
        <v>0.02</v>
      </c>
      <c r="D3" s="3" t="s">
        <v>3</v>
      </c>
      <c r="E3" s="14">
        <v>6.7000000000000002E-3</v>
      </c>
      <c r="F3" s="1" t="s">
        <v>4</v>
      </c>
      <c r="G3" s="14">
        <v>8.1726030101192532E-2</v>
      </c>
      <c r="H3" s="1" t="s">
        <v>46</v>
      </c>
      <c r="I3" s="1">
        <v>221.58</v>
      </c>
      <c r="J3" s="1" t="s">
        <v>77</v>
      </c>
      <c r="K3" s="1">
        <v>62686</v>
      </c>
      <c r="L3" s="1"/>
      <c r="M3" s="1" t="s">
        <v>22</v>
      </c>
      <c r="N3" s="97">
        <v>7714</v>
      </c>
      <c r="R3" s="39"/>
    </row>
    <row r="4" spans="2:21" x14ac:dyDescent="0.45">
      <c r="B4" s="98" t="s">
        <v>78</v>
      </c>
      <c r="C4" s="12">
        <v>0.02</v>
      </c>
      <c r="D4" s="1" t="s">
        <v>79</v>
      </c>
      <c r="E4" s="99">
        <v>9.7000000000000005E-4</v>
      </c>
      <c r="F4" s="1"/>
      <c r="G4" s="1"/>
      <c r="H4" s="1" t="s">
        <v>13</v>
      </c>
      <c r="I4" s="1">
        <v>30</v>
      </c>
      <c r="J4" s="3" t="s">
        <v>18</v>
      </c>
      <c r="K4" s="3">
        <v>3000000</v>
      </c>
      <c r="L4" s="1"/>
      <c r="M4" s="1" t="s">
        <v>80</v>
      </c>
      <c r="N4" s="97">
        <v>16246</v>
      </c>
      <c r="R4" s="39"/>
      <c r="S4" s="39"/>
      <c r="T4" s="39"/>
    </row>
    <row r="5" spans="2:21" x14ac:dyDescent="0.45">
      <c r="B5" s="3" t="s">
        <v>81</v>
      </c>
      <c r="C5" s="14">
        <v>2.29E-2</v>
      </c>
      <c r="D5" s="1" t="s">
        <v>82</v>
      </c>
      <c r="E5" s="14">
        <v>1.72E-2</v>
      </c>
      <c r="F5" s="1"/>
      <c r="G5" s="1"/>
      <c r="H5" s="1" t="s">
        <v>17</v>
      </c>
      <c r="I5" s="100">
        <f>227631/24</f>
        <v>9484.625</v>
      </c>
      <c r="J5" s="1" t="s">
        <v>11</v>
      </c>
      <c r="K5" s="101">
        <v>50</v>
      </c>
      <c r="L5" s="1"/>
      <c r="M5" s="1" t="s">
        <v>83</v>
      </c>
      <c r="N5" s="97">
        <v>6792</v>
      </c>
      <c r="R5" s="39"/>
      <c r="S5" s="39"/>
      <c r="T5" s="39"/>
    </row>
    <row r="6" spans="2:21" x14ac:dyDescent="0.45">
      <c r="B6" s="1" t="s">
        <v>84</v>
      </c>
      <c r="C6" s="9">
        <v>4.5999999999999999E-2</v>
      </c>
      <c r="D6" s="1" t="s">
        <v>16</v>
      </c>
      <c r="E6" s="22">
        <v>0.04</v>
      </c>
      <c r="F6" s="1"/>
      <c r="G6" s="1"/>
      <c r="H6" s="1" t="s">
        <v>85</v>
      </c>
      <c r="I6" s="1">
        <v>4.42</v>
      </c>
      <c r="J6" s="3" t="s">
        <v>86</v>
      </c>
      <c r="K6" s="6">
        <v>10000</v>
      </c>
      <c r="L6" s="1"/>
      <c r="M6" s="1"/>
      <c r="N6" s="1"/>
      <c r="R6" s="39"/>
      <c r="S6" s="39"/>
      <c r="T6" s="39"/>
    </row>
    <row r="7" spans="2:21" x14ac:dyDescent="0.45">
      <c r="B7" s="1" t="s">
        <v>87</v>
      </c>
      <c r="C7" s="9">
        <v>9.2600000000000002E-2</v>
      </c>
      <c r="D7" s="1" t="s">
        <v>20</v>
      </c>
      <c r="E7" s="22">
        <v>0.36</v>
      </c>
      <c r="F7" s="1"/>
      <c r="G7" s="1"/>
      <c r="H7" s="1" t="s">
        <v>88</v>
      </c>
      <c r="I7" s="111">
        <v>6.3</v>
      </c>
      <c r="J7" s="3" t="s">
        <v>89</v>
      </c>
      <c r="K7" s="3">
        <f>K6*K5</f>
        <v>500000</v>
      </c>
      <c r="L7" s="1"/>
      <c r="M7" s="1"/>
      <c r="N7" s="1"/>
      <c r="R7" s="39"/>
      <c r="S7" s="39"/>
      <c r="T7" s="39"/>
    </row>
    <row r="8" spans="2:21" x14ac:dyDescent="0.45">
      <c r="B8" s="3" t="s">
        <v>90</v>
      </c>
      <c r="C8" s="12">
        <v>0.2</v>
      </c>
      <c r="D8" s="1" t="s">
        <v>91</v>
      </c>
      <c r="E8" s="22">
        <v>0.22</v>
      </c>
      <c r="F8" s="1"/>
      <c r="G8" s="1"/>
      <c r="H8" s="1" t="s">
        <v>92</v>
      </c>
      <c r="I8" s="1">
        <v>10808</v>
      </c>
      <c r="J8" s="3" t="s">
        <v>93</v>
      </c>
      <c r="K8" s="6">
        <v>12</v>
      </c>
      <c r="L8" s="1"/>
      <c r="M8" s="1"/>
      <c r="N8" s="1"/>
      <c r="R8" s="39"/>
    </row>
    <row r="9" spans="2:21" x14ac:dyDescent="0.45">
      <c r="B9" s="1" t="s">
        <v>34</v>
      </c>
      <c r="C9" s="22">
        <v>0.1</v>
      </c>
      <c r="D9" s="1" t="s">
        <v>94</v>
      </c>
      <c r="E9" s="9">
        <v>6.5500000000000003E-2</v>
      </c>
      <c r="F9" s="1"/>
      <c r="G9" s="1"/>
      <c r="H9" s="1" t="s">
        <v>50</v>
      </c>
      <c r="I9" s="1">
        <v>3615</v>
      </c>
      <c r="J9" s="1"/>
      <c r="K9" s="1"/>
      <c r="L9" s="1"/>
      <c r="M9" s="1"/>
      <c r="N9" s="1"/>
      <c r="R9" s="39"/>
    </row>
    <row r="10" spans="2:21" x14ac:dyDescent="0.45">
      <c r="R10" s="39"/>
    </row>
    <row r="11" spans="2:21" x14ac:dyDescent="0.45">
      <c r="R11" s="39"/>
    </row>
    <row r="12" spans="2:21" x14ac:dyDescent="0.45">
      <c r="R12" s="39"/>
    </row>
    <row r="13" spans="2:21" x14ac:dyDescent="0.45">
      <c r="B13" s="48" t="s">
        <v>36</v>
      </c>
      <c r="O13" s="39"/>
      <c r="P13" s="39"/>
      <c r="Q13" s="39"/>
      <c r="R13" s="39"/>
    </row>
    <row r="14" spans="2:21" x14ac:dyDescent="0.45">
      <c r="B14" s="84"/>
      <c r="C14" s="84">
        <v>0</v>
      </c>
      <c r="D14" s="84">
        <v>1</v>
      </c>
      <c r="E14" s="84">
        <v>2</v>
      </c>
      <c r="F14" s="84">
        <v>3</v>
      </c>
      <c r="G14" s="84">
        <v>4</v>
      </c>
      <c r="H14" s="84">
        <v>5</v>
      </c>
    </row>
    <row r="15" spans="2:21" x14ac:dyDescent="0.45">
      <c r="B15" s="84" t="s">
        <v>37</v>
      </c>
      <c r="C15" s="84">
        <v>2021</v>
      </c>
      <c r="D15" s="84">
        <v>2022</v>
      </c>
      <c r="E15" s="84">
        <v>2023</v>
      </c>
      <c r="F15" s="84">
        <v>2024</v>
      </c>
      <c r="G15" s="84">
        <v>2025</v>
      </c>
      <c r="H15" s="84">
        <v>2026</v>
      </c>
    </row>
    <row r="16" spans="2:21" x14ac:dyDescent="0.45">
      <c r="B16" s="28" t="s">
        <v>95</v>
      </c>
      <c r="C16" s="39"/>
      <c r="D16" s="39"/>
      <c r="E16" s="39">
        <f>($K$8*$K$7)*(1+$C$3)^E14</f>
        <v>6242400</v>
      </c>
      <c r="F16" s="39">
        <f>($K$8*$K$7)*(1+$C$3)^F14</f>
        <v>6367248</v>
      </c>
      <c r="G16" s="39">
        <f>($K$8*$K$7)*(1+$C$3)^G14</f>
        <v>6494592.96</v>
      </c>
      <c r="H16" s="39">
        <f>($K$8*$K$7)*(1+$C$3)^H14</f>
        <v>6624484.8191999998</v>
      </c>
      <c r="I16" s="39"/>
      <c r="J16" s="39"/>
      <c r="K16" s="39"/>
      <c r="L16" s="39"/>
      <c r="M16" s="39"/>
      <c r="T16" s="39"/>
      <c r="U16" s="39"/>
    </row>
    <row r="17" spans="2:14" x14ac:dyDescent="0.45">
      <c r="B17" s="2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2:14" x14ac:dyDescent="0.45">
      <c r="B18" s="23" t="s">
        <v>41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4" x14ac:dyDescent="0.45">
      <c r="B19" s="25" t="s">
        <v>42</v>
      </c>
      <c r="C19" s="39"/>
      <c r="D19" s="39"/>
      <c r="E19" s="39">
        <f>-($I$8*$I$6*$K$5)*(1+$C$7)^E14</f>
        <v>-2851412.1909436798</v>
      </c>
      <c r="F19" s="39">
        <f>-($I$8*$I$6*$K$5)*(1+$C$7)^F14</f>
        <v>-3115452.9598250645</v>
      </c>
      <c r="G19" s="39">
        <f>-($I$8*$I$6*$K$5)*(1+$C$7)^G14</f>
        <v>-3403943.903904865</v>
      </c>
      <c r="H19" s="39">
        <f>-($I$8*$I$7*$K$5)*(1+$C$3)^D14</f>
        <v>-3472610.3999999994</v>
      </c>
      <c r="I19" s="39"/>
      <c r="J19" s="39"/>
      <c r="K19" s="39"/>
      <c r="L19" s="39"/>
      <c r="M19" s="39"/>
    </row>
    <row r="20" spans="2:14" x14ac:dyDescent="0.45">
      <c r="B20" s="25" t="s">
        <v>43</v>
      </c>
      <c r="C20" s="39"/>
      <c r="D20" s="39"/>
      <c r="E20" s="39">
        <f>E16*-$C$6</f>
        <v>-287150.40000000002</v>
      </c>
      <c r="F20" s="39">
        <f>F16*-$C$6</f>
        <v>-292893.408</v>
      </c>
      <c r="G20" s="39">
        <f>G16*-$C$6</f>
        <v>-298751.27616000001</v>
      </c>
      <c r="H20" s="39">
        <f>H16*-$C$6</f>
        <v>-304726.3016832</v>
      </c>
      <c r="I20" s="39"/>
      <c r="J20" s="39"/>
      <c r="K20" s="39"/>
      <c r="L20" s="39"/>
      <c r="M20" s="39"/>
    </row>
    <row r="21" spans="2:14" x14ac:dyDescent="0.45">
      <c r="B21" s="25" t="s">
        <v>46</v>
      </c>
      <c r="C21" s="39"/>
      <c r="D21" s="39"/>
      <c r="E21" s="39">
        <f>-($I$3*$I$4*$K$5)*(1+$C$3)^E14</f>
        <v>-345797.74800000002</v>
      </c>
      <c r="F21" s="39">
        <f>-($I$3*$I$4*$K$5)*(1+$C$3)^F14</f>
        <v>-352713.70295999997</v>
      </c>
      <c r="G21" s="39">
        <f>-($I$3*$I$4*$K$5)*(1+$C$3)^G14</f>
        <v>-359767.97701919999</v>
      </c>
      <c r="H21" s="39">
        <f>-($I$3*$I$4*$K$5)*(1+$C$3)^H14</f>
        <v>-366963.33655958402</v>
      </c>
      <c r="I21" s="39"/>
      <c r="J21" s="39"/>
      <c r="K21" s="39"/>
      <c r="L21" s="39"/>
      <c r="M21" s="39"/>
    </row>
    <row r="22" spans="2:14" x14ac:dyDescent="0.45">
      <c r="B22" s="25" t="s">
        <v>47</v>
      </c>
      <c r="C22" s="39"/>
      <c r="D22" s="39"/>
      <c r="E22" s="39">
        <f>E16*-$E$9</f>
        <v>-408877.2</v>
      </c>
      <c r="F22" s="39">
        <f>F16*-$E$9</f>
        <v>-417054.74400000001</v>
      </c>
      <c r="G22" s="39">
        <f>G16*-$E$9</f>
        <v>-425395.83888</v>
      </c>
      <c r="H22" s="39">
        <f>H16*-$E$9</f>
        <v>-433903.75565760001</v>
      </c>
      <c r="I22" s="39"/>
      <c r="J22" s="39"/>
      <c r="K22" s="39"/>
      <c r="L22" s="39"/>
      <c r="M22" s="39"/>
    </row>
    <row r="23" spans="2:14" x14ac:dyDescent="0.45">
      <c r="B23" s="25" t="s">
        <v>48</v>
      </c>
      <c r="C23" s="39"/>
      <c r="D23" s="39"/>
      <c r="E23" s="39">
        <f>-($I$5*$I$4)*(1+$C$3)^E14</f>
        <v>-296034.11550000001</v>
      </c>
      <c r="F23" s="39">
        <f>-($I$5*$I$4)*(1+$C$3)^F14</f>
        <v>-301954.79780999996</v>
      </c>
      <c r="G23" s="39">
        <f>-($I$5*$I$4)*(1+$C$3)^G14</f>
        <v>-307993.8937662</v>
      </c>
      <c r="H23" s="39">
        <f>-($I$5*$I$4)*(1+$C$3)^H14</f>
        <v>-314153.77164152398</v>
      </c>
      <c r="I23" s="39"/>
      <c r="J23" s="39"/>
      <c r="K23" s="39"/>
      <c r="L23" s="39"/>
      <c r="M23" s="39"/>
    </row>
    <row r="24" spans="2:14" x14ac:dyDescent="0.45">
      <c r="B24" s="25" t="s">
        <v>3</v>
      </c>
      <c r="C24" s="39"/>
      <c r="D24" s="39"/>
      <c r="E24" s="39">
        <f>E16*-$E$3</f>
        <v>-41824.080000000002</v>
      </c>
      <c r="F24" s="39">
        <f>F16*-$E$3</f>
        <v>-42660.561600000001</v>
      </c>
      <c r="G24" s="39">
        <f>G16*-$E$3</f>
        <v>-43513.772832000002</v>
      </c>
      <c r="H24" s="39">
        <f>H16*-$E$3</f>
        <v>-44384.048288639999</v>
      </c>
      <c r="I24" s="39"/>
      <c r="J24" s="39"/>
      <c r="K24" s="39"/>
      <c r="L24" s="39"/>
      <c r="M24" s="39"/>
      <c r="N24" s="39"/>
    </row>
    <row r="25" spans="2:14" x14ac:dyDescent="0.45">
      <c r="B25" s="25" t="s">
        <v>49</v>
      </c>
      <c r="C25" s="39"/>
      <c r="D25" s="39"/>
      <c r="E25" s="39">
        <f>E16*-$E$4</f>
        <v>-6055.1280000000006</v>
      </c>
      <c r="F25" s="39">
        <f>F16*-$E$4</f>
        <v>-6176.23056</v>
      </c>
      <c r="G25" s="39">
        <f>G16*-$E$4</f>
        <v>-6299.7551712000004</v>
      </c>
      <c r="H25" s="39">
        <f>H16*-$E$4</f>
        <v>-6425.7502746239998</v>
      </c>
      <c r="I25" s="39"/>
      <c r="J25" s="39"/>
      <c r="K25" s="39"/>
      <c r="L25" s="39"/>
      <c r="M25" s="39"/>
      <c r="N25" s="39"/>
    </row>
    <row r="26" spans="2:14" x14ac:dyDescent="0.45">
      <c r="B26" s="25" t="s">
        <v>50</v>
      </c>
      <c r="C26" s="39"/>
      <c r="D26" s="39"/>
      <c r="E26" s="39">
        <f>-($I$9*$K$5)*(1+$C$3)^E14</f>
        <v>-188052.3</v>
      </c>
      <c r="F26" s="39">
        <f>-($I$9*$K$5)*(1+$C$3)^F14</f>
        <v>-191813.34599999999</v>
      </c>
      <c r="G26" s="39">
        <f>-($I$9*$K$5)*(1+$C$3)^G14</f>
        <v>-195649.61291999999</v>
      </c>
      <c r="H26" s="39">
        <f>-($I$9*$K$5)*(1+$C$3)^H14</f>
        <v>-199562.6051784</v>
      </c>
      <c r="I26" s="39"/>
      <c r="J26" s="39"/>
      <c r="K26" s="39"/>
      <c r="L26" s="39"/>
      <c r="M26" s="39"/>
      <c r="N26" s="39"/>
    </row>
    <row r="27" spans="2:14" x14ac:dyDescent="0.45">
      <c r="B27" s="25" t="s">
        <v>12</v>
      </c>
      <c r="C27" s="39"/>
      <c r="D27" s="39"/>
      <c r="E27" s="39">
        <f>E19*$E$5</f>
        <v>-49044.289684231291</v>
      </c>
      <c r="F27" s="39">
        <f>F19*$E$5</f>
        <v>-53585.790908991112</v>
      </c>
      <c r="G27" s="39">
        <f>G19*$E$5</f>
        <v>-58547.835147163678</v>
      </c>
      <c r="H27" s="39">
        <f>H19*$E$5</f>
        <v>-59728.898879999993</v>
      </c>
      <c r="I27" s="39"/>
      <c r="J27" s="39"/>
      <c r="K27" s="39"/>
      <c r="L27" s="39"/>
      <c r="M27" s="39"/>
      <c r="N27" s="39"/>
    </row>
    <row r="28" spans="2:14" x14ac:dyDescent="0.45">
      <c r="B28" s="25" t="s">
        <v>10</v>
      </c>
      <c r="C28" s="39"/>
      <c r="D28" s="39"/>
      <c r="E28" s="39">
        <f>-K3*(1+C5)</f>
        <v>-64121.509399999995</v>
      </c>
      <c r="F28" s="39">
        <f>E28*(1+$C$5)</f>
        <v>-65589.891965259987</v>
      </c>
      <c r="G28" s="39">
        <f>F28*(1+$C$5)</f>
        <v>-67091.90049126443</v>
      </c>
      <c r="H28" s="39">
        <f>G28*(1+$C$5)</f>
        <v>-68628.305012514378</v>
      </c>
      <c r="I28" s="39"/>
      <c r="J28" s="39"/>
      <c r="K28" s="39"/>
      <c r="L28" s="39"/>
      <c r="M28" s="39"/>
      <c r="N28" s="39"/>
    </row>
    <row r="29" spans="2:14" x14ac:dyDescent="0.45">
      <c r="B29" s="27" t="s">
        <v>51</v>
      </c>
      <c r="C29" s="39"/>
      <c r="D29" s="39"/>
      <c r="E29" s="39">
        <f>SUM(E19:E28)</f>
        <v>-4538368.9615279101</v>
      </c>
      <c r="F29" s="39">
        <f>SUM(F19:F28)</f>
        <v>-4839895.4336293153</v>
      </c>
      <c r="G29" s="39">
        <f>SUM(G19:G28)</f>
        <v>-5166955.766291894</v>
      </c>
      <c r="H29" s="39">
        <f>SUM(H19:H28)</f>
        <v>-5271087.1731760856</v>
      </c>
      <c r="I29" s="39"/>
      <c r="J29" s="39"/>
      <c r="K29" s="39"/>
      <c r="L29" s="39"/>
      <c r="M29" s="39"/>
      <c r="N29" s="39"/>
    </row>
    <row r="30" spans="2:14" x14ac:dyDescent="0.45">
      <c r="B30" s="2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2:14" x14ac:dyDescent="0.45">
      <c r="B31" s="28" t="s">
        <v>96</v>
      </c>
      <c r="E31" s="39">
        <f>E16+E29</f>
        <v>1704031.0384720899</v>
      </c>
      <c r="F31" s="39">
        <f>F16+F29</f>
        <v>1527352.5663706847</v>
      </c>
      <c r="G31" s="39">
        <f>G16+G29</f>
        <v>1327637.1937081059</v>
      </c>
      <c r="H31" s="39">
        <f>H16+H29</f>
        <v>1353397.6460239142</v>
      </c>
      <c r="I31" s="39"/>
      <c r="J31" s="39"/>
      <c r="K31" s="39"/>
      <c r="L31" s="39"/>
      <c r="M31" s="39"/>
      <c r="N31" s="39"/>
    </row>
    <row r="32" spans="2:14" x14ac:dyDescent="0.45">
      <c r="B32" s="23"/>
      <c r="L32" s="39"/>
      <c r="M32" s="39"/>
      <c r="N32" s="39"/>
    </row>
    <row r="33" spans="2:21" x14ac:dyDescent="0.45">
      <c r="B33" s="29" t="s">
        <v>97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2:21" x14ac:dyDescent="0.45">
      <c r="B34" s="25" t="s">
        <v>16</v>
      </c>
      <c r="C34" s="39"/>
      <c r="D34" s="39"/>
      <c r="E34" s="39">
        <f>E31*-$E$6</f>
        <v>-68161.241538883594</v>
      </c>
      <c r="F34" s="39">
        <f>F31*-$E$6</f>
        <v>-61094.102654827388</v>
      </c>
      <c r="G34" s="39">
        <f>G31*-$E$6</f>
        <v>-53105.487748324238</v>
      </c>
      <c r="H34" s="39">
        <f>H31*-$E$6</f>
        <v>-54135.90584095657</v>
      </c>
      <c r="I34" s="39"/>
      <c r="J34" s="39"/>
      <c r="K34" s="39"/>
      <c r="L34" s="39"/>
      <c r="M34" s="39"/>
      <c r="N34" s="39"/>
      <c r="O34" s="39"/>
    </row>
    <row r="35" spans="2:21" x14ac:dyDescent="0.45">
      <c r="B35" s="25" t="s">
        <v>20</v>
      </c>
      <c r="C35" s="39"/>
      <c r="D35" s="39"/>
      <c r="E35" s="39">
        <f>E31*-$E$7</f>
        <v>-613451.17384995229</v>
      </c>
      <c r="F35" s="39">
        <f>F31*-$E$7</f>
        <v>-549846.92389344645</v>
      </c>
      <c r="G35" s="39">
        <f>G31*-$E$7</f>
        <v>-477949.38973491814</v>
      </c>
      <c r="H35" s="39">
        <f>H31*-$E$7</f>
        <v>-487223.1525686091</v>
      </c>
      <c r="I35" s="39"/>
      <c r="J35" s="39"/>
      <c r="K35" s="39"/>
      <c r="L35" s="39"/>
      <c r="M35" s="39"/>
      <c r="N35" s="39"/>
      <c r="O35" s="39"/>
    </row>
    <row r="36" spans="2:21" x14ac:dyDescent="0.45">
      <c r="B36" s="28" t="s">
        <v>98</v>
      </c>
      <c r="C36" s="39"/>
      <c r="D36" s="39"/>
      <c r="E36" s="39">
        <f>SUM(E34:E35)</f>
        <v>-681612.41538883583</v>
      </c>
      <c r="F36" s="39">
        <f>SUM(F34:F35)</f>
        <v>-610941.02654827386</v>
      </c>
      <c r="G36" s="39">
        <f>SUM(G34:G35)</f>
        <v>-531054.87748324242</v>
      </c>
      <c r="H36" s="39">
        <f>SUM(H34:H35)</f>
        <v>-541359.05840956571</v>
      </c>
      <c r="I36" s="39"/>
      <c r="J36" s="39"/>
      <c r="K36" s="39"/>
      <c r="L36" s="39"/>
      <c r="M36" s="39"/>
      <c r="N36" s="39"/>
      <c r="O36" s="39"/>
    </row>
    <row r="37" spans="2:21" x14ac:dyDescent="0.45">
      <c r="B37" s="23"/>
      <c r="L37" s="39"/>
      <c r="M37" s="39"/>
    </row>
    <row r="38" spans="2:21" x14ac:dyDescent="0.45">
      <c r="B38" s="23" t="s">
        <v>56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2:21" x14ac:dyDescent="0.45">
      <c r="B39" s="25" t="s">
        <v>57</v>
      </c>
      <c r="C39" s="39"/>
      <c r="D39" s="39"/>
      <c r="E39" s="39">
        <f>-($N$3*$K$5)*(1+$C$4)^E14</f>
        <v>-401282.27999999997</v>
      </c>
      <c r="F39" s="39">
        <f>-($N$3*$K$5)*(1+$C$4)^F14</f>
        <v>-409307.92559999996</v>
      </c>
      <c r="G39" s="39">
        <f>-($N$3*$K$5)*(1+$C$4)^G14</f>
        <v>-417494.08411200001</v>
      </c>
      <c r="H39" s="39">
        <f>-($N$3*$K$5)*(1+$C$4)^H14</f>
        <v>-425843.96579424001</v>
      </c>
      <c r="I39" s="39"/>
      <c r="J39" s="39"/>
      <c r="K39" s="39"/>
      <c r="L39" s="39"/>
      <c r="M39" s="39"/>
    </row>
    <row r="40" spans="2:21" x14ac:dyDescent="0.45">
      <c r="B40" s="25" t="s">
        <v>58</v>
      </c>
      <c r="C40" s="39"/>
      <c r="D40" s="39"/>
      <c r="E40" s="39">
        <f>-($N$4*$K$5)*(1+$C$4)^E14</f>
        <v>-845116.92</v>
      </c>
      <c r="F40" s="39">
        <f>-($N$4*$K$5)*(1+$C$4)^F14</f>
        <v>-862019.25839999993</v>
      </c>
      <c r="G40" s="39">
        <f>-($N$4*$K$5)*(1+$C$4)^G14</f>
        <v>-879259.64356799994</v>
      </c>
      <c r="H40" s="39">
        <f>-($N$4*$K$5)*(1+$C$4)^H14</f>
        <v>-896844.83643936005</v>
      </c>
      <c r="I40" s="39"/>
      <c r="J40" s="39"/>
      <c r="K40" s="39"/>
      <c r="L40" s="39"/>
      <c r="M40" s="39"/>
    </row>
    <row r="41" spans="2:21" x14ac:dyDescent="0.45">
      <c r="B41" s="25" t="s">
        <v>59</v>
      </c>
      <c r="C41" s="39"/>
      <c r="D41" s="39"/>
      <c r="E41" s="39">
        <f>-($N$5*$K$5)*(1+$C$4)^E14</f>
        <v>-353319.84</v>
      </c>
      <c r="F41" s="39">
        <f>-($N$5*$K$5)*(1+$C$4)^F14</f>
        <v>-360386.23679999996</v>
      </c>
      <c r="G41" s="39">
        <f>-($N$5*$K$5)*(1+$C$4)^G14</f>
        <v>-367593.96153600002</v>
      </c>
      <c r="H41" s="39">
        <f>-($N$5*$K$5)*(1+$C$4)^H14</f>
        <v>-374945.84076672001</v>
      </c>
      <c r="I41" s="39"/>
      <c r="J41" s="39"/>
      <c r="K41" s="39"/>
      <c r="L41" s="39"/>
      <c r="M41" s="39"/>
    </row>
    <row r="42" spans="2:21" x14ac:dyDescent="0.45">
      <c r="B42" s="25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2:21" x14ac:dyDescent="0.45">
      <c r="B43" s="28" t="s">
        <v>61</v>
      </c>
      <c r="C43" s="39"/>
      <c r="D43" s="39"/>
      <c r="E43" s="39">
        <f>SUM(E39:E41)</f>
        <v>-1599719.04</v>
      </c>
      <c r="F43" s="39">
        <f>SUM(F39:F41)</f>
        <v>-1631713.4208</v>
      </c>
      <c r="G43" s="39">
        <f>SUM(G39:G41)</f>
        <v>-1664347.689216</v>
      </c>
      <c r="H43" s="39">
        <f>SUM(H39:H41)</f>
        <v>-1697634.6430003201</v>
      </c>
      <c r="I43" s="39"/>
      <c r="J43" s="39"/>
      <c r="K43" s="39"/>
      <c r="L43" s="39"/>
      <c r="M43" s="39"/>
    </row>
    <row r="44" spans="2:21" x14ac:dyDescent="0.45">
      <c r="B44" s="23"/>
      <c r="L44" s="39"/>
      <c r="M44" s="39"/>
    </row>
    <row r="45" spans="2:21" x14ac:dyDescent="0.45">
      <c r="B45" s="28" t="s">
        <v>62</v>
      </c>
      <c r="C45" s="39"/>
      <c r="D45" s="39"/>
      <c r="E45" s="39">
        <f>E29+E36+E43</f>
        <v>-6819700.4169167457</v>
      </c>
      <c r="F45" s="39">
        <f>F29+F36+F43</f>
        <v>-7082549.8809775896</v>
      </c>
      <c r="G45" s="39">
        <f>G29+G36+G43</f>
        <v>-7362358.3329911362</v>
      </c>
      <c r="H45" s="39">
        <f>H29+H36+H43</f>
        <v>-7510080.8745859712</v>
      </c>
      <c r="I45" s="39"/>
      <c r="J45" s="39"/>
      <c r="K45" s="39"/>
      <c r="L45" s="39"/>
      <c r="M45" s="39"/>
      <c r="S45" s="39"/>
      <c r="T45" s="39"/>
      <c r="U45" s="39"/>
    </row>
    <row r="46" spans="2:21" x14ac:dyDescent="0.45">
      <c r="B46" s="23"/>
      <c r="L46" s="39"/>
      <c r="M46" s="39"/>
      <c r="S46" s="39"/>
      <c r="T46" s="39"/>
      <c r="U46" s="39"/>
    </row>
    <row r="47" spans="2:21" x14ac:dyDescent="0.45">
      <c r="B47" s="24" t="s">
        <v>63</v>
      </c>
      <c r="E47" s="39">
        <f>E16+E45</f>
        <v>-577300.41691674571</v>
      </c>
      <c r="F47" s="39">
        <f>F16+F45</f>
        <v>-715301.88097758964</v>
      </c>
      <c r="G47" s="39">
        <f>G16+G45</f>
        <v>-867765.37299113628</v>
      </c>
      <c r="H47" s="39">
        <f>H16+H45</f>
        <v>-885596.05538597144</v>
      </c>
      <c r="I47" s="39"/>
      <c r="J47" s="39"/>
      <c r="K47" s="39"/>
      <c r="L47" s="39"/>
      <c r="M47" s="39"/>
      <c r="O47" s="39"/>
      <c r="P47" s="39"/>
      <c r="Q47" s="39"/>
      <c r="R47" s="39"/>
      <c r="S47" s="39"/>
      <c r="T47" s="39"/>
      <c r="U47" s="39"/>
    </row>
    <row r="48" spans="2:21" x14ac:dyDescent="0.45">
      <c r="B48" s="23"/>
      <c r="L48" s="39"/>
      <c r="M48" s="39"/>
      <c r="O48" s="39"/>
      <c r="P48" s="39"/>
      <c r="Q48" s="39"/>
      <c r="R48" s="39"/>
      <c r="S48" s="39"/>
      <c r="T48" s="39"/>
      <c r="U48" s="39"/>
    </row>
    <row r="49" spans="2:21" x14ac:dyDescent="0.45">
      <c r="B49" s="23" t="s">
        <v>64</v>
      </c>
      <c r="E49" s="39">
        <f>D57*C8</f>
        <v>-600000</v>
      </c>
      <c r="F49" s="39">
        <f>(D57-SUM(E49))*$C$8</f>
        <v>-480000</v>
      </c>
      <c r="G49" s="39">
        <f>(D57-SUM(E49:F49))*C8</f>
        <v>-384000</v>
      </c>
      <c r="H49" s="39">
        <f>D57-SUM(E49:G49)</f>
        <v>-1536000</v>
      </c>
      <c r="I49" s="39"/>
      <c r="J49" s="39"/>
      <c r="K49" s="39"/>
      <c r="L49" s="39"/>
      <c r="M49" s="39"/>
      <c r="O49" s="39"/>
      <c r="P49" s="39"/>
      <c r="Q49" s="39"/>
      <c r="R49" s="39"/>
      <c r="S49" s="39"/>
      <c r="T49" s="39"/>
      <c r="U49" s="39"/>
    </row>
    <row r="50" spans="2:21" x14ac:dyDescent="0.45">
      <c r="B50" s="23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2:21" x14ac:dyDescent="0.45">
      <c r="B51" s="24" t="s">
        <v>66</v>
      </c>
      <c r="C51" s="39"/>
      <c r="D51" s="39"/>
      <c r="E51" s="39">
        <f>SUM(E47:E49)</f>
        <v>-1177300.4169167457</v>
      </c>
      <c r="F51" s="39">
        <f>SUM(F47:F49)</f>
        <v>-1195301.8809775896</v>
      </c>
      <c r="G51" s="39">
        <f>SUM(G47:G49)</f>
        <v>-1251765.3729911363</v>
      </c>
      <c r="H51" s="39">
        <f>SUM(H47:H49)</f>
        <v>-2421596.0553859714</v>
      </c>
      <c r="I51" s="39"/>
      <c r="J51" s="39"/>
      <c r="K51" s="39"/>
      <c r="L51" s="39"/>
      <c r="M51" s="39"/>
      <c r="N51" s="39"/>
    </row>
    <row r="52" spans="2:21" x14ac:dyDescent="0.45">
      <c r="B52" s="23" t="s">
        <v>67</v>
      </c>
      <c r="C52" s="39"/>
      <c r="D52" s="39"/>
      <c r="E52" s="39">
        <f>E51*-$E$8</f>
        <v>259006.09172168406</v>
      </c>
      <c r="F52" s="39">
        <f>F51*-$E$8</f>
        <v>262966.41381506971</v>
      </c>
      <c r="G52" s="39">
        <f>G51*-$E$8</f>
        <v>275388.38205804996</v>
      </c>
      <c r="H52" s="39">
        <f>H51*-$E$8</f>
        <v>532751.13218491373</v>
      </c>
      <c r="I52" s="39"/>
      <c r="J52" s="39"/>
      <c r="K52" s="39"/>
      <c r="L52" s="39"/>
      <c r="M52" s="39"/>
      <c r="N52" s="39"/>
    </row>
    <row r="53" spans="2:21" ht="16.3" thickBot="1" x14ac:dyDescent="0.5">
      <c r="B53" s="30" t="s">
        <v>68</v>
      </c>
      <c r="C53" s="81"/>
      <c r="D53" s="81"/>
      <c r="E53" s="81">
        <f>SUM(E51:E52)</f>
        <v>-918294.32519506162</v>
      </c>
      <c r="F53" s="81">
        <f>SUM(F51:F52)</f>
        <v>-932335.46716251993</v>
      </c>
      <c r="G53" s="81">
        <f>SUM(G51:G52)</f>
        <v>-976376.99093308626</v>
      </c>
      <c r="H53" s="81">
        <f>SUM(H51:H52)</f>
        <v>-1888844.9232010576</v>
      </c>
      <c r="I53" s="39"/>
      <c r="J53" s="39"/>
      <c r="K53" s="39"/>
      <c r="L53" s="39"/>
      <c r="M53" s="39"/>
      <c r="N53" s="39"/>
    </row>
    <row r="54" spans="2:21" x14ac:dyDescent="0.45">
      <c r="B54" s="23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2:21" x14ac:dyDescent="0.45">
      <c r="B55" s="29" t="s">
        <v>64</v>
      </c>
      <c r="C55" s="39"/>
      <c r="D55" s="39"/>
      <c r="E55" s="39">
        <f>-E49</f>
        <v>600000</v>
      </c>
      <c r="F55" s="39">
        <f>-F49</f>
        <v>480000</v>
      </c>
      <c r="G55" s="39">
        <f>-G49</f>
        <v>384000</v>
      </c>
      <c r="H55" s="39">
        <f>-H49</f>
        <v>1536000</v>
      </c>
      <c r="I55" s="39"/>
      <c r="J55" s="39"/>
      <c r="K55" s="39"/>
      <c r="L55" s="39"/>
      <c r="M55" s="39"/>
      <c r="N55" s="39"/>
    </row>
    <row r="56" spans="2:21" x14ac:dyDescent="0.45">
      <c r="B56" s="29" t="s">
        <v>99</v>
      </c>
      <c r="C56" s="39"/>
      <c r="D56" s="39">
        <f>(D16-E16)*$C$9</f>
        <v>-624240</v>
      </c>
      <c r="E56" s="39">
        <f>(E16-F16)*$C$9</f>
        <v>-12484.800000000001</v>
      </c>
      <c r="F56" s="39">
        <f>(F16-G16)*$C$9</f>
        <v>-12734.495999999997</v>
      </c>
      <c r="G56" s="39">
        <f>(G16-H16)*$C$9</f>
        <v>-12989.185919999984</v>
      </c>
      <c r="H56" s="39">
        <f>(H16-I16)*$C$9</f>
        <v>662448.48192000005</v>
      </c>
      <c r="I56" s="39"/>
      <c r="J56" s="39"/>
      <c r="K56" s="39"/>
      <c r="L56" s="39"/>
      <c r="M56" s="39"/>
      <c r="N56" s="39"/>
    </row>
    <row r="57" spans="2:21" x14ac:dyDescent="0.45">
      <c r="B57" s="23" t="s">
        <v>18</v>
      </c>
      <c r="C57" s="39"/>
      <c r="D57" s="39">
        <f>-K4</f>
        <v>-3000000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2:21" x14ac:dyDescent="0.45">
      <c r="B58" s="2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2:21" ht="16.3" thickBot="1" x14ac:dyDescent="0.5">
      <c r="B59" s="102" t="s">
        <v>100</v>
      </c>
      <c r="C59" s="103"/>
      <c r="D59" s="81">
        <f>SUM(D53:D58)</f>
        <v>-3624240</v>
      </c>
      <c r="E59" s="81">
        <f>SUM(E53:E58)</f>
        <v>-330779.12519506161</v>
      </c>
      <c r="F59" s="81">
        <f>SUM(F53:F58)</f>
        <v>-465069.96316251991</v>
      </c>
      <c r="G59" s="81">
        <f>SUM(G53:G58)</f>
        <v>-605366.17685308622</v>
      </c>
      <c r="H59" s="81">
        <f>SUM(H53:H58)</f>
        <v>309603.55871894246</v>
      </c>
      <c r="I59" s="39"/>
      <c r="J59" s="39"/>
      <c r="K59" s="39"/>
      <c r="L59" s="39"/>
      <c r="M59" s="39"/>
      <c r="N59" s="39"/>
    </row>
    <row r="60" spans="2:21" x14ac:dyDescent="0.45">
      <c r="B60" s="5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2:21" ht="16.3" thickBot="1" x14ac:dyDescent="0.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2:21" x14ac:dyDescent="0.45">
      <c r="B62" s="90" t="s">
        <v>101</v>
      </c>
      <c r="C62" s="110">
        <v>8.1726030101192532E-2</v>
      </c>
      <c r="D62" s="39"/>
      <c r="E62" s="39"/>
      <c r="F62" s="39"/>
      <c r="G62" s="39"/>
      <c r="H62" s="39"/>
      <c r="I62" s="39"/>
      <c r="J62" s="39"/>
      <c r="T62" s="39"/>
      <c r="U62" s="39"/>
    </row>
    <row r="63" spans="2:21" ht="16.3" thickBot="1" x14ac:dyDescent="0.5">
      <c r="B63" s="91" t="s">
        <v>102</v>
      </c>
      <c r="C63" s="92">
        <f>NPV(C62,E59:K59)+D59</f>
        <v>-4579622.9901519241</v>
      </c>
    </row>
    <row r="72" spans="2:3" x14ac:dyDescent="0.45">
      <c r="C72" s="40"/>
    </row>
    <row r="73" spans="2:3" x14ac:dyDescent="0.45">
      <c r="B73" s="55"/>
      <c r="C73" s="37"/>
    </row>
    <row r="74" spans="2:3" x14ac:dyDescent="0.45">
      <c r="B74" s="55"/>
    </row>
    <row r="75" spans="2:3" x14ac:dyDescent="0.45">
      <c r="B75" s="55"/>
      <c r="C75" s="38"/>
    </row>
    <row r="77" spans="2:3" x14ac:dyDescent="0.45">
      <c r="B77" s="59"/>
      <c r="C77" s="38"/>
    </row>
    <row r="78" spans="2:3" x14ac:dyDescent="0.45">
      <c r="B78" s="55"/>
      <c r="C78" s="114"/>
    </row>
    <row r="79" spans="2:3" x14ac:dyDescent="0.45">
      <c r="B79" s="55"/>
      <c r="C79" s="114"/>
    </row>
    <row r="80" spans="2:3" x14ac:dyDescent="0.45">
      <c r="B80" s="59"/>
      <c r="C80" s="60"/>
    </row>
    <row r="81" spans="2:3" x14ac:dyDescent="0.45">
      <c r="B81" s="59"/>
      <c r="C81" s="3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U81"/>
  <sheetViews>
    <sheetView zoomScale="80" zoomScaleNormal="80" workbookViewId="0">
      <selection activeCell="M27" sqref="M27"/>
    </sheetView>
  </sheetViews>
  <sheetFormatPr defaultColWidth="10.640625" defaultRowHeight="15.9" x14ac:dyDescent="0.45"/>
  <cols>
    <col min="1" max="1" width="10.640625" style="34"/>
    <col min="2" max="2" width="31" style="34" bestFit="1" customWidth="1"/>
    <col min="3" max="3" width="10.640625" style="34" bestFit="1" customWidth="1"/>
    <col min="4" max="4" width="15" style="34" bestFit="1" customWidth="1"/>
    <col min="5" max="7" width="11.140625" style="34" bestFit="1" customWidth="1"/>
    <col min="8" max="8" width="18.5" style="34" bestFit="1" customWidth="1"/>
    <col min="9" max="9" width="9.85546875" style="34" bestFit="1" customWidth="1"/>
    <col min="10" max="10" width="11.85546875" style="34" bestFit="1" customWidth="1"/>
    <col min="11" max="11" width="12" style="34" bestFit="1" customWidth="1"/>
    <col min="12" max="12" width="10.640625" style="34"/>
    <col min="13" max="13" width="24.140625" style="34" bestFit="1" customWidth="1"/>
    <col min="14" max="14" width="13.140625" style="34" bestFit="1" customWidth="1"/>
    <col min="15" max="15" width="15.640625" style="34" bestFit="1" customWidth="1"/>
    <col min="16" max="16" width="10.640625" style="34"/>
    <col min="17" max="17" width="29.5" style="34" bestFit="1" customWidth="1"/>
    <col min="18" max="18" width="19.5" style="34" bestFit="1" customWidth="1"/>
    <col min="19" max="19" width="10.640625" style="34"/>
    <col min="20" max="20" width="15" style="34" bestFit="1" customWidth="1"/>
    <col min="21" max="23" width="10.640625" style="34"/>
    <col min="24" max="24" width="17.640625" style="34" bestFit="1" customWidth="1"/>
    <col min="25" max="26" width="10.640625" style="34"/>
    <col min="27" max="27" width="13.140625" style="34" bestFit="1" customWidth="1"/>
    <col min="28" max="28" width="10.640625" style="34"/>
    <col min="29" max="29" width="23.5" style="34" bestFit="1" customWidth="1"/>
    <col min="30" max="16384" width="10.640625" style="34"/>
  </cols>
  <sheetData>
    <row r="1" spans="2:16" x14ac:dyDescent="0.45">
      <c r="D1" s="39"/>
      <c r="E1" s="39"/>
    </row>
    <row r="2" spans="2:16" x14ac:dyDescent="0.45">
      <c r="B2" s="95" t="s">
        <v>0</v>
      </c>
      <c r="C2" s="3"/>
      <c r="D2" s="3"/>
      <c r="E2" s="3"/>
      <c r="F2" s="1"/>
      <c r="G2" s="1"/>
      <c r="H2" s="96" t="s">
        <v>1</v>
      </c>
      <c r="I2" s="1"/>
      <c r="J2" s="1"/>
      <c r="K2" s="1"/>
      <c r="L2" s="1"/>
      <c r="M2" s="96" t="s">
        <v>76</v>
      </c>
      <c r="N2" s="1"/>
    </row>
    <row r="3" spans="2:16" x14ac:dyDescent="0.45">
      <c r="B3" s="1" t="s">
        <v>2</v>
      </c>
      <c r="C3" s="12">
        <v>0.02</v>
      </c>
      <c r="D3" s="3" t="s">
        <v>3</v>
      </c>
      <c r="E3" s="14">
        <v>6.7000000000000002E-3</v>
      </c>
      <c r="F3" s="1" t="s">
        <v>4</v>
      </c>
      <c r="G3" s="14">
        <v>8.1726030101192532E-2</v>
      </c>
      <c r="H3" s="1" t="s">
        <v>46</v>
      </c>
      <c r="I3" s="1">
        <v>221.58</v>
      </c>
      <c r="J3" s="1" t="s">
        <v>77</v>
      </c>
      <c r="K3" s="1">
        <v>62686</v>
      </c>
      <c r="L3" s="1"/>
      <c r="M3" s="1" t="s">
        <v>22</v>
      </c>
      <c r="N3" s="97">
        <v>7714</v>
      </c>
    </row>
    <row r="4" spans="2:16" x14ac:dyDescent="0.45">
      <c r="B4" s="98" t="s">
        <v>78</v>
      </c>
      <c r="C4" s="12">
        <v>0.02</v>
      </c>
      <c r="D4" s="1" t="s">
        <v>79</v>
      </c>
      <c r="E4" s="99">
        <v>9.7000000000000005E-4</v>
      </c>
      <c r="F4" s="1"/>
      <c r="G4" s="1"/>
      <c r="H4" s="1" t="s">
        <v>13</v>
      </c>
      <c r="I4" s="1">
        <v>30</v>
      </c>
      <c r="J4" s="3" t="s">
        <v>18</v>
      </c>
      <c r="K4" s="6">
        <v>3000000</v>
      </c>
      <c r="L4" s="1"/>
      <c r="M4" s="1" t="s">
        <v>80</v>
      </c>
      <c r="N4" s="97">
        <v>16246</v>
      </c>
    </row>
    <row r="5" spans="2:16" x14ac:dyDescent="0.45">
      <c r="B5" s="3" t="s">
        <v>81</v>
      </c>
      <c r="C5" s="14">
        <v>2.29E-2</v>
      </c>
      <c r="D5" s="1" t="s">
        <v>82</v>
      </c>
      <c r="E5" s="14">
        <v>1.72E-2</v>
      </c>
      <c r="F5" s="1"/>
      <c r="G5" s="1"/>
      <c r="H5" s="1" t="s">
        <v>17</v>
      </c>
      <c r="I5" s="100">
        <f>227631/24</f>
        <v>9484.625</v>
      </c>
      <c r="J5" s="1" t="s">
        <v>11</v>
      </c>
      <c r="K5" s="101">
        <v>50</v>
      </c>
      <c r="L5" s="1"/>
      <c r="M5" s="1" t="s">
        <v>83</v>
      </c>
      <c r="N5" s="97">
        <v>6792</v>
      </c>
    </row>
    <row r="6" spans="2:16" x14ac:dyDescent="0.45">
      <c r="B6" s="1" t="s">
        <v>84</v>
      </c>
      <c r="C6" s="9">
        <v>4.5999999999999999E-2</v>
      </c>
      <c r="D6" s="1" t="s">
        <v>16</v>
      </c>
      <c r="E6" s="22">
        <v>0.04</v>
      </c>
      <c r="F6" s="1"/>
      <c r="G6" s="1"/>
      <c r="H6" s="1" t="s">
        <v>85</v>
      </c>
      <c r="I6" s="1">
        <v>4.42</v>
      </c>
      <c r="J6" s="3" t="s">
        <v>86</v>
      </c>
      <c r="K6" s="6">
        <v>50000</v>
      </c>
      <c r="L6" s="1"/>
      <c r="M6" s="1"/>
      <c r="N6" s="1"/>
    </row>
    <row r="7" spans="2:16" x14ac:dyDescent="0.45">
      <c r="B7" s="1" t="s">
        <v>103</v>
      </c>
      <c r="C7" s="9">
        <v>9.2600000000000002E-2</v>
      </c>
      <c r="D7" s="1" t="s">
        <v>20</v>
      </c>
      <c r="E7" s="22">
        <v>0.36</v>
      </c>
      <c r="F7" s="1"/>
      <c r="G7" s="1"/>
      <c r="H7" s="1" t="s">
        <v>88</v>
      </c>
      <c r="I7" s="1">
        <v>6.3</v>
      </c>
      <c r="J7" s="3" t="s">
        <v>89</v>
      </c>
      <c r="K7" s="6">
        <f>K6*K5</f>
        <v>2500000</v>
      </c>
      <c r="L7" s="1"/>
      <c r="M7" s="1"/>
      <c r="N7" s="1"/>
    </row>
    <row r="8" spans="2:16" x14ac:dyDescent="0.45">
      <c r="B8" s="3" t="s">
        <v>90</v>
      </c>
      <c r="C8" s="18">
        <v>0.2</v>
      </c>
      <c r="D8" s="1" t="s">
        <v>91</v>
      </c>
      <c r="E8" s="22">
        <v>0.22</v>
      </c>
      <c r="F8" s="1"/>
      <c r="G8" s="1"/>
      <c r="H8" s="1" t="s">
        <v>92</v>
      </c>
      <c r="I8" s="1">
        <v>10808</v>
      </c>
      <c r="J8" s="3" t="s">
        <v>93</v>
      </c>
      <c r="K8" s="6">
        <v>12</v>
      </c>
      <c r="L8" s="1"/>
      <c r="M8" s="1"/>
      <c r="N8" s="1"/>
    </row>
    <row r="9" spans="2:16" x14ac:dyDescent="0.45">
      <c r="B9" s="1" t="s">
        <v>34</v>
      </c>
      <c r="C9" s="22">
        <v>0.1</v>
      </c>
      <c r="D9" s="1" t="s">
        <v>94</v>
      </c>
      <c r="E9" s="9">
        <v>6.5500000000000003E-2</v>
      </c>
      <c r="F9" s="1"/>
      <c r="G9" s="1"/>
      <c r="H9" s="1" t="s">
        <v>50</v>
      </c>
      <c r="I9" s="1">
        <v>3615</v>
      </c>
      <c r="J9" s="1"/>
      <c r="K9" s="1"/>
      <c r="L9" s="1"/>
      <c r="M9" s="1"/>
      <c r="N9" s="1"/>
    </row>
    <row r="10" spans="2:16" x14ac:dyDescent="0.45">
      <c r="G10" s="39"/>
    </row>
    <row r="11" spans="2:16" x14ac:dyDescent="0.45">
      <c r="G11" s="39"/>
    </row>
    <row r="12" spans="2:16" x14ac:dyDescent="0.45">
      <c r="B12" s="48" t="s">
        <v>36</v>
      </c>
    </row>
    <row r="13" spans="2:16" x14ac:dyDescent="0.45">
      <c r="B13" s="84"/>
      <c r="C13" s="84">
        <v>0</v>
      </c>
      <c r="D13" s="84">
        <v>1</v>
      </c>
      <c r="E13" s="84">
        <v>2</v>
      </c>
      <c r="F13" s="84">
        <v>3</v>
      </c>
      <c r="G13" s="84">
        <v>4</v>
      </c>
      <c r="H13" s="84">
        <v>5</v>
      </c>
      <c r="P13" s="49"/>
    </row>
    <row r="14" spans="2:16" x14ac:dyDescent="0.45">
      <c r="B14" s="84" t="s">
        <v>37</v>
      </c>
      <c r="C14" s="84">
        <v>2021</v>
      </c>
      <c r="D14" s="84">
        <v>2022</v>
      </c>
      <c r="E14" s="84">
        <v>2023</v>
      </c>
      <c r="F14" s="84">
        <v>2024</v>
      </c>
      <c r="G14" s="84">
        <v>2025</v>
      </c>
      <c r="H14" s="84">
        <v>2026</v>
      </c>
    </row>
    <row r="15" spans="2:16" x14ac:dyDescent="0.45">
      <c r="B15" s="28" t="s">
        <v>104</v>
      </c>
      <c r="C15" s="39"/>
      <c r="D15" s="39"/>
      <c r="E15" s="39">
        <f>($K$8*$K$7)*(1+$C$3)^E13</f>
        <v>31212000</v>
      </c>
      <c r="F15" s="39">
        <f>($K$8*$K$7)*(1+$C$3)^F13</f>
        <v>31836239.999999996</v>
      </c>
      <c r="G15" s="39">
        <f>($K$8*$K$7)*(1+$C$3)^G13</f>
        <v>32472964.800000001</v>
      </c>
      <c r="H15" s="39">
        <f>($K$8*$K$7)*(1+$C$3)^H13</f>
        <v>33122424.096000001</v>
      </c>
      <c r="I15" s="39"/>
      <c r="J15" s="39"/>
      <c r="K15" s="39"/>
      <c r="L15" s="39"/>
      <c r="P15" s="49"/>
    </row>
    <row r="16" spans="2:16" x14ac:dyDescent="0.45">
      <c r="B16" s="25"/>
      <c r="C16" s="39"/>
      <c r="D16" s="39"/>
      <c r="E16" s="39"/>
      <c r="F16" s="39"/>
      <c r="G16" s="39"/>
      <c r="H16" s="39"/>
      <c r="I16" s="39"/>
      <c r="J16" s="39"/>
      <c r="K16" s="39"/>
      <c r="L16" s="39"/>
      <c r="P16" s="94"/>
    </row>
    <row r="17" spans="2:21" x14ac:dyDescent="0.45">
      <c r="B17" s="23" t="s">
        <v>41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2:21" x14ac:dyDescent="0.45">
      <c r="B18" s="25" t="s">
        <v>42</v>
      </c>
      <c r="C18" s="39"/>
      <c r="D18" s="39"/>
      <c r="E18" s="39">
        <f>-($I$8*$I$6*$K$5)*(1+$C$7)^E13</f>
        <v>-2851412.1909436798</v>
      </c>
      <c r="F18" s="39">
        <f>-($I$8*$I$6*$K$5)*(1+$C$7)^F13</f>
        <v>-3115452.9598250645</v>
      </c>
      <c r="G18" s="39">
        <f>-($I$8*$I$6*$K$5)*(1+$C$7)^G13</f>
        <v>-3403943.903904865</v>
      </c>
      <c r="H18" s="39">
        <f>-($I$8*$I$7*$K$5)*(1+$C$3)^D13</f>
        <v>-3472610.3999999994</v>
      </c>
      <c r="I18" s="39"/>
      <c r="J18" s="39"/>
      <c r="K18" s="39"/>
      <c r="L18" s="39"/>
      <c r="O18" s="31"/>
      <c r="P18" s="31"/>
      <c r="R18" s="39"/>
      <c r="S18" s="39"/>
    </row>
    <row r="19" spans="2:21" x14ac:dyDescent="0.45">
      <c r="B19" s="25" t="s">
        <v>43</v>
      </c>
      <c r="C19" s="39"/>
      <c r="D19" s="39"/>
      <c r="E19" s="39">
        <f>E15*-$C$6</f>
        <v>-1435752</v>
      </c>
      <c r="F19" s="39">
        <f>F15*-$C$6</f>
        <v>-1464467.0399999998</v>
      </c>
      <c r="G19" s="39">
        <f>G15*-$C$6</f>
        <v>-1493756.3807999999</v>
      </c>
      <c r="H19" s="39">
        <f>H15*-$C$6</f>
        <v>-1523631.5084160001</v>
      </c>
      <c r="I19" s="39"/>
      <c r="J19" s="39"/>
      <c r="K19" s="39"/>
      <c r="L19" s="39"/>
      <c r="M19" s="93"/>
      <c r="O19" s="31"/>
      <c r="P19" s="31"/>
      <c r="R19" s="39"/>
      <c r="S19" s="39"/>
    </row>
    <row r="20" spans="2:21" x14ac:dyDescent="0.45">
      <c r="B20" s="25" t="s">
        <v>46</v>
      </c>
      <c r="C20" s="39"/>
      <c r="D20" s="39"/>
      <c r="E20" s="39">
        <f>-($I$3*$I$4*$K$5)*(1+$C$3)^E13</f>
        <v>-345797.74800000002</v>
      </c>
      <c r="F20" s="39">
        <f>-($I$3*$I$4*$K$5)*(1+$C$3)^F13</f>
        <v>-352713.70295999997</v>
      </c>
      <c r="G20" s="39">
        <f>-($I$3*$I$4*$K$5)*(1+$C$3)^G13</f>
        <v>-359767.97701919999</v>
      </c>
      <c r="H20" s="39">
        <f>-($I$3*$I$4*$K$5)*(1+$C$3)^H13</f>
        <v>-366963.33655958402</v>
      </c>
      <c r="I20" s="39"/>
      <c r="J20" s="39"/>
      <c r="K20" s="39"/>
      <c r="L20" s="39"/>
      <c r="M20" s="39"/>
      <c r="N20" s="39"/>
      <c r="O20" s="31"/>
      <c r="P20" s="31"/>
      <c r="R20" s="39"/>
      <c r="S20" s="39"/>
    </row>
    <row r="21" spans="2:21" x14ac:dyDescent="0.45">
      <c r="B21" s="25" t="s">
        <v>47</v>
      </c>
      <c r="C21" s="39"/>
      <c r="D21" s="39"/>
      <c r="E21" s="39">
        <f>E15*-$E$9</f>
        <v>-2044386</v>
      </c>
      <c r="F21" s="39">
        <f>F15*-$E$9</f>
        <v>-2085273.7199999997</v>
      </c>
      <c r="G21" s="39">
        <f>G15*-$E$9</f>
        <v>-2126979.1943999999</v>
      </c>
      <c r="H21" s="39">
        <f>H15*-$E$9</f>
        <v>-2169518.7782880003</v>
      </c>
      <c r="I21" s="39"/>
      <c r="J21" s="39"/>
      <c r="K21" s="39"/>
      <c r="L21" s="39"/>
      <c r="Q21" s="39"/>
      <c r="R21" s="39"/>
      <c r="S21" s="39"/>
    </row>
    <row r="22" spans="2:21" x14ac:dyDescent="0.45">
      <c r="B22" s="25" t="s">
        <v>48</v>
      </c>
      <c r="C22" s="39"/>
      <c r="D22" s="39"/>
      <c r="E22" s="39">
        <f>-($I$5*$I$4)*(1+$C$3)^E13</f>
        <v>-296034.11550000001</v>
      </c>
      <c r="F22" s="39">
        <f>-($I$5*$I$4)*(1+$C$3)^F13</f>
        <v>-301954.79780999996</v>
      </c>
      <c r="G22" s="39">
        <f>-($I$5*$I$4)*(1+$C$3)^G13</f>
        <v>-307993.8937662</v>
      </c>
      <c r="H22" s="39">
        <f>-($I$5*$I$4)*(1+$C$3)^H13</f>
        <v>-314153.77164152398</v>
      </c>
      <c r="I22" s="39"/>
      <c r="J22" s="39"/>
      <c r="K22" s="39"/>
      <c r="L22" s="39"/>
      <c r="R22" s="39"/>
      <c r="S22" s="39"/>
    </row>
    <row r="23" spans="2:21" x14ac:dyDescent="0.45">
      <c r="B23" s="25" t="s">
        <v>3</v>
      </c>
      <c r="C23" s="39"/>
      <c r="D23" s="39"/>
      <c r="E23" s="39">
        <f>E15*-$E$3</f>
        <v>-209120.4</v>
      </c>
      <c r="F23" s="39">
        <f>F15*-$E$3</f>
        <v>-213302.80799999999</v>
      </c>
      <c r="G23" s="39">
        <f>G15*-$E$3</f>
        <v>-217568.86416000003</v>
      </c>
      <c r="H23" s="39">
        <f>H15*-$E$3</f>
        <v>-221920.24144320001</v>
      </c>
      <c r="I23" s="39"/>
      <c r="J23" s="39"/>
      <c r="K23" s="39"/>
      <c r="L23" s="39"/>
      <c r="R23" s="39"/>
      <c r="S23" s="39"/>
    </row>
    <row r="24" spans="2:21" x14ac:dyDescent="0.45">
      <c r="B24" s="25" t="s">
        <v>49</v>
      </c>
      <c r="C24" s="39"/>
      <c r="D24" s="39"/>
      <c r="E24" s="39">
        <f>E15*-$E$4</f>
        <v>-30275.640000000003</v>
      </c>
      <c r="F24" s="39">
        <f>F15*-$E$4</f>
        <v>-30881.152799999996</v>
      </c>
      <c r="G24" s="39">
        <f>G15*-$E$4</f>
        <v>-31498.775856000004</v>
      </c>
      <c r="H24" s="39">
        <f>H15*-$E$4</f>
        <v>-32128.751373120002</v>
      </c>
      <c r="I24" s="39"/>
      <c r="J24" s="39"/>
      <c r="K24" s="39"/>
      <c r="L24" s="39"/>
      <c r="S24" s="39"/>
    </row>
    <row r="25" spans="2:21" x14ac:dyDescent="0.45">
      <c r="B25" s="25" t="s">
        <v>50</v>
      </c>
      <c r="C25" s="39"/>
      <c r="D25" s="39"/>
      <c r="E25" s="39">
        <f>-($I$9*$K$5)*(1+$C$3)^E13</f>
        <v>-188052.3</v>
      </c>
      <c r="F25" s="39">
        <f>-($I$9*$K$5)*(1+$C$3)^F13</f>
        <v>-191813.34599999999</v>
      </c>
      <c r="G25" s="39">
        <f>-($I$9*$K$5)*(1+$C$3)^G13</f>
        <v>-195649.61291999999</v>
      </c>
      <c r="H25" s="39">
        <f>-($I$9*$K$5)*(1+$C$3)^H13</f>
        <v>-199562.6051784</v>
      </c>
      <c r="I25" s="39"/>
      <c r="J25" s="39"/>
      <c r="K25" s="39"/>
      <c r="L25" s="39"/>
      <c r="S25" s="39"/>
    </row>
    <row r="26" spans="2:21" x14ac:dyDescent="0.45">
      <c r="B26" s="25" t="s">
        <v>12</v>
      </c>
      <c r="C26" s="39"/>
      <c r="D26" s="39"/>
      <c r="E26" s="39">
        <f>E18*$E$5</f>
        <v>-49044.289684231291</v>
      </c>
      <c r="F26" s="39">
        <f>F18*$E$5</f>
        <v>-53585.790908991112</v>
      </c>
      <c r="G26" s="39">
        <f>G18*$E$5</f>
        <v>-58547.835147163678</v>
      </c>
      <c r="H26" s="39">
        <f>H18*$E$5</f>
        <v>-59728.898879999993</v>
      </c>
      <c r="I26" s="39"/>
      <c r="J26" s="39"/>
      <c r="K26" s="39"/>
      <c r="L26" s="39"/>
      <c r="S26" s="39"/>
      <c r="T26" s="39"/>
      <c r="U26" s="39"/>
    </row>
    <row r="27" spans="2:21" x14ac:dyDescent="0.45">
      <c r="B27" s="25" t="s">
        <v>10</v>
      </c>
      <c r="C27" s="39"/>
      <c r="D27" s="39"/>
      <c r="E27" s="39">
        <f>-K3*(1+C5)</f>
        <v>-64121.509399999995</v>
      </c>
      <c r="F27" s="39">
        <f>E27*(1+$C$5)</f>
        <v>-65589.891965259987</v>
      </c>
      <c r="G27" s="39">
        <f>F27*(1+$C$5)</f>
        <v>-67091.90049126443</v>
      </c>
      <c r="H27" s="39">
        <f>G27*(1+$C$5)</f>
        <v>-68628.305012514378</v>
      </c>
      <c r="I27" s="39"/>
      <c r="J27" s="39"/>
      <c r="K27" s="39"/>
      <c r="L27" s="39"/>
      <c r="S27" s="39"/>
      <c r="T27" s="39"/>
      <c r="U27" s="39"/>
    </row>
    <row r="28" spans="2:21" x14ac:dyDescent="0.45">
      <c r="B28" s="27" t="s">
        <v>51</v>
      </c>
      <c r="C28" s="39"/>
      <c r="D28" s="39"/>
      <c r="E28" s="39">
        <f>SUM(E18:E27)</f>
        <v>-7513996.1935279109</v>
      </c>
      <c r="F28" s="39">
        <f>SUM(F18:F27)</f>
        <v>-7875035.2102693161</v>
      </c>
      <c r="G28" s="39">
        <f>SUM(G18:G27)</f>
        <v>-8262798.338464695</v>
      </c>
      <c r="H28" s="39">
        <f>SUM(H18:H27)</f>
        <v>-8428846.5967923421</v>
      </c>
      <c r="I28" s="39"/>
      <c r="J28" s="39"/>
      <c r="K28" s="39"/>
      <c r="L28" s="39"/>
      <c r="S28" s="39"/>
      <c r="T28" s="39"/>
      <c r="U28" s="39"/>
    </row>
    <row r="29" spans="2:21" x14ac:dyDescent="0.45">
      <c r="B29" s="25"/>
      <c r="C29" s="39"/>
      <c r="D29" s="39"/>
      <c r="E29" s="39"/>
      <c r="F29" s="39"/>
      <c r="G29" s="39"/>
      <c r="H29" s="39"/>
      <c r="I29" s="39"/>
      <c r="J29" s="39"/>
      <c r="K29" s="39"/>
      <c r="L29" s="39"/>
      <c r="S29" s="39"/>
      <c r="T29" s="39"/>
      <c r="U29" s="39"/>
    </row>
    <row r="30" spans="2:21" x14ac:dyDescent="0.45">
      <c r="B30" s="28" t="s">
        <v>96</v>
      </c>
      <c r="E30" s="39">
        <f>E15+E28</f>
        <v>23698003.806472089</v>
      </c>
      <c r="F30" s="39">
        <f>F15+F28</f>
        <v>23961204.789730679</v>
      </c>
      <c r="G30" s="39">
        <f>G15+G28</f>
        <v>24210166.461535305</v>
      </c>
      <c r="H30" s="39">
        <f>H15+H28</f>
        <v>24693577.499207661</v>
      </c>
      <c r="I30" s="39"/>
      <c r="J30" s="39"/>
      <c r="K30" s="39"/>
      <c r="L30" s="39"/>
      <c r="M30" s="39"/>
      <c r="S30" s="39"/>
      <c r="T30" s="39"/>
      <c r="U30" s="39"/>
    </row>
    <row r="31" spans="2:21" x14ac:dyDescent="0.45">
      <c r="B31" s="23"/>
      <c r="L31" s="39"/>
      <c r="M31" s="39"/>
      <c r="S31" s="39"/>
      <c r="T31" s="39"/>
      <c r="U31" s="39"/>
    </row>
    <row r="32" spans="2:21" x14ac:dyDescent="0.45">
      <c r="B32" s="29" t="s">
        <v>97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S32" s="39"/>
      <c r="T32" s="39"/>
      <c r="U32" s="39"/>
    </row>
    <row r="33" spans="2:21" x14ac:dyDescent="0.45">
      <c r="B33" s="25" t="s">
        <v>16</v>
      </c>
      <c r="C33" s="39"/>
      <c r="D33" s="39"/>
      <c r="E33" s="39">
        <f>E30*-$E$6</f>
        <v>-947920.15225888358</v>
      </c>
      <c r="F33" s="39">
        <f>F30*-$E$6</f>
        <v>-958448.19158922718</v>
      </c>
      <c r="G33" s="39">
        <f>G30*-$E$6</f>
        <v>-968406.65846141218</v>
      </c>
      <c r="H33" s="39">
        <f>H30*-$E$6</f>
        <v>-987743.09996830649</v>
      </c>
      <c r="I33" s="39"/>
      <c r="J33" s="39"/>
      <c r="K33" s="39"/>
      <c r="L33" s="39"/>
      <c r="M33" s="39"/>
      <c r="S33" s="39"/>
      <c r="T33" s="39"/>
      <c r="U33" s="39"/>
    </row>
    <row r="34" spans="2:21" x14ac:dyDescent="0.45">
      <c r="B34" s="25" t="s">
        <v>20</v>
      </c>
      <c r="C34" s="39"/>
      <c r="D34" s="39"/>
      <c r="E34" s="39">
        <f>E30*-$E$7</f>
        <v>-8531281.3703299519</v>
      </c>
      <c r="F34" s="39">
        <f>F30*-$E$7</f>
        <v>-8626033.7243030444</v>
      </c>
      <c r="G34" s="39">
        <f>G30*-$E$7</f>
        <v>-8715659.9261527099</v>
      </c>
      <c r="H34" s="39">
        <f>H30*-$E$7</f>
        <v>-8889687.8997147568</v>
      </c>
      <c r="I34" s="39"/>
      <c r="J34" s="39"/>
      <c r="K34" s="39"/>
      <c r="L34" s="39"/>
      <c r="M34" s="39"/>
      <c r="O34" s="39"/>
      <c r="P34" s="39"/>
      <c r="Q34" s="39"/>
      <c r="R34" s="39"/>
      <c r="S34" s="39"/>
      <c r="T34" s="39"/>
      <c r="U34" s="39"/>
    </row>
    <row r="35" spans="2:21" x14ac:dyDescent="0.45">
      <c r="B35" s="28" t="s">
        <v>98</v>
      </c>
      <c r="C35" s="39"/>
      <c r="D35" s="39"/>
      <c r="E35" s="39">
        <f>SUM(E33:E34)</f>
        <v>-9479201.522588836</v>
      </c>
      <c r="F35" s="39">
        <f>SUM(F33:F34)</f>
        <v>-9584481.9158922713</v>
      </c>
      <c r="G35" s="39">
        <f>SUM(G33:G34)</f>
        <v>-9684066.5846141223</v>
      </c>
      <c r="H35" s="39">
        <f>SUM(H33:H34)</f>
        <v>-9877430.9996830635</v>
      </c>
      <c r="I35" s="39"/>
      <c r="J35" s="39"/>
      <c r="K35" s="39"/>
      <c r="L35" s="39"/>
      <c r="M35" s="39"/>
      <c r="O35" s="39"/>
      <c r="P35" s="39"/>
      <c r="Q35" s="39"/>
      <c r="R35" s="39"/>
      <c r="S35" s="39"/>
      <c r="T35" s="39"/>
      <c r="U35" s="39"/>
    </row>
    <row r="36" spans="2:21" x14ac:dyDescent="0.45">
      <c r="B36" s="23"/>
      <c r="L36" s="39"/>
      <c r="M36" s="39"/>
      <c r="O36" s="39"/>
      <c r="P36" s="39"/>
      <c r="Q36" s="39"/>
      <c r="R36" s="39"/>
      <c r="S36" s="39"/>
      <c r="T36" s="39"/>
      <c r="U36" s="39"/>
    </row>
    <row r="37" spans="2:21" x14ac:dyDescent="0.45">
      <c r="B37" s="23" t="s">
        <v>56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2:21" x14ac:dyDescent="0.45">
      <c r="B38" s="25" t="s">
        <v>57</v>
      </c>
      <c r="C38" s="39"/>
      <c r="D38" s="39"/>
      <c r="E38" s="39">
        <f>-($N$3*$K$5)*(1+$C$4)^E13</f>
        <v>-401282.27999999997</v>
      </c>
      <c r="F38" s="39">
        <f>-($N$3*$K$5)*(1+$C$4)^F13</f>
        <v>-409307.92559999996</v>
      </c>
      <c r="G38" s="39">
        <f>-($N$3*$K$5)*(1+$C$4)^G13</f>
        <v>-417494.08411200001</v>
      </c>
      <c r="H38" s="39">
        <f>-($N$3*$K$5)*(1+$C$4)^H13</f>
        <v>-425843.96579424001</v>
      </c>
      <c r="I38" s="39"/>
      <c r="J38" s="39"/>
      <c r="K38" s="39"/>
      <c r="L38" s="39"/>
      <c r="M38" s="39"/>
      <c r="N38" s="39"/>
    </row>
    <row r="39" spans="2:21" x14ac:dyDescent="0.45">
      <c r="B39" s="25" t="s">
        <v>58</v>
      </c>
      <c r="C39" s="39"/>
      <c r="D39" s="39"/>
      <c r="E39" s="39">
        <f>-($N$4*$K$5)*(1+$C$4)^E13</f>
        <v>-845116.92</v>
      </c>
      <c r="F39" s="39">
        <f>-($N$4*$K$5)*(1+$C$4)^F13</f>
        <v>-862019.25839999993</v>
      </c>
      <c r="G39" s="39">
        <f>-($N$4*$K$5)*(1+$C$4)^G13</f>
        <v>-879259.64356799994</v>
      </c>
      <c r="H39" s="39">
        <f>-($N$4*$K$5)*(1+$C$4)^H13</f>
        <v>-896844.83643936005</v>
      </c>
      <c r="I39" s="39"/>
      <c r="J39" s="39"/>
      <c r="K39" s="39"/>
      <c r="L39" s="39"/>
      <c r="M39" s="39"/>
      <c r="N39" s="39"/>
    </row>
    <row r="40" spans="2:21" x14ac:dyDescent="0.45">
      <c r="B40" s="25" t="s">
        <v>59</v>
      </c>
      <c r="C40" s="39"/>
      <c r="D40" s="39"/>
      <c r="E40" s="39">
        <f>-($N$5*$K$5)*(1+$C$4)^E13</f>
        <v>-353319.84</v>
      </c>
      <c r="F40" s="39">
        <f>-($N$5*$K$5)*(1+$C$4)^F13</f>
        <v>-360386.23679999996</v>
      </c>
      <c r="G40" s="39">
        <f>-($N$5*$K$5)*(1+$C$4)^G13</f>
        <v>-367593.96153600002</v>
      </c>
      <c r="H40" s="39">
        <f>-($N$5*$K$5)*(1+$C$4)^H13</f>
        <v>-374945.84076672001</v>
      </c>
      <c r="I40" s="39"/>
      <c r="J40" s="39"/>
      <c r="K40" s="39"/>
      <c r="L40" s="39"/>
      <c r="M40" s="39"/>
      <c r="N40" s="39"/>
    </row>
    <row r="41" spans="2:21" x14ac:dyDescent="0.45">
      <c r="B41" s="25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2:21" x14ac:dyDescent="0.45">
      <c r="B42" s="28" t="s">
        <v>61</v>
      </c>
      <c r="C42" s="39"/>
      <c r="D42" s="39"/>
      <c r="E42" s="39">
        <f>SUM(E38:E40)</f>
        <v>-1599719.04</v>
      </c>
      <c r="F42" s="39">
        <f>SUM(F38:F40)</f>
        <v>-1631713.4208</v>
      </c>
      <c r="G42" s="39">
        <f>SUM(G38:G40)</f>
        <v>-1664347.689216</v>
      </c>
      <c r="H42" s="39">
        <f>SUM(H38:H40)</f>
        <v>-1697634.6430003201</v>
      </c>
      <c r="I42" s="39"/>
      <c r="J42" s="39"/>
      <c r="K42" s="39"/>
      <c r="L42" s="39"/>
      <c r="M42" s="39"/>
      <c r="N42" s="39"/>
    </row>
    <row r="43" spans="2:21" x14ac:dyDescent="0.45">
      <c r="B43" s="23"/>
      <c r="L43" s="39"/>
      <c r="M43" s="39"/>
      <c r="N43" s="39"/>
    </row>
    <row r="44" spans="2:21" x14ac:dyDescent="0.45">
      <c r="B44" s="29" t="s">
        <v>62</v>
      </c>
      <c r="C44" s="39"/>
      <c r="D44" s="39"/>
      <c r="E44" s="39">
        <f>E28+E35+E42</f>
        <v>-18592916.756116748</v>
      </c>
      <c r="F44" s="39">
        <f>F28+F35+F42</f>
        <v>-19091230.546961587</v>
      </c>
      <c r="G44" s="39">
        <f>G28+G35+G42</f>
        <v>-19611212.612294815</v>
      </c>
      <c r="H44" s="39">
        <f>H28+H35+H42</f>
        <v>-20003912.239475727</v>
      </c>
      <c r="I44" s="39"/>
      <c r="J44" s="39"/>
      <c r="K44" s="39"/>
      <c r="L44" s="39"/>
      <c r="M44" s="39"/>
      <c r="N44" s="39"/>
    </row>
    <row r="45" spans="2:21" x14ac:dyDescent="0.45">
      <c r="B45" s="23"/>
      <c r="L45" s="39"/>
      <c r="M45" s="39"/>
      <c r="N45" s="39"/>
    </row>
    <row r="46" spans="2:21" x14ac:dyDescent="0.45">
      <c r="B46" s="24" t="s">
        <v>63</v>
      </c>
      <c r="E46" s="39">
        <f>E15+E44</f>
        <v>12619083.243883252</v>
      </c>
      <c r="F46" s="39">
        <f>F15+F44</f>
        <v>12745009.453038409</v>
      </c>
      <c r="G46" s="39">
        <f>G15+G44</f>
        <v>12861752.187705185</v>
      </c>
      <c r="H46" s="39">
        <f>H15+H44</f>
        <v>13118511.856524274</v>
      </c>
      <c r="I46" s="39"/>
      <c r="J46" s="39"/>
      <c r="K46" s="39"/>
      <c r="L46" s="39"/>
      <c r="M46" s="39"/>
      <c r="N46" s="39"/>
    </row>
    <row r="47" spans="2:21" x14ac:dyDescent="0.45">
      <c r="B47" s="23"/>
      <c r="L47" s="39"/>
      <c r="M47" s="39"/>
      <c r="N47" s="39"/>
    </row>
    <row r="48" spans="2:21" x14ac:dyDescent="0.45">
      <c r="B48" s="23" t="s">
        <v>64</v>
      </c>
      <c r="E48" s="39">
        <f>$D$56*$C$8</f>
        <v>-600000</v>
      </c>
      <c r="F48" s="39">
        <f>($D$56-SUM($E$48))*$C$8</f>
        <v>-480000</v>
      </c>
      <c r="G48" s="39">
        <f>($D$56-SUM($E$48:$F$48))*$C$8</f>
        <v>-384000</v>
      </c>
      <c r="H48" s="39">
        <f>D56-SUM(E48:G48)</f>
        <v>-1536000</v>
      </c>
      <c r="I48" s="39"/>
      <c r="J48" s="39"/>
      <c r="K48" s="39"/>
      <c r="L48" s="39"/>
      <c r="M48" s="39"/>
      <c r="N48" s="39"/>
    </row>
    <row r="49" spans="2:21" x14ac:dyDescent="0.45">
      <c r="B49" s="23"/>
      <c r="C49" s="39"/>
      <c r="D49" s="39"/>
      <c r="E49" s="39"/>
      <c r="F49" s="39"/>
      <c r="G49" s="39"/>
      <c r="H49" s="39"/>
      <c r="I49" s="39"/>
      <c r="J49" s="39"/>
      <c r="K49" s="39"/>
      <c r="L49" s="39"/>
      <c r="T49" s="39"/>
      <c r="U49" s="39"/>
    </row>
    <row r="50" spans="2:21" x14ac:dyDescent="0.45">
      <c r="B50" s="24" t="s">
        <v>66</v>
      </c>
      <c r="C50" s="39"/>
      <c r="D50" s="39"/>
      <c r="E50" s="39">
        <f>SUM(E46:E48)</f>
        <v>12019083.243883252</v>
      </c>
      <c r="F50" s="39">
        <f>SUM(F46:F48)</f>
        <v>12265009.453038409</v>
      </c>
      <c r="G50" s="39">
        <f>SUM(G46:G48)</f>
        <v>12477752.187705185</v>
      </c>
      <c r="H50" s="39">
        <f>SUM(H46:H48)</f>
        <v>11582511.856524274</v>
      </c>
      <c r="I50" s="39"/>
      <c r="J50" s="39"/>
      <c r="K50" s="39"/>
      <c r="L50" s="39"/>
      <c r="T50" s="39"/>
      <c r="U50" s="39"/>
    </row>
    <row r="51" spans="2:21" x14ac:dyDescent="0.45">
      <c r="B51" s="23" t="s">
        <v>67</v>
      </c>
      <c r="C51" s="39"/>
      <c r="D51" s="39"/>
      <c r="E51" s="39">
        <f>E50*-$E$8</f>
        <v>-2644198.3136543157</v>
      </c>
      <c r="F51" s="39">
        <f>F50*-$E$8</f>
        <v>-2698302.0796684502</v>
      </c>
      <c r="G51" s="39">
        <f>G50*-$E$8</f>
        <v>-2745105.4812951409</v>
      </c>
      <c r="H51" s="39">
        <f>H50*-$E$8</f>
        <v>-2548152.6084353402</v>
      </c>
      <c r="I51" s="39"/>
      <c r="J51" s="39"/>
      <c r="K51" s="39"/>
      <c r="L51" s="39"/>
      <c r="T51" s="39"/>
      <c r="U51" s="39"/>
    </row>
    <row r="52" spans="2:21" ht="16.3" thickBot="1" x14ac:dyDescent="0.5">
      <c r="B52" s="30" t="s">
        <v>68</v>
      </c>
      <c r="C52" s="81"/>
      <c r="D52" s="81"/>
      <c r="E52" s="81">
        <f>SUM(E50:E51)</f>
        <v>9374884.9302289374</v>
      </c>
      <c r="F52" s="81">
        <f>SUM(F50:F51)</f>
        <v>9566707.3733699583</v>
      </c>
      <c r="G52" s="81">
        <f>SUM(G50:G51)</f>
        <v>9732646.7064100448</v>
      </c>
      <c r="H52" s="81">
        <f>SUM(H50:H51)</f>
        <v>9034359.2480889335</v>
      </c>
      <c r="I52" s="39"/>
      <c r="J52" s="39"/>
      <c r="K52" s="39"/>
      <c r="L52" s="39"/>
      <c r="T52" s="39"/>
      <c r="U52" s="39"/>
    </row>
    <row r="53" spans="2:21" x14ac:dyDescent="0.45">
      <c r="B53" s="23"/>
      <c r="C53" s="39"/>
      <c r="D53" s="39"/>
      <c r="E53" s="39"/>
      <c r="F53" s="39"/>
      <c r="G53" s="39"/>
      <c r="H53" s="39"/>
      <c r="I53" s="39"/>
      <c r="J53" s="39"/>
      <c r="K53" s="39"/>
      <c r="L53" s="39"/>
      <c r="T53" s="39"/>
      <c r="U53" s="39"/>
    </row>
    <row r="54" spans="2:21" x14ac:dyDescent="0.45">
      <c r="B54" s="29" t="s">
        <v>64</v>
      </c>
      <c r="C54" s="39"/>
      <c r="D54" s="39"/>
      <c r="E54" s="39">
        <f>-E48</f>
        <v>600000</v>
      </c>
      <c r="F54" s="39">
        <f>-F48</f>
        <v>480000</v>
      </c>
      <c r="G54" s="39">
        <f>-G48</f>
        <v>384000</v>
      </c>
      <c r="H54" s="39">
        <f>-H48</f>
        <v>1536000</v>
      </c>
      <c r="I54" s="39"/>
      <c r="J54" s="39"/>
      <c r="K54" s="39"/>
      <c r="L54" s="39"/>
    </row>
    <row r="55" spans="2:21" x14ac:dyDescent="0.45">
      <c r="B55" s="29" t="s">
        <v>99</v>
      </c>
      <c r="C55" s="39"/>
      <c r="D55" s="39">
        <f>(D15-E15)*$C$9</f>
        <v>-3121200</v>
      </c>
      <c r="E55" s="39">
        <f>(E15-F15)*$C$9</f>
        <v>-62423.999999999629</v>
      </c>
      <c r="F55" s="39">
        <f>(F15-G15)*$C$9</f>
        <v>-63672.480000000447</v>
      </c>
      <c r="G55" s="39">
        <f>(G15-H15)*$C$9</f>
        <v>-64945.92960000001</v>
      </c>
      <c r="H55" s="39">
        <f>(H15-I15)*$C$9</f>
        <v>3312242.4096000004</v>
      </c>
      <c r="I55" s="39"/>
      <c r="J55" s="39"/>
      <c r="K55" s="39"/>
      <c r="L55" s="39"/>
    </row>
    <row r="56" spans="2:21" x14ac:dyDescent="0.45">
      <c r="B56" s="23" t="s">
        <v>18</v>
      </c>
      <c r="C56" s="39"/>
      <c r="D56" s="39">
        <f>-K4</f>
        <v>-3000000</v>
      </c>
      <c r="E56" s="39"/>
      <c r="F56" s="39"/>
      <c r="G56" s="39"/>
      <c r="H56" s="39"/>
      <c r="I56" s="39"/>
      <c r="J56" s="39"/>
      <c r="K56" s="39"/>
      <c r="L56" s="39"/>
    </row>
    <row r="57" spans="2:21" x14ac:dyDescent="0.45">
      <c r="B57" s="2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2:21" ht="16.3" thickBot="1" x14ac:dyDescent="0.5">
      <c r="B58" s="102" t="s">
        <v>100</v>
      </c>
      <c r="C58" s="103"/>
      <c r="D58" s="103">
        <f>SUM(D52:D57)</f>
        <v>-6121200</v>
      </c>
      <c r="E58" s="103">
        <f>SUM(E52:E57)</f>
        <v>9912460.9302289374</v>
      </c>
      <c r="F58" s="103">
        <f>SUM(F52:F57)</f>
        <v>9983034.8933699578</v>
      </c>
      <c r="G58" s="103">
        <f>SUM(G52:G57)</f>
        <v>10051700.776810044</v>
      </c>
      <c r="H58" s="103">
        <f>SUM(H52:H57)</f>
        <v>13882601.657688934</v>
      </c>
      <c r="I58" s="68"/>
      <c r="J58" s="68"/>
      <c r="K58" s="68"/>
      <c r="L58" s="39"/>
    </row>
    <row r="59" spans="2:21" x14ac:dyDescent="0.45">
      <c r="B59" s="54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2:21" ht="16.3" thickBot="1" x14ac:dyDescent="0.5"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2:21" x14ac:dyDescent="0.45">
      <c r="B61" s="90" t="s">
        <v>101</v>
      </c>
      <c r="C61" s="110">
        <v>8.1726030101192532E-2</v>
      </c>
      <c r="D61" s="39"/>
      <c r="E61" s="39"/>
      <c r="F61" s="39"/>
      <c r="G61" s="39"/>
      <c r="H61" s="39"/>
      <c r="I61" s="39"/>
      <c r="J61" s="39"/>
    </row>
    <row r="62" spans="2:21" ht="16.3" thickBot="1" x14ac:dyDescent="0.5">
      <c r="B62" s="91" t="s">
        <v>102</v>
      </c>
      <c r="C62" s="92">
        <f>NPV(C61,E58:K58)+D58</f>
        <v>29654294.62626908</v>
      </c>
      <c r="D62" s="39"/>
      <c r="E62" s="39"/>
      <c r="F62" s="39"/>
      <c r="G62" s="39"/>
      <c r="H62" s="39"/>
      <c r="I62" s="39"/>
      <c r="J62" s="39"/>
    </row>
    <row r="63" spans="2:21" x14ac:dyDescent="0.45">
      <c r="C63" s="39"/>
      <c r="D63" s="39"/>
      <c r="E63" s="39"/>
      <c r="F63" s="39"/>
      <c r="G63" s="39"/>
      <c r="H63" s="39"/>
      <c r="I63" s="39"/>
      <c r="J63" s="39"/>
    </row>
    <row r="64" spans="2:21" x14ac:dyDescent="0.45">
      <c r="C64" s="39"/>
      <c r="D64" s="39"/>
      <c r="E64" s="39"/>
      <c r="F64" s="39"/>
      <c r="G64" s="39"/>
      <c r="H64" s="39"/>
      <c r="I64" s="39"/>
      <c r="J64" s="39"/>
    </row>
    <row r="65" spans="2:10" x14ac:dyDescent="0.45">
      <c r="C65" s="39"/>
      <c r="D65" s="39"/>
      <c r="E65" s="39"/>
      <c r="F65" s="39"/>
      <c r="G65" s="39"/>
      <c r="H65" s="39"/>
      <c r="I65" s="39"/>
      <c r="J65" s="39"/>
    </row>
    <row r="72" spans="2:10" x14ac:dyDescent="0.45">
      <c r="C72" s="40"/>
    </row>
    <row r="73" spans="2:10" x14ac:dyDescent="0.45">
      <c r="B73" s="55"/>
      <c r="C73" s="37"/>
    </row>
    <row r="74" spans="2:10" x14ac:dyDescent="0.45">
      <c r="B74" s="55"/>
    </row>
    <row r="75" spans="2:10" x14ac:dyDescent="0.45">
      <c r="B75" s="55"/>
      <c r="C75" s="38"/>
    </row>
    <row r="77" spans="2:10" x14ac:dyDescent="0.45">
      <c r="B77" s="59"/>
      <c r="C77" s="38"/>
    </row>
    <row r="78" spans="2:10" x14ac:dyDescent="0.45">
      <c r="B78" s="55"/>
      <c r="C78" s="114"/>
    </row>
    <row r="79" spans="2:10" x14ac:dyDescent="0.45">
      <c r="B79" s="55"/>
      <c r="C79" s="114"/>
    </row>
    <row r="80" spans="2:10" x14ac:dyDescent="0.45">
      <c r="B80" s="59"/>
      <c r="C80" s="60"/>
    </row>
    <row r="81" spans="2:3" x14ac:dyDescent="0.45">
      <c r="B81" s="59"/>
      <c r="C81" s="3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X81"/>
  <sheetViews>
    <sheetView zoomScale="80" zoomScaleNormal="80" workbookViewId="0">
      <selection activeCell="K26" sqref="K26"/>
    </sheetView>
  </sheetViews>
  <sheetFormatPr defaultColWidth="10.640625" defaultRowHeight="15.9" x14ac:dyDescent="0.45"/>
  <cols>
    <col min="1" max="1" width="10.640625" style="34"/>
    <col min="2" max="2" width="32.35546875" style="34" bestFit="1" customWidth="1"/>
    <col min="3" max="3" width="11.640625" style="34" bestFit="1" customWidth="1"/>
    <col min="4" max="4" width="15" style="34" bestFit="1" customWidth="1"/>
    <col min="5" max="7" width="11.140625" style="34" customWidth="1"/>
    <col min="8" max="8" width="18.5" style="34" bestFit="1" customWidth="1"/>
    <col min="9" max="9" width="9.85546875" style="34" bestFit="1" customWidth="1"/>
    <col min="10" max="10" width="11.85546875" style="34" bestFit="1" customWidth="1"/>
    <col min="11" max="11" width="12.640625" style="34" bestFit="1" customWidth="1"/>
    <col min="12" max="12" width="10.640625" style="34"/>
    <col min="13" max="13" width="24.140625" style="34" bestFit="1" customWidth="1"/>
    <col min="14" max="14" width="9.5" style="34" bestFit="1" customWidth="1"/>
    <col min="15" max="17" width="10.640625" style="34"/>
    <col min="18" max="18" width="26.640625" style="34" bestFit="1" customWidth="1"/>
    <col min="19" max="19" width="10.640625" style="34"/>
    <col min="20" max="20" width="15" style="34" bestFit="1" customWidth="1"/>
    <col min="21" max="23" width="10.640625" style="34"/>
    <col min="24" max="24" width="18.5" style="34" bestFit="1" customWidth="1"/>
    <col min="25" max="26" width="10.640625" style="34"/>
    <col min="27" max="27" width="13.140625" style="34" bestFit="1" customWidth="1"/>
    <col min="28" max="28" width="10.640625" style="34"/>
    <col min="29" max="29" width="24.140625" style="34" bestFit="1" customWidth="1"/>
    <col min="30" max="30" width="9.5" style="34" bestFit="1" customWidth="1"/>
    <col min="31" max="16384" width="10.640625" style="34"/>
  </cols>
  <sheetData>
    <row r="1" spans="2:20" x14ac:dyDescent="0.45">
      <c r="E1" s="39"/>
    </row>
    <row r="2" spans="2:20" x14ac:dyDescent="0.45">
      <c r="B2" s="95" t="s">
        <v>0</v>
      </c>
      <c r="C2" s="3"/>
      <c r="D2" s="3"/>
      <c r="E2" s="3"/>
      <c r="F2" s="1"/>
      <c r="G2" s="1"/>
      <c r="H2" s="96" t="s">
        <v>1</v>
      </c>
      <c r="I2" s="1"/>
      <c r="J2" s="1"/>
      <c r="K2" s="1"/>
      <c r="L2" s="1"/>
      <c r="M2" s="96" t="s">
        <v>76</v>
      </c>
      <c r="N2" s="1"/>
    </row>
    <row r="3" spans="2:20" x14ac:dyDescent="0.45">
      <c r="B3" s="1" t="s">
        <v>2</v>
      </c>
      <c r="C3" s="12">
        <v>0.02</v>
      </c>
      <c r="D3" s="3" t="s">
        <v>3</v>
      </c>
      <c r="E3" s="14">
        <v>6.7000000000000002E-3</v>
      </c>
      <c r="F3" s="1" t="s">
        <v>4</v>
      </c>
      <c r="G3" s="14">
        <v>8.1726030101192532E-2</v>
      </c>
      <c r="H3" s="1" t="s">
        <v>46</v>
      </c>
      <c r="I3" s="1">
        <v>221.58</v>
      </c>
      <c r="J3" s="1" t="s">
        <v>77</v>
      </c>
      <c r="K3" s="1">
        <v>62686</v>
      </c>
      <c r="L3" s="1"/>
      <c r="M3" s="1" t="s">
        <v>22</v>
      </c>
      <c r="N3" s="97">
        <v>7714</v>
      </c>
    </row>
    <row r="4" spans="2:20" x14ac:dyDescent="0.45">
      <c r="B4" s="98" t="s">
        <v>78</v>
      </c>
      <c r="C4" s="12">
        <v>0.02</v>
      </c>
      <c r="D4" s="1" t="s">
        <v>79</v>
      </c>
      <c r="E4" s="99">
        <v>9.7000000000000005E-4</v>
      </c>
      <c r="F4" s="1"/>
      <c r="G4" s="1"/>
      <c r="H4" s="1" t="s">
        <v>13</v>
      </c>
      <c r="I4" s="1">
        <v>30</v>
      </c>
      <c r="J4" s="3" t="s">
        <v>18</v>
      </c>
      <c r="K4" s="6">
        <v>3000000</v>
      </c>
      <c r="L4" s="1"/>
      <c r="M4" s="1" t="s">
        <v>80</v>
      </c>
      <c r="N4" s="97">
        <v>16246</v>
      </c>
    </row>
    <row r="5" spans="2:20" x14ac:dyDescent="0.45">
      <c r="B5" s="3" t="s">
        <v>81</v>
      </c>
      <c r="C5" s="14">
        <v>2.29E-2</v>
      </c>
      <c r="D5" s="1" t="s">
        <v>82</v>
      </c>
      <c r="E5" s="14">
        <v>1.72E-2</v>
      </c>
      <c r="F5" s="1"/>
      <c r="G5" s="1"/>
      <c r="H5" s="1" t="s">
        <v>17</v>
      </c>
      <c r="I5" s="100">
        <f>227631/24</f>
        <v>9484.625</v>
      </c>
      <c r="J5" s="1" t="s">
        <v>11</v>
      </c>
      <c r="K5" s="101">
        <v>75</v>
      </c>
      <c r="L5" s="1"/>
      <c r="M5" s="1" t="s">
        <v>83</v>
      </c>
      <c r="N5" s="97">
        <v>6792</v>
      </c>
    </row>
    <row r="6" spans="2:20" x14ac:dyDescent="0.45">
      <c r="B6" s="1" t="s">
        <v>84</v>
      </c>
      <c r="C6" s="9">
        <v>4.5999999999999999E-2</v>
      </c>
      <c r="D6" s="1" t="s">
        <v>16</v>
      </c>
      <c r="E6" s="22">
        <v>0.04</v>
      </c>
      <c r="F6" s="1"/>
      <c r="G6" s="1"/>
      <c r="H6" s="1" t="s">
        <v>85</v>
      </c>
      <c r="I6" s="1">
        <v>4.42</v>
      </c>
      <c r="J6" s="3" t="s">
        <v>86</v>
      </c>
      <c r="K6" s="6">
        <v>75000</v>
      </c>
      <c r="L6" s="1"/>
      <c r="M6" s="1"/>
      <c r="N6" s="1"/>
      <c r="Q6" s="39"/>
      <c r="R6" s="39"/>
      <c r="S6" s="39"/>
    </row>
    <row r="7" spans="2:20" x14ac:dyDescent="0.45">
      <c r="B7" s="1" t="s">
        <v>87</v>
      </c>
      <c r="C7" s="9">
        <v>9.2600000000000002E-2</v>
      </c>
      <c r="D7" s="1" t="s">
        <v>20</v>
      </c>
      <c r="E7" s="22">
        <v>0.36</v>
      </c>
      <c r="F7" s="1"/>
      <c r="G7" s="1"/>
      <c r="H7" s="1" t="s">
        <v>88</v>
      </c>
      <c r="I7" s="111">
        <v>6.3</v>
      </c>
      <c r="J7" s="3" t="s">
        <v>89</v>
      </c>
      <c r="K7" s="6">
        <f>K6*K5</f>
        <v>5625000</v>
      </c>
      <c r="L7" s="1"/>
      <c r="M7" s="1"/>
      <c r="N7" s="1"/>
      <c r="Q7" s="39"/>
      <c r="R7" s="39"/>
      <c r="S7" s="39"/>
      <c r="T7" s="39"/>
    </row>
    <row r="8" spans="2:20" x14ac:dyDescent="0.45">
      <c r="B8" s="3" t="s">
        <v>90</v>
      </c>
      <c r="C8" s="22">
        <v>0.2</v>
      </c>
      <c r="D8" s="1" t="s">
        <v>91</v>
      </c>
      <c r="E8" s="22">
        <v>0.22</v>
      </c>
      <c r="F8" s="1"/>
      <c r="G8" s="1"/>
      <c r="H8" s="1" t="s">
        <v>92</v>
      </c>
      <c r="I8" s="1">
        <v>10808</v>
      </c>
      <c r="J8" s="3" t="s">
        <v>93</v>
      </c>
      <c r="K8" s="6">
        <v>12</v>
      </c>
      <c r="L8" s="1"/>
      <c r="M8" s="1"/>
      <c r="N8" s="1"/>
      <c r="T8" s="39"/>
    </row>
    <row r="9" spans="2:20" x14ac:dyDescent="0.45">
      <c r="B9" s="1" t="s">
        <v>34</v>
      </c>
      <c r="C9" s="22">
        <v>0.1</v>
      </c>
      <c r="D9" s="1" t="s">
        <v>94</v>
      </c>
      <c r="E9" s="9">
        <v>6.5500000000000003E-2</v>
      </c>
      <c r="F9" s="1"/>
      <c r="G9" s="1"/>
      <c r="H9" s="1" t="s">
        <v>50</v>
      </c>
      <c r="I9" s="1">
        <v>3615</v>
      </c>
      <c r="J9" s="1"/>
      <c r="K9" s="1"/>
      <c r="L9" s="1"/>
      <c r="M9" s="1"/>
      <c r="N9" s="1"/>
      <c r="T9" s="39"/>
    </row>
    <row r="10" spans="2:20" x14ac:dyDescent="0.45">
      <c r="G10" s="39"/>
    </row>
    <row r="11" spans="2:20" x14ac:dyDescent="0.45">
      <c r="G11" s="39"/>
    </row>
    <row r="12" spans="2:20" x14ac:dyDescent="0.45">
      <c r="B12" s="48" t="s">
        <v>36</v>
      </c>
    </row>
    <row r="13" spans="2:20" x14ac:dyDescent="0.45">
      <c r="B13" s="84"/>
      <c r="C13" s="84">
        <v>0</v>
      </c>
      <c r="D13" s="84">
        <v>1</v>
      </c>
      <c r="E13" s="84">
        <v>2</v>
      </c>
      <c r="F13" s="84">
        <v>3</v>
      </c>
      <c r="G13" s="84">
        <v>4</v>
      </c>
      <c r="H13" s="84">
        <v>5</v>
      </c>
    </row>
    <row r="14" spans="2:20" x14ac:dyDescent="0.45">
      <c r="B14" s="84" t="s">
        <v>37</v>
      </c>
      <c r="C14" s="84">
        <v>2021</v>
      </c>
      <c r="D14" s="84">
        <v>2022</v>
      </c>
      <c r="E14" s="84">
        <v>2023</v>
      </c>
      <c r="F14" s="84">
        <v>2024</v>
      </c>
      <c r="G14" s="84">
        <v>2025</v>
      </c>
      <c r="H14" s="84">
        <v>2026</v>
      </c>
    </row>
    <row r="15" spans="2:20" x14ac:dyDescent="0.45">
      <c r="B15" s="28" t="s">
        <v>95</v>
      </c>
      <c r="C15" s="39"/>
      <c r="D15" s="39"/>
      <c r="E15" s="39">
        <f>($K$8*$K$7)*(1+$C$3)^E13</f>
        <v>70227000</v>
      </c>
      <c r="F15" s="39">
        <f>($K$8*$K$7)*(1+$C$3)^F13</f>
        <v>71631540</v>
      </c>
      <c r="G15" s="39">
        <f>($K$8*$K$7)*(1+$C$3)^G13</f>
        <v>73064170.799999997</v>
      </c>
      <c r="H15" s="39">
        <f>($K$8*$K$7)*(1+$C$3)^H13</f>
        <v>74525454.216000006</v>
      </c>
      <c r="I15" s="39"/>
      <c r="J15" s="39"/>
      <c r="K15" s="39"/>
      <c r="L15" s="39"/>
    </row>
    <row r="16" spans="2:20" x14ac:dyDescent="0.45">
      <c r="B16" s="25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2:24" x14ac:dyDescent="0.45">
      <c r="B17" s="23" t="s">
        <v>41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P17" s="39"/>
    </row>
    <row r="18" spans="2:24" x14ac:dyDescent="0.45">
      <c r="B18" s="25" t="s">
        <v>42</v>
      </c>
      <c r="C18" s="39"/>
      <c r="D18" s="39"/>
      <c r="E18" s="39">
        <f>-($I$8*$I$6*$K$5)*(1+$C$7)^E13</f>
        <v>-4277118.2864155201</v>
      </c>
      <c r="F18" s="39">
        <f>-($I$8*$I$6*$K$5)*(1+$C$7)^F13</f>
        <v>-4673179.4397375965</v>
      </c>
      <c r="G18" s="39">
        <f>-($I$8*$I$6*$K$5)*(1+$C$7)^G13</f>
        <v>-5105915.8558572978</v>
      </c>
      <c r="H18" s="39">
        <f>-($I$8*$I$7*$K$5)*(1+$C$3)^D13</f>
        <v>-5208915.5999999996</v>
      </c>
      <c r="I18" s="39"/>
      <c r="J18" s="39"/>
      <c r="K18" s="39"/>
      <c r="L18" s="39"/>
      <c r="M18" s="39"/>
      <c r="N18" s="39"/>
      <c r="O18" s="31"/>
      <c r="P18" s="31"/>
      <c r="U18" s="39"/>
      <c r="V18" s="39"/>
      <c r="W18" s="39"/>
      <c r="X18" s="39"/>
    </row>
    <row r="19" spans="2:24" x14ac:dyDescent="0.45">
      <c r="B19" s="25" t="s">
        <v>43</v>
      </c>
      <c r="C19" s="39"/>
      <c r="D19" s="39"/>
      <c r="E19" s="39">
        <f>E15*-$C$6</f>
        <v>-3230442</v>
      </c>
      <c r="F19" s="39">
        <f>F15*-$C$6</f>
        <v>-3295050.84</v>
      </c>
      <c r="G19" s="39">
        <f>G15*-$C$6</f>
        <v>-3360951.8567999997</v>
      </c>
      <c r="H19" s="39">
        <f>H15*-$C$6</f>
        <v>-3428170.8939360003</v>
      </c>
      <c r="I19" s="39"/>
      <c r="J19" s="39"/>
      <c r="K19" s="39"/>
      <c r="L19" s="39"/>
      <c r="M19" s="39"/>
      <c r="N19" s="39"/>
      <c r="P19" s="31"/>
      <c r="U19" s="39"/>
      <c r="V19" s="39"/>
      <c r="W19" s="39"/>
      <c r="X19" s="39"/>
    </row>
    <row r="20" spans="2:24" x14ac:dyDescent="0.45">
      <c r="B20" s="25" t="s">
        <v>46</v>
      </c>
      <c r="C20" s="39"/>
      <c r="D20" s="39"/>
      <c r="E20" s="39">
        <f>-($I$3*$I$4*$K$5)*(1+$C$3)^E13</f>
        <v>-518696.62200000003</v>
      </c>
      <c r="F20" s="39">
        <f>-($I$3*$I$4*$K$5)*(1+$C$3)^F13</f>
        <v>-529070.55443999998</v>
      </c>
      <c r="G20" s="39">
        <f>-($I$3*$I$4*$K$5)*(1+$C$3)^G13</f>
        <v>-539651.96552880004</v>
      </c>
      <c r="H20" s="39">
        <f>-($I$3*$I$4*$K$5)*(1+$C$3)^H13</f>
        <v>-550445.00483937608</v>
      </c>
      <c r="I20" s="39"/>
      <c r="J20" s="39"/>
      <c r="K20" s="39"/>
      <c r="L20" s="39"/>
      <c r="M20" s="39"/>
      <c r="N20" s="39"/>
      <c r="P20" s="31"/>
      <c r="U20" s="39"/>
      <c r="V20" s="39"/>
      <c r="W20" s="39"/>
      <c r="X20" s="39"/>
    </row>
    <row r="21" spans="2:24" x14ac:dyDescent="0.45">
      <c r="B21" s="25" t="s">
        <v>47</v>
      </c>
      <c r="C21" s="39"/>
      <c r="D21" s="39"/>
      <c r="E21" s="39">
        <f>E15*-$E$9</f>
        <v>-4599868.5</v>
      </c>
      <c r="F21" s="39">
        <f>F15*-$E$9</f>
        <v>-4691865.87</v>
      </c>
      <c r="G21" s="39">
        <f>G15*-$E$9</f>
        <v>-4785703.1874000002</v>
      </c>
      <c r="H21" s="39">
        <f>H15*-$E$9</f>
        <v>-4881417.2511480004</v>
      </c>
      <c r="I21" s="39"/>
      <c r="J21" s="39"/>
      <c r="K21" s="39"/>
      <c r="L21" s="39"/>
      <c r="M21" s="39"/>
      <c r="N21" s="39"/>
      <c r="O21" s="39"/>
      <c r="P21" s="39"/>
      <c r="U21" s="39"/>
      <c r="V21" s="39"/>
      <c r="W21" s="39"/>
      <c r="X21" s="39"/>
    </row>
    <row r="22" spans="2:24" x14ac:dyDescent="0.45">
      <c r="B22" s="25" t="s">
        <v>48</v>
      </c>
      <c r="C22" s="39"/>
      <c r="D22" s="39"/>
      <c r="E22" s="39">
        <f>-($I$5*$I$4)*(1+$C$3)^E13</f>
        <v>-296034.11550000001</v>
      </c>
      <c r="F22" s="39">
        <f>-($I$5*$I$4)*(1+$C$3)^F13</f>
        <v>-301954.79780999996</v>
      </c>
      <c r="G22" s="39">
        <f>-($I$5*$I$4)*(1+$C$3)^G13</f>
        <v>-307993.8937662</v>
      </c>
      <c r="H22" s="39">
        <f>-($I$5*$I$4)*(1+$C$3)^H13</f>
        <v>-314153.77164152398</v>
      </c>
      <c r="I22" s="39"/>
      <c r="J22" s="39"/>
      <c r="K22" s="39"/>
      <c r="L22" s="39"/>
      <c r="M22" s="39"/>
      <c r="V22" s="39"/>
      <c r="W22" s="39"/>
      <c r="X22" s="39"/>
    </row>
    <row r="23" spans="2:24" x14ac:dyDescent="0.45">
      <c r="B23" s="25" t="s">
        <v>3</v>
      </c>
      <c r="C23" s="39"/>
      <c r="D23" s="39"/>
      <c r="E23" s="39">
        <f>E15*-$E$3</f>
        <v>-470520.9</v>
      </c>
      <c r="F23" s="39">
        <f>F15*-$E$3</f>
        <v>-479931.31800000003</v>
      </c>
      <c r="G23" s="39">
        <f>G15*-$E$3</f>
        <v>-489529.94436000002</v>
      </c>
      <c r="H23" s="39">
        <f>H15*-$E$3</f>
        <v>-499320.54324720008</v>
      </c>
      <c r="I23" s="39"/>
      <c r="J23" s="39"/>
      <c r="K23" s="39"/>
      <c r="L23" s="39"/>
      <c r="M23" s="39"/>
      <c r="U23" s="39"/>
      <c r="V23" s="39"/>
      <c r="W23" s="39"/>
      <c r="X23" s="39"/>
    </row>
    <row r="24" spans="2:24" x14ac:dyDescent="0.45">
      <c r="B24" s="25" t="s">
        <v>49</v>
      </c>
      <c r="C24" s="39"/>
      <c r="D24" s="39"/>
      <c r="E24" s="39">
        <f>E15*-$E$4</f>
        <v>-68120.19</v>
      </c>
      <c r="F24" s="39">
        <f>F15*-$E$4</f>
        <v>-69482.593800000002</v>
      </c>
      <c r="G24" s="39">
        <f>G15*-$E$4</f>
        <v>-70872.245676000006</v>
      </c>
      <c r="H24" s="39">
        <f>H15*-$E$4</f>
        <v>-72289.690589520003</v>
      </c>
      <c r="I24" s="39"/>
      <c r="J24" s="39"/>
      <c r="K24" s="39"/>
      <c r="L24" s="39"/>
      <c r="M24" s="39"/>
    </row>
    <row r="25" spans="2:24" x14ac:dyDescent="0.45">
      <c r="B25" s="25" t="s">
        <v>50</v>
      </c>
      <c r="C25" s="39"/>
      <c r="D25" s="39"/>
      <c r="E25" s="39">
        <f>-($I$9*$K$5)*(1+$C$3)^E13</f>
        <v>-282078.45</v>
      </c>
      <c r="F25" s="39">
        <f>-($I$9*$K$5)*(1+$C$3)^F13</f>
        <v>-287720.01899999997</v>
      </c>
      <c r="G25" s="39">
        <f>-($I$9*$K$5)*(1+$C$3)^G13</f>
        <v>-293474.41937999998</v>
      </c>
      <c r="H25" s="39">
        <f>-($I$9*$K$5)*(1+$C$3)^H13</f>
        <v>-299343.90776760003</v>
      </c>
      <c r="I25" s="39"/>
      <c r="J25" s="39"/>
      <c r="K25" s="39"/>
      <c r="L25" s="39"/>
      <c r="M25" s="39"/>
    </row>
    <row r="26" spans="2:24" x14ac:dyDescent="0.45">
      <c r="B26" s="25" t="s">
        <v>12</v>
      </c>
      <c r="C26" s="39"/>
      <c r="D26" s="39"/>
      <c r="E26" s="39">
        <f>E18*$E$5</f>
        <v>-73566.434526346944</v>
      </c>
      <c r="F26" s="39">
        <f>F18*$E$5</f>
        <v>-80378.68636348666</v>
      </c>
      <c r="G26" s="39">
        <f>G18*$E$5</f>
        <v>-87821.752720745528</v>
      </c>
      <c r="H26" s="39">
        <f>H18*$E$5</f>
        <v>-89593.34831999999</v>
      </c>
      <c r="I26" s="39"/>
      <c r="J26" s="39"/>
      <c r="K26" s="39"/>
      <c r="L26" s="39"/>
      <c r="M26" s="39"/>
    </row>
    <row r="27" spans="2:24" x14ac:dyDescent="0.45">
      <c r="B27" s="25" t="s">
        <v>10</v>
      </c>
      <c r="C27" s="39"/>
      <c r="D27" s="39"/>
      <c r="E27" s="39">
        <f>-K3*(1+C5)</f>
        <v>-64121.509399999995</v>
      </c>
      <c r="F27" s="39">
        <f>E27*(1+$C$5)</f>
        <v>-65589.891965259987</v>
      </c>
      <c r="G27" s="39">
        <f>F27*(1+$C$5)</f>
        <v>-67091.90049126443</v>
      </c>
      <c r="H27" s="39">
        <f>G27*(1+$C$5)</f>
        <v>-68628.305012514378</v>
      </c>
      <c r="I27" s="39"/>
      <c r="J27" s="39"/>
      <c r="K27" s="39"/>
      <c r="L27" s="39"/>
      <c r="M27" s="39"/>
    </row>
    <row r="28" spans="2:24" x14ac:dyDescent="0.45">
      <c r="B28" s="27" t="s">
        <v>51</v>
      </c>
      <c r="C28" s="39"/>
      <c r="D28" s="39"/>
      <c r="E28" s="39">
        <f>SUM(E18:E27)</f>
        <v>-13880567.007841866</v>
      </c>
      <c r="F28" s="39">
        <f>SUM(F18:F27)</f>
        <v>-14474224.011116343</v>
      </c>
      <c r="G28" s="39">
        <f>SUM(G18:G27)</f>
        <v>-15109007.021980304</v>
      </c>
      <c r="H28" s="39">
        <f>SUM(H18:H27)</f>
        <v>-15412278.316501735</v>
      </c>
      <c r="I28" s="39"/>
      <c r="J28" s="39"/>
      <c r="K28" s="39"/>
      <c r="L28" s="39"/>
      <c r="M28" s="39"/>
    </row>
    <row r="29" spans="2:24" x14ac:dyDescent="0.45">
      <c r="B29" s="2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2:24" x14ac:dyDescent="0.45">
      <c r="B30" s="28" t="s">
        <v>96</v>
      </c>
      <c r="E30" s="39">
        <f>E15+E28</f>
        <v>56346432.99215813</v>
      </c>
      <c r="F30" s="39">
        <f>F15+F28</f>
        <v>57157315.988883659</v>
      </c>
      <c r="G30" s="39">
        <f>G15+G28</f>
        <v>57955163.778019696</v>
      </c>
      <c r="H30" s="39">
        <f>H15+H28</f>
        <v>59113175.899498269</v>
      </c>
      <c r="I30" s="39"/>
      <c r="J30" s="39"/>
      <c r="K30" s="39"/>
      <c r="L30" s="39"/>
      <c r="M30" s="39"/>
    </row>
    <row r="31" spans="2:24" x14ac:dyDescent="0.45">
      <c r="B31" s="23"/>
      <c r="L31" s="39"/>
      <c r="M31" s="39"/>
    </row>
    <row r="32" spans="2:24" x14ac:dyDescent="0.45">
      <c r="B32" s="29" t="s">
        <v>97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24" x14ac:dyDescent="0.45">
      <c r="B33" s="25" t="s">
        <v>16</v>
      </c>
      <c r="C33" s="39"/>
      <c r="D33" s="39"/>
      <c r="E33" s="39">
        <f>E30*-$E$6</f>
        <v>-2253857.3196863253</v>
      </c>
      <c r="F33" s="39">
        <f>F30*-$E$6</f>
        <v>-2286292.6395553462</v>
      </c>
      <c r="G33" s="39">
        <f>G30*-$E$6</f>
        <v>-2318206.5511207879</v>
      </c>
      <c r="H33" s="39">
        <f>H30*-$E$6</f>
        <v>-2364527.0359799308</v>
      </c>
      <c r="I33" s="39"/>
      <c r="J33" s="39"/>
      <c r="K33" s="39"/>
      <c r="L33" s="39"/>
      <c r="M33" s="39"/>
    </row>
    <row r="34" spans="2:24" x14ac:dyDescent="0.45">
      <c r="B34" s="25" t="s">
        <v>20</v>
      </c>
      <c r="C34" s="39"/>
      <c r="D34" s="39"/>
      <c r="E34" s="39">
        <f>E30*-$E$7</f>
        <v>-20284715.877176926</v>
      </c>
      <c r="F34" s="39">
        <f>F30*-$E$7</f>
        <v>-20576633.755998116</v>
      </c>
      <c r="G34" s="39">
        <f>G30*-$E$7</f>
        <v>-20863858.960087091</v>
      </c>
      <c r="H34" s="39">
        <f>H30*-$E$7</f>
        <v>-21280743.323819377</v>
      </c>
      <c r="I34" s="39"/>
      <c r="J34" s="39"/>
      <c r="K34" s="39"/>
      <c r="L34" s="39"/>
      <c r="M34" s="39"/>
    </row>
    <row r="35" spans="2:24" x14ac:dyDescent="0.45">
      <c r="B35" s="28" t="s">
        <v>98</v>
      </c>
      <c r="C35" s="39"/>
      <c r="D35" s="39"/>
      <c r="E35" s="39">
        <f>SUM(E33:E34)</f>
        <v>-22538573.196863249</v>
      </c>
      <c r="F35" s="39">
        <f>SUM(F33:F34)</f>
        <v>-22862926.395553462</v>
      </c>
      <c r="G35" s="39">
        <f>SUM(G33:G34)</f>
        <v>-23182065.511207879</v>
      </c>
      <c r="H35" s="39">
        <f>SUM(H33:H34)</f>
        <v>-23645270.359799307</v>
      </c>
      <c r="I35" s="39"/>
      <c r="J35" s="39"/>
      <c r="K35" s="39"/>
      <c r="L35" s="39"/>
      <c r="M35" s="39"/>
    </row>
    <row r="36" spans="2:24" x14ac:dyDescent="0.45">
      <c r="B36" s="23"/>
      <c r="L36" s="39"/>
      <c r="M36" s="39"/>
      <c r="O36" s="39"/>
      <c r="P36" s="39"/>
      <c r="Q36" s="39"/>
      <c r="R36" s="39"/>
      <c r="S36" s="39"/>
      <c r="T36" s="39"/>
    </row>
    <row r="37" spans="2:24" x14ac:dyDescent="0.45">
      <c r="B37" s="23" t="s">
        <v>56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2:24" x14ac:dyDescent="0.45">
      <c r="B38" s="25" t="s">
        <v>57</v>
      </c>
      <c r="C38" s="39"/>
      <c r="D38" s="39"/>
      <c r="E38" s="39">
        <f>-($N$3*$K$5)*(1+$C$4)^E13</f>
        <v>-601923.42000000004</v>
      </c>
      <c r="F38" s="39">
        <f>-($N$3*$K$5)*(1+$C$4)^F13</f>
        <v>-613961.88839999994</v>
      </c>
      <c r="G38" s="39">
        <f>-($N$3*$K$5)*(1+$C$4)^G13</f>
        <v>-626241.12616799993</v>
      </c>
      <c r="H38" s="39">
        <f>-($N$3*$K$5)*(1+$C$4)^H13</f>
        <v>-638765.94869135995</v>
      </c>
      <c r="I38" s="39"/>
      <c r="J38" s="39"/>
      <c r="K38" s="39"/>
      <c r="L38" s="39"/>
      <c r="M38" s="39"/>
      <c r="N38" s="39"/>
    </row>
    <row r="39" spans="2:24" x14ac:dyDescent="0.45">
      <c r="B39" s="25" t="s">
        <v>58</v>
      </c>
      <c r="C39" s="39"/>
      <c r="D39" s="39"/>
      <c r="E39" s="39">
        <f>-($N$4*$K$5)*(1+$C$4)^E13</f>
        <v>-1267675.3799999999</v>
      </c>
      <c r="F39" s="39">
        <f>-($N$4*$K$5)*(1+$C$4)^F13</f>
        <v>-1293028.8876</v>
      </c>
      <c r="G39" s="39">
        <f>-($N$4*$K$5)*(1+$C$4)^G13</f>
        <v>-1318889.465352</v>
      </c>
      <c r="H39" s="39">
        <f>-($N$4*$K$5)*(1+$C$4)^H13</f>
        <v>-1345267.2546590401</v>
      </c>
      <c r="I39" s="39"/>
      <c r="J39" s="39"/>
      <c r="K39" s="39"/>
      <c r="L39" s="39"/>
      <c r="M39" s="39"/>
      <c r="N39" s="39"/>
    </row>
    <row r="40" spans="2:24" x14ac:dyDescent="0.45">
      <c r="B40" s="25" t="s">
        <v>59</v>
      </c>
      <c r="C40" s="39"/>
      <c r="D40" s="39"/>
      <c r="E40" s="39">
        <f>-($N$5*$K$5)*(1+$C$4)^E13</f>
        <v>-529979.76</v>
      </c>
      <c r="F40" s="39">
        <f>-($N$5*$K$5)*(1+$C$4)^F13</f>
        <v>-540579.35519999999</v>
      </c>
      <c r="G40" s="39">
        <f>-($N$5*$K$5)*(1+$C$4)^G13</f>
        <v>-551390.94230400003</v>
      </c>
      <c r="H40" s="39">
        <f>-($N$5*$K$5)*(1+$C$4)^H13</f>
        <v>-562418.76115008001</v>
      </c>
      <c r="I40" s="39"/>
      <c r="J40" s="39"/>
      <c r="K40" s="39"/>
      <c r="L40" s="39"/>
      <c r="M40" s="39"/>
      <c r="N40" s="39"/>
    </row>
    <row r="41" spans="2:24" x14ac:dyDescent="0.45">
      <c r="B41" s="25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2:24" x14ac:dyDescent="0.45">
      <c r="B42" s="28" t="s">
        <v>61</v>
      </c>
      <c r="C42" s="39"/>
      <c r="D42" s="39"/>
      <c r="E42" s="39">
        <f>SUM(E38:E40)</f>
        <v>-2399578.5599999996</v>
      </c>
      <c r="F42" s="39">
        <f>SUM(F38:F40)</f>
        <v>-2447570.1312000002</v>
      </c>
      <c r="G42" s="39">
        <f>SUM(G38:G40)</f>
        <v>-2496521.5338239996</v>
      </c>
      <c r="H42" s="39">
        <f>SUM(H38:H40)</f>
        <v>-2546451.9645004803</v>
      </c>
      <c r="I42" s="39"/>
      <c r="J42" s="39"/>
      <c r="K42" s="39"/>
      <c r="L42" s="39"/>
      <c r="M42" s="39"/>
      <c r="N42" s="39"/>
    </row>
    <row r="43" spans="2:24" x14ac:dyDescent="0.45">
      <c r="B43" s="23"/>
      <c r="L43" s="39"/>
      <c r="M43" s="39"/>
      <c r="N43" s="39"/>
    </row>
    <row r="44" spans="2:24" x14ac:dyDescent="0.45">
      <c r="B44" s="28" t="s">
        <v>62</v>
      </c>
      <c r="C44" s="39"/>
      <c r="D44" s="39"/>
      <c r="E44" s="39">
        <f>E28+E35+E42</f>
        <v>-38818718.764705122</v>
      </c>
      <c r="F44" s="39">
        <f>F28+F35+F42</f>
        <v>-39784720.537869804</v>
      </c>
      <c r="G44" s="39">
        <f>G28+G35+G42</f>
        <v>-40787594.067012176</v>
      </c>
      <c r="H44" s="39">
        <f>H28+H35+H42</f>
        <v>-41604000.640801519</v>
      </c>
      <c r="I44" s="39"/>
      <c r="J44" s="39"/>
      <c r="K44" s="39"/>
      <c r="L44" s="39"/>
      <c r="M44" s="39"/>
      <c r="N44" s="39"/>
    </row>
    <row r="45" spans="2:24" x14ac:dyDescent="0.45">
      <c r="B45" s="23"/>
      <c r="L45" s="39"/>
      <c r="M45" s="39"/>
      <c r="N45" s="39"/>
    </row>
    <row r="46" spans="2:24" x14ac:dyDescent="0.45">
      <c r="B46" s="24" t="s">
        <v>63</v>
      </c>
      <c r="E46" s="39">
        <f>E15+E44</f>
        <v>31408281.235294878</v>
      </c>
      <c r="F46" s="39">
        <f>F15+F44</f>
        <v>31846819.462130196</v>
      </c>
      <c r="G46" s="39">
        <f>G15+G44</f>
        <v>32276576.732987821</v>
      </c>
      <c r="H46" s="39">
        <f>H15+H44</f>
        <v>32921453.575198486</v>
      </c>
      <c r="I46" s="39"/>
      <c r="J46" s="39"/>
      <c r="K46" s="39"/>
      <c r="L46" s="39"/>
      <c r="M46" s="39"/>
      <c r="N46" s="39"/>
    </row>
    <row r="47" spans="2:24" x14ac:dyDescent="0.45">
      <c r="B47" s="23"/>
      <c r="L47" s="39"/>
      <c r="M47" s="39"/>
      <c r="N47" s="39"/>
      <c r="U47" s="39"/>
      <c r="V47" s="39"/>
      <c r="W47" s="39"/>
      <c r="X47" s="39"/>
    </row>
    <row r="48" spans="2:24" x14ac:dyDescent="0.45">
      <c r="B48" s="23" t="s">
        <v>64</v>
      </c>
      <c r="E48" s="39">
        <f>$D$56*$C$8</f>
        <v>-600000</v>
      </c>
      <c r="F48" s="39">
        <f>($D$56-SUM($E$48))*$C$8</f>
        <v>-480000</v>
      </c>
      <c r="G48" s="39">
        <f>($D$56-SUM($E$48:$F$48))*$C$8</f>
        <v>-384000</v>
      </c>
      <c r="H48" s="39">
        <f>D56-SUM(E48:G48)</f>
        <v>-1536000</v>
      </c>
      <c r="I48" s="39"/>
      <c r="J48" s="39"/>
      <c r="K48" s="39"/>
      <c r="L48" s="39"/>
      <c r="M48" s="39"/>
      <c r="N48" s="39"/>
      <c r="U48" s="39"/>
      <c r="V48" s="39"/>
      <c r="W48" s="39"/>
      <c r="X48" s="39"/>
    </row>
    <row r="49" spans="2:24" x14ac:dyDescent="0.45">
      <c r="B49" s="23"/>
      <c r="C49" s="39"/>
      <c r="D49" s="39"/>
      <c r="E49" s="39"/>
      <c r="F49" s="39"/>
      <c r="G49" s="39"/>
      <c r="H49" s="39"/>
      <c r="I49" s="39"/>
      <c r="J49" s="39"/>
      <c r="K49" s="39"/>
      <c r="L49" s="39"/>
      <c r="T49" s="39"/>
      <c r="U49" s="39"/>
      <c r="V49" s="39"/>
      <c r="W49" s="39"/>
      <c r="X49" s="39"/>
    </row>
    <row r="50" spans="2:24" x14ac:dyDescent="0.45">
      <c r="B50" s="24" t="s">
        <v>66</v>
      </c>
      <c r="C50" s="39"/>
      <c r="D50" s="39"/>
      <c r="E50" s="39">
        <f>SUM(E46:E48)</f>
        <v>30808281.235294878</v>
      </c>
      <c r="F50" s="39">
        <f>SUM(F46:F48)</f>
        <v>31366819.462130196</v>
      </c>
      <c r="G50" s="39">
        <f>SUM(G46:G48)</f>
        <v>31892576.732987821</v>
      </c>
      <c r="H50" s="39">
        <f>SUM(H46:H48)</f>
        <v>31385453.575198486</v>
      </c>
      <c r="I50" s="39"/>
      <c r="J50" s="39"/>
      <c r="K50" s="39"/>
      <c r="L50" s="39"/>
      <c r="T50" s="39"/>
      <c r="X50" s="39"/>
    </row>
    <row r="51" spans="2:24" x14ac:dyDescent="0.45">
      <c r="B51" s="23" t="s">
        <v>67</v>
      </c>
      <c r="C51" s="39"/>
      <c r="D51" s="39"/>
      <c r="E51" s="39">
        <f>E50*-$E$8</f>
        <v>-6777821.8717648732</v>
      </c>
      <c r="F51" s="39">
        <f>F50*-$E$8</f>
        <v>-6900700.2816686435</v>
      </c>
      <c r="G51" s="39">
        <f>G50*-$E$8</f>
        <v>-7016366.8812573208</v>
      </c>
      <c r="H51" s="39">
        <f>H50*-$E$8</f>
        <v>-6904799.7865436673</v>
      </c>
      <c r="I51" s="39"/>
      <c r="J51" s="39"/>
      <c r="K51" s="39"/>
      <c r="L51" s="39"/>
      <c r="T51" s="39"/>
      <c r="X51" s="39"/>
    </row>
    <row r="52" spans="2:24" ht="16.3" thickBot="1" x14ac:dyDescent="0.5">
      <c r="B52" s="30" t="s">
        <v>68</v>
      </c>
      <c r="C52" s="81"/>
      <c r="D52" s="81"/>
      <c r="E52" s="81">
        <f>SUM(E50:E51)</f>
        <v>24030459.363530006</v>
      </c>
      <c r="F52" s="81">
        <f>SUM(F50:F51)</f>
        <v>24466119.180461552</v>
      </c>
      <c r="G52" s="81">
        <f>SUM(G50:G51)</f>
        <v>24876209.851730499</v>
      </c>
      <c r="H52" s="81">
        <f>SUM(H50:H51)</f>
        <v>24480653.788654819</v>
      </c>
      <c r="I52" s="39"/>
      <c r="J52" s="39"/>
      <c r="K52" s="39"/>
      <c r="L52" s="39"/>
      <c r="T52" s="39"/>
      <c r="X52" s="39"/>
    </row>
    <row r="53" spans="2:24" x14ac:dyDescent="0.45">
      <c r="B53" s="23"/>
      <c r="C53" s="39"/>
      <c r="D53" s="39"/>
      <c r="E53" s="39"/>
      <c r="F53" s="39"/>
      <c r="G53" s="39"/>
      <c r="H53" s="39"/>
      <c r="I53" s="39"/>
      <c r="J53" s="39"/>
      <c r="K53" s="39"/>
      <c r="L53" s="39"/>
      <c r="T53" s="39"/>
      <c r="X53" s="39"/>
    </row>
    <row r="54" spans="2:24" x14ac:dyDescent="0.45">
      <c r="B54" s="29" t="s">
        <v>64</v>
      </c>
      <c r="C54" s="39"/>
      <c r="D54" s="39"/>
      <c r="E54" s="39">
        <f>-E48</f>
        <v>600000</v>
      </c>
      <c r="F54" s="39">
        <f>-F48</f>
        <v>480000</v>
      </c>
      <c r="G54" s="39">
        <f>-G48</f>
        <v>384000</v>
      </c>
      <c r="H54" s="39">
        <f>-H48</f>
        <v>1536000</v>
      </c>
      <c r="I54" s="39"/>
      <c r="J54" s="39"/>
      <c r="K54" s="39"/>
      <c r="L54" s="39"/>
      <c r="T54" s="39"/>
      <c r="X54" s="39"/>
    </row>
    <row r="55" spans="2:24" x14ac:dyDescent="0.45">
      <c r="B55" s="29" t="s">
        <v>99</v>
      </c>
      <c r="C55" s="39"/>
      <c r="D55" s="39">
        <f>(D15-E15)*$C$9</f>
        <v>-7022700</v>
      </c>
      <c r="E55" s="39">
        <f>(E15-F15)*$C$9</f>
        <v>-140454</v>
      </c>
      <c r="F55" s="39">
        <f>(F15-G15)*$C$9</f>
        <v>-143263.0799999997</v>
      </c>
      <c r="G55" s="39">
        <f>(G15-H15)*$C$9</f>
        <v>-146128.34160000086</v>
      </c>
      <c r="H55" s="39">
        <f>(H15-I15)*$C$9</f>
        <v>7452545.4216000009</v>
      </c>
      <c r="I55" s="39"/>
      <c r="J55" s="39"/>
      <c r="K55" s="39"/>
      <c r="L55" s="39"/>
      <c r="X55" s="39"/>
    </row>
    <row r="56" spans="2:24" x14ac:dyDescent="0.45">
      <c r="B56" s="23" t="s">
        <v>18</v>
      </c>
      <c r="C56" s="39"/>
      <c r="D56" s="39">
        <f>-K4</f>
        <v>-3000000</v>
      </c>
      <c r="E56" s="39"/>
      <c r="F56" s="39"/>
      <c r="G56" s="39"/>
      <c r="H56" s="39"/>
      <c r="I56" s="39"/>
      <c r="J56" s="39"/>
      <c r="K56" s="39"/>
      <c r="L56" s="39"/>
      <c r="X56" s="39"/>
    </row>
    <row r="57" spans="2:24" x14ac:dyDescent="0.45">
      <c r="B57" s="29"/>
      <c r="C57" s="39"/>
      <c r="D57" s="39"/>
      <c r="E57" s="39"/>
      <c r="F57" s="39"/>
      <c r="G57" s="39"/>
      <c r="H57" s="39"/>
      <c r="I57" s="39"/>
      <c r="J57" s="39"/>
      <c r="K57" s="39"/>
      <c r="L57" s="39"/>
      <c r="X57" s="39"/>
    </row>
    <row r="58" spans="2:24" ht="16.3" thickBot="1" x14ac:dyDescent="0.5">
      <c r="B58" s="102" t="s">
        <v>100</v>
      </c>
      <c r="C58" s="103"/>
      <c r="D58" s="103">
        <f>SUM(D52:D57)</f>
        <v>-10022700</v>
      </c>
      <c r="E58" s="103">
        <f>SUM(E52:E57)</f>
        <v>24490005.363530006</v>
      </c>
      <c r="F58" s="103">
        <f>SUM(F52:F57)</f>
        <v>24802856.100461554</v>
      </c>
      <c r="G58" s="103">
        <f>SUM(G52:G57)</f>
        <v>25114081.510130499</v>
      </c>
      <c r="H58" s="103">
        <f>SUM(H52:H57)</f>
        <v>33469199.210254818</v>
      </c>
      <c r="I58" s="68"/>
      <c r="J58" s="68"/>
      <c r="K58" s="68"/>
      <c r="L58" s="39"/>
      <c r="X58" s="39"/>
    </row>
    <row r="59" spans="2:24" x14ac:dyDescent="0.45">
      <c r="B59" s="54"/>
      <c r="C59" s="39"/>
      <c r="D59" s="39"/>
      <c r="E59" s="39"/>
      <c r="F59" s="39"/>
      <c r="G59" s="39"/>
      <c r="H59" s="39"/>
      <c r="I59" s="39"/>
      <c r="J59" s="39"/>
      <c r="K59" s="39"/>
      <c r="L59" s="39"/>
      <c r="X59" s="39"/>
    </row>
    <row r="60" spans="2:24" ht="16.3" thickBot="1" x14ac:dyDescent="0.5">
      <c r="C60" s="39"/>
      <c r="D60" s="39"/>
      <c r="E60" s="39"/>
      <c r="F60" s="39"/>
      <c r="G60" s="39"/>
      <c r="H60" s="39"/>
      <c r="I60" s="39"/>
      <c r="J60" s="39"/>
      <c r="K60" s="39"/>
      <c r="L60" s="39"/>
      <c r="X60" s="39"/>
    </row>
    <row r="61" spans="2:24" x14ac:dyDescent="0.45">
      <c r="B61" s="90" t="s">
        <v>105</v>
      </c>
      <c r="C61" s="110">
        <v>8.1726030101192532E-2</v>
      </c>
      <c r="D61" s="39"/>
      <c r="E61" s="39"/>
      <c r="F61" s="39"/>
      <c r="G61" s="39"/>
      <c r="H61" s="39"/>
      <c r="I61" s="39"/>
      <c r="J61" s="39"/>
      <c r="U61" s="39"/>
      <c r="V61" s="39"/>
      <c r="W61" s="39"/>
      <c r="X61" s="39"/>
    </row>
    <row r="62" spans="2:24" ht="16.3" thickBot="1" x14ac:dyDescent="0.5">
      <c r="B62" s="91" t="s">
        <v>102</v>
      </c>
      <c r="C62" s="92">
        <f>NPV(C61,E58:H58)+D58</f>
        <v>78099001.634554133</v>
      </c>
      <c r="D62" s="39"/>
      <c r="E62" s="39"/>
      <c r="F62" s="39"/>
      <c r="G62" s="39"/>
      <c r="H62" s="39"/>
      <c r="I62" s="39"/>
      <c r="J62" s="39"/>
      <c r="U62" s="39"/>
      <c r="V62" s="39"/>
      <c r="W62" s="39"/>
      <c r="X62" s="39"/>
    </row>
    <row r="63" spans="2:24" x14ac:dyDescent="0.45">
      <c r="C63" s="39"/>
      <c r="D63" s="39"/>
      <c r="E63" s="39"/>
      <c r="F63" s="39"/>
      <c r="G63" s="39"/>
      <c r="H63" s="39"/>
      <c r="I63" s="39"/>
      <c r="J63" s="39"/>
      <c r="U63" s="39"/>
      <c r="V63" s="39"/>
      <c r="W63" s="39"/>
      <c r="X63" s="39"/>
    </row>
    <row r="64" spans="2:24" x14ac:dyDescent="0.45">
      <c r="C64" s="39"/>
      <c r="D64" s="39"/>
      <c r="E64" s="39"/>
      <c r="F64" s="39"/>
      <c r="G64" s="39"/>
      <c r="H64" s="39"/>
      <c r="I64" s="39"/>
      <c r="J64" s="39"/>
      <c r="U64" s="39"/>
      <c r="V64" s="39"/>
      <c r="W64" s="39"/>
      <c r="X64" s="39"/>
    </row>
    <row r="65" spans="2:24" x14ac:dyDescent="0.45">
      <c r="C65" s="39"/>
      <c r="D65" s="39"/>
      <c r="E65" s="39"/>
      <c r="F65" s="39"/>
      <c r="G65" s="39"/>
      <c r="H65" s="39"/>
      <c r="I65" s="39"/>
      <c r="J65" s="39"/>
      <c r="U65" s="39"/>
      <c r="V65" s="39"/>
      <c r="W65" s="39"/>
      <c r="X65" s="39"/>
    </row>
    <row r="66" spans="2:24" x14ac:dyDescent="0.45">
      <c r="C66" s="39"/>
      <c r="D66" s="39"/>
      <c r="E66" s="39"/>
      <c r="F66" s="39"/>
      <c r="G66" s="39"/>
      <c r="H66" s="39"/>
      <c r="I66" s="39"/>
      <c r="J66" s="39"/>
      <c r="U66" s="39"/>
      <c r="V66" s="39"/>
      <c r="W66" s="39"/>
      <c r="X66" s="39"/>
    </row>
    <row r="72" spans="2:24" x14ac:dyDescent="0.45">
      <c r="C72" s="40"/>
    </row>
    <row r="73" spans="2:24" x14ac:dyDescent="0.45">
      <c r="B73" s="55"/>
      <c r="C73" s="37"/>
    </row>
    <row r="74" spans="2:24" x14ac:dyDescent="0.45">
      <c r="B74" s="55"/>
    </row>
    <row r="75" spans="2:24" x14ac:dyDescent="0.45">
      <c r="B75" s="55"/>
      <c r="C75" s="38"/>
    </row>
    <row r="77" spans="2:24" x14ac:dyDescent="0.45">
      <c r="B77" s="59"/>
      <c r="C77" s="38"/>
    </row>
    <row r="78" spans="2:24" x14ac:dyDescent="0.45">
      <c r="B78" s="55"/>
      <c r="C78" s="114"/>
    </row>
    <row r="79" spans="2:24" x14ac:dyDescent="0.45">
      <c r="B79" s="55"/>
      <c r="C79" s="114"/>
    </row>
    <row r="80" spans="2:24" x14ac:dyDescent="0.45">
      <c r="B80" s="59"/>
      <c r="C80" s="60"/>
    </row>
    <row r="81" spans="2:3" x14ac:dyDescent="0.45">
      <c r="B81" s="59"/>
      <c r="C81" s="3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AA100"/>
  <sheetViews>
    <sheetView zoomScale="80" zoomScaleNormal="80" workbookViewId="0">
      <selection activeCell="K35" sqref="K35"/>
    </sheetView>
  </sheetViews>
  <sheetFormatPr defaultColWidth="10.640625" defaultRowHeight="15.9" x14ac:dyDescent="0.45"/>
  <cols>
    <col min="1" max="1" width="13.5" style="34" bestFit="1" customWidth="1"/>
    <col min="2" max="2" width="32.35546875" style="34" bestFit="1" customWidth="1"/>
    <col min="3" max="3" width="13.640625" style="34" bestFit="1" customWidth="1"/>
    <col min="4" max="4" width="17.640625" style="34" bestFit="1" customWidth="1"/>
    <col min="5" max="5" width="13.640625" style="34" bestFit="1" customWidth="1"/>
    <col min="6" max="6" width="17.35546875" style="34" bestFit="1" customWidth="1"/>
    <col min="7" max="7" width="14.640625" style="34" bestFit="1" customWidth="1"/>
    <col min="8" max="8" width="19.5" style="34" bestFit="1" customWidth="1"/>
    <col min="9" max="9" width="12.35546875" style="34" bestFit="1" customWidth="1"/>
    <col min="10" max="10" width="19.5" style="34" bestFit="1" customWidth="1"/>
    <col min="11" max="11" width="13.640625" style="34" bestFit="1" customWidth="1"/>
    <col min="12" max="12" width="17.640625" style="34" bestFit="1" customWidth="1"/>
    <col min="13" max="13" width="24.140625" style="34" bestFit="1" customWidth="1"/>
    <col min="14" max="14" width="10.640625" style="34"/>
    <col min="15" max="15" width="12.5" style="34" bestFit="1" customWidth="1"/>
    <col min="16" max="16" width="12.85546875" style="34" bestFit="1" customWidth="1"/>
    <col min="17" max="17" width="31" style="34" bestFit="1" customWidth="1"/>
    <col min="18" max="18" width="10.640625" style="34"/>
    <col min="19" max="19" width="19.640625" style="34" bestFit="1" customWidth="1"/>
    <col min="20" max="20" width="26.640625" style="34" bestFit="1" customWidth="1"/>
    <col min="21" max="21" width="15" style="34" bestFit="1" customWidth="1"/>
    <col min="22" max="22" width="16.640625" style="34" bestFit="1" customWidth="1"/>
    <col min="23" max="23" width="13.140625" style="34" bestFit="1" customWidth="1"/>
    <col min="24" max="25" width="11.640625" style="34" customWidth="1"/>
    <col min="26" max="26" width="18.5" style="34" bestFit="1" customWidth="1"/>
    <col min="27" max="27" width="12.85546875" style="34" bestFit="1" customWidth="1"/>
    <col min="28" max="28" width="19.5" style="34" bestFit="1" customWidth="1"/>
    <col min="29" max="29" width="13.140625" style="34" bestFit="1" customWidth="1"/>
    <col min="30" max="30" width="10.640625" style="34"/>
    <col min="31" max="31" width="24.140625" style="34" bestFit="1" customWidth="1"/>
    <col min="32" max="16384" width="10.640625" style="34"/>
  </cols>
  <sheetData>
    <row r="2" spans="2:20" x14ac:dyDescent="0.45">
      <c r="B2" s="95" t="s">
        <v>0</v>
      </c>
      <c r="C2" s="3"/>
      <c r="D2" s="3"/>
      <c r="E2" s="3"/>
      <c r="F2" s="1"/>
      <c r="G2" s="1"/>
      <c r="H2" s="96" t="s">
        <v>1</v>
      </c>
      <c r="I2" s="1"/>
      <c r="J2" s="1"/>
      <c r="K2" s="1"/>
      <c r="L2" s="1"/>
      <c r="M2" s="96" t="s">
        <v>76</v>
      </c>
      <c r="N2" s="1"/>
    </row>
    <row r="3" spans="2:20" x14ac:dyDescent="0.45">
      <c r="B3" s="1" t="s">
        <v>2</v>
      </c>
      <c r="C3" s="12">
        <v>0.02</v>
      </c>
      <c r="D3" s="3" t="s">
        <v>3</v>
      </c>
      <c r="E3" s="14">
        <v>6.7000000000000002E-3</v>
      </c>
      <c r="F3" s="1" t="s">
        <v>4</v>
      </c>
      <c r="G3" s="14">
        <v>8.1726030101192532E-2</v>
      </c>
      <c r="H3" s="1" t="s">
        <v>46</v>
      </c>
      <c r="I3" s="1">
        <v>221.58</v>
      </c>
      <c r="J3" s="1" t="s">
        <v>77</v>
      </c>
      <c r="K3" s="1">
        <v>62686</v>
      </c>
      <c r="L3" s="1"/>
      <c r="M3" s="1" t="s">
        <v>22</v>
      </c>
      <c r="N3" s="97">
        <v>7714</v>
      </c>
    </row>
    <row r="4" spans="2:20" x14ac:dyDescent="0.45">
      <c r="B4" s="98" t="s">
        <v>78</v>
      </c>
      <c r="C4" s="12">
        <v>0.02</v>
      </c>
      <c r="D4" s="1" t="s">
        <v>79</v>
      </c>
      <c r="E4" s="99">
        <v>9.7000000000000005E-4</v>
      </c>
      <c r="F4" s="1"/>
      <c r="G4" s="1"/>
      <c r="H4" s="1" t="s">
        <v>13</v>
      </c>
      <c r="I4" s="1">
        <v>30</v>
      </c>
      <c r="J4" s="3" t="s">
        <v>18</v>
      </c>
      <c r="K4" s="6">
        <v>3000000</v>
      </c>
      <c r="L4" s="1"/>
      <c r="M4" s="1" t="s">
        <v>80</v>
      </c>
      <c r="N4" s="97">
        <v>16246</v>
      </c>
    </row>
    <row r="5" spans="2:20" x14ac:dyDescent="0.45">
      <c r="B5" s="3" t="s">
        <v>81</v>
      </c>
      <c r="C5" s="14">
        <v>2.29E-2</v>
      </c>
      <c r="D5" s="1" t="s">
        <v>82</v>
      </c>
      <c r="E5" s="14">
        <v>1.72E-2</v>
      </c>
      <c r="F5" s="1"/>
      <c r="G5" s="1"/>
      <c r="H5" s="1" t="s">
        <v>17</v>
      </c>
      <c r="I5" s="100">
        <f>227631/24</f>
        <v>9484.625</v>
      </c>
      <c r="J5" s="1" t="s">
        <v>11</v>
      </c>
      <c r="K5" s="101">
        <v>100</v>
      </c>
      <c r="L5" s="1"/>
      <c r="M5" s="1" t="s">
        <v>83</v>
      </c>
      <c r="N5" s="97">
        <v>6792</v>
      </c>
    </row>
    <row r="6" spans="2:20" x14ac:dyDescent="0.45">
      <c r="B6" s="1" t="s">
        <v>84</v>
      </c>
      <c r="C6" s="9">
        <v>4.5999999999999999E-2</v>
      </c>
      <c r="D6" s="1" t="s">
        <v>16</v>
      </c>
      <c r="E6" s="22">
        <v>0.04</v>
      </c>
      <c r="F6" s="1"/>
      <c r="G6" s="1"/>
      <c r="H6" s="1" t="s">
        <v>85</v>
      </c>
      <c r="I6" s="1">
        <v>4.42</v>
      </c>
      <c r="J6" s="3" t="s">
        <v>86</v>
      </c>
      <c r="K6" s="6">
        <v>100000</v>
      </c>
      <c r="L6" s="1"/>
      <c r="M6" s="1"/>
      <c r="N6" s="1"/>
    </row>
    <row r="7" spans="2:20" x14ac:dyDescent="0.45">
      <c r="B7" s="1" t="s">
        <v>87</v>
      </c>
      <c r="C7" s="9">
        <v>9.2600000000000002E-2</v>
      </c>
      <c r="D7" s="1" t="s">
        <v>20</v>
      </c>
      <c r="E7" s="22">
        <v>0.36</v>
      </c>
      <c r="F7" s="1"/>
      <c r="G7" s="1"/>
      <c r="H7" s="1" t="s">
        <v>88</v>
      </c>
      <c r="I7" s="111">
        <v>6.3</v>
      </c>
      <c r="J7" s="3" t="s">
        <v>89</v>
      </c>
      <c r="K7" s="6">
        <f>K6*K5</f>
        <v>10000000</v>
      </c>
      <c r="L7" s="1"/>
      <c r="M7" s="1"/>
      <c r="N7" s="1"/>
    </row>
    <row r="8" spans="2:20" x14ac:dyDescent="0.45">
      <c r="B8" s="3" t="s">
        <v>90</v>
      </c>
      <c r="C8" s="12">
        <v>0.2</v>
      </c>
      <c r="D8" s="1" t="s">
        <v>91</v>
      </c>
      <c r="E8" s="22">
        <v>0.22</v>
      </c>
      <c r="F8" s="1"/>
      <c r="G8" s="1"/>
      <c r="H8" s="1" t="s">
        <v>92</v>
      </c>
      <c r="I8" s="1">
        <v>10808</v>
      </c>
      <c r="J8" s="3" t="s">
        <v>93</v>
      </c>
      <c r="K8" s="6">
        <v>12</v>
      </c>
      <c r="L8" s="1"/>
      <c r="M8" s="1"/>
      <c r="N8" s="1"/>
    </row>
    <row r="9" spans="2:20" x14ac:dyDescent="0.45">
      <c r="B9" s="1" t="s">
        <v>34</v>
      </c>
      <c r="C9" s="22">
        <v>0.1</v>
      </c>
      <c r="D9" s="1" t="s">
        <v>94</v>
      </c>
      <c r="E9" s="9">
        <v>6.5500000000000003E-2</v>
      </c>
      <c r="F9" s="1"/>
      <c r="G9" s="1"/>
      <c r="H9" s="1" t="s">
        <v>50</v>
      </c>
      <c r="I9" s="1">
        <v>3615</v>
      </c>
      <c r="J9" s="1"/>
      <c r="K9" s="1"/>
      <c r="L9" s="1"/>
      <c r="M9" s="1"/>
      <c r="N9" s="1"/>
    </row>
    <row r="11" spans="2:20" x14ac:dyDescent="0.45">
      <c r="G11" s="39"/>
    </row>
    <row r="12" spans="2:20" x14ac:dyDescent="0.45">
      <c r="B12" s="48" t="s">
        <v>36</v>
      </c>
    </row>
    <row r="13" spans="2:20" x14ac:dyDescent="0.45">
      <c r="B13" s="84"/>
      <c r="C13" s="84">
        <v>0</v>
      </c>
      <c r="D13" s="84">
        <v>1</v>
      </c>
      <c r="E13" s="84">
        <v>2</v>
      </c>
      <c r="F13" s="84">
        <v>3</v>
      </c>
      <c r="G13" s="84">
        <v>4</v>
      </c>
      <c r="H13" s="84">
        <v>5</v>
      </c>
    </row>
    <row r="14" spans="2:20" x14ac:dyDescent="0.45">
      <c r="B14" s="84" t="s">
        <v>37</v>
      </c>
      <c r="C14" s="84">
        <v>2021</v>
      </c>
      <c r="D14" s="84">
        <v>2022</v>
      </c>
      <c r="E14" s="84">
        <v>2023</v>
      </c>
      <c r="F14" s="84">
        <v>2024</v>
      </c>
      <c r="G14" s="84">
        <v>2025</v>
      </c>
      <c r="H14" s="84">
        <v>2026</v>
      </c>
    </row>
    <row r="15" spans="2:20" x14ac:dyDescent="0.45">
      <c r="B15" s="28" t="s">
        <v>95</v>
      </c>
      <c r="C15" s="39"/>
      <c r="D15" s="39"/>
      <c r="E15" s="39">
        <f>($K$8*$K$7)*(1+$C$3)^E13</f>
        <v>124848000</v>
      </c>
      <c r="F15" s="39">
        <f>($K$8*$K$7)*(1+$C$3)^F13</f>
        <v>127344959.99999999</v>
      </c>
      <c r="G15" s="39">
        <f>($K$8*$K$7)*(1+$C$3)^G13</f>
        <v>129891859.2</v>
      </c>
      <c r="H15" s="39">
        <f>($K$8*$K$7)*(1+$C$3)^H13</f>
        <v>132489696.384</v>
      </c>
      <c r="I15" s="39"/>
      <c r="J15" s="39"/>
      <c r="K15" s="39"/>
      <c r="L15" s="39"/>
    </row>
    <row r="16" spans="2:20" x14ac:dyDescent="0.45">
      <c r="B16" s="25"/>
      <c r="C16" s="39"/>
      <c r="D16" s="39"/>
      <c r="E16" s="39"/>
      <c r="F16" s="39"/>
      <c r="G16" s="39"/>
      <c r="H16" s="39"/>
      <c r="I16" s="39"/>
      <c r="J16" s="39"/>
      <c r="K16" s="39"/>
      <c r="L16" s="39"/>
      <c r="T16" s="39"/>
    </row>
    <row r="17" spans="2:20" x14ac:dyDescent="0.45">
      <c r="B17" s="23" t="s">
        <v>41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T17" s="39"/>
    </row>
    <row r="18" spans="2:20" x14ac:dyDescent="0.45">
      <c r="B18" s="25" t="s">
        <v>42</v>
      </c>
      <c r="C18" s="39"/>
      <c r="D18" s="39"/>
      <c r="E18" s="39">
        <f>-($I$8*$I$6*$K$5)*(1+$C$7)^E13</f>
        <v>-5702824.3818873595</v>
      </c>
      <c r="F18" s="39">
        <f>-($I$8*$I$6*$K$5)*(1+$C$7)^F13</f>
        <v>-6230905.919650129</v>
      </c>
      <c r="G18" s="39">
        <f>-($I$8*$I$6*$K$5)*(1+$C$7)^G13</f>
        <v>-6807887.8078097301</v>
      </c>
      <c r="H18" s="39">
        <f>-($I$8*$I$7*$K$5)*(1+$C$3)^D13</f>
        <v>-6945220.7999999989</v>
      </c>
      <c r="I18" s="39"/>
      <c r="J18" s="39"/>
      <c r="K18" s="39"/>
      <c r="L18" s="39"/>
    </row>
    <row r="19" spans="2:20" x14ac:dyDescent="0.45">
      <c r="B19" s="25" t="s">
        <v>43</v>
      </c>
      <c r="C19" s="39"/>
      <c r="D19" s="39"/>
      <c r="E19" s="39">
        <f>E15*-$C$6</f>
        <v>-5743008</v>
      </c>
      <c r="F19" s="39">
        <f>F15*-$C$6</f>
        <v>-5857868.1599999992</v>
      </c>
      <c r="G19" s="39">
        <f>G15*-$C$6</f>
        <v>-5975025.5231999997</v>
      </c>
      <c r="H19" s="39">
        <f>H15*-$C$6</f>
        <v>-6094526.0336640002</v>
      </c>
      <c r="I19" s="39"/>
      <c r="J19" s="39"/>
      <c r="K19" s="39"/>
      <c r="L19" s="39"/>
    </row>
    <row r="20" spans="2:20" x14ac:dyDescent="0.45">
      <c r="B20" s="25" t="s">
        <v>46</v>
      </c>
      <c r="C20" s="39"/>
      <c r="D20" s="39"/>
      <c r="E20" s="39">
        <f>-($I$3*$I$4*$K$5)*(1+$C$3)^E13</f>
        <v>-691595.49600000004</v>
      </c>
      <c r="F20" s="39">
        <f>-($I$3*$I$4*$K$5)*(1+$C$3)^F13</f>
        <v>-705427.40591999993</v>
      </c>
      <c r="G20" s="39">
        <f>-($I$3*$I$4*$K$5)*(1+$C$3)^G13</f>
        <v>-719535.95403839997</v>
      </c>
      <c r="H20" s="39">
        <f>-($I$3*$I$4*$K$5)*(1+$C$3)^H13</f>
        <v>-733926.67311916803</v>
      </c>
      <c r="I20" s="39"/>
      <c r="J20" s="39"/>
      <c r="K20" s="39"/>
      <c r="L20" s="39"/>
      <c r="M20" s="39"/>
      <c r="N20" s="39"/>
      <c r="T20" s="39"/>
    </row>
    <row r="21" spans="2:20" x14ac:dyDescent="0.45">
      <c r="B21" s="25" t="s">
        <v>47</v>
      </c>
      <c r="C21" s="39"/>
      <c r="D21" s="39"/>
      <c r="E21" s="39">
        <f>E15*-$E$9</f>
        <v>-8177544</v>
      </c>
      <c r="F21" s="39">
        <f>F15*-$E$9</f>
        <v>-8341094.879999999</v>
      </c>
      <c r="G21" s="39">
        <f>G15*-$E$9</f>
        <v>-8507916.7775999997</v>
      </c>
      <c r="H21" s="39">
        <f>H15*-$E$9</f>
        <v>-8678075.1131520011</v>
      </c>
      <c r="I21" s="39"/>
      <c r="J21" s="39"/>
      <c r="K21" s="39"/>
      <c r="L21" s="39"/>
      <c r="M21" s="39"/>
      <c r="N21" s="39"/>
      <c r="T21" s="39"/>
    </row>
    <row r="22" spans="2:20" x14ac:dyDescent="0.45">
      <c r="B22" s="25" t="s">
        <v>48</v>
      </c>
      <c r="C22" s="39"/>
      <c r="D22" s="39"/>
      <c r="E22" s="39">
        <f>-($I$5*$I$4)*(1+$C$3)^E13</f>
        <v>-296034.11550000001</v>
      </c>
      <c r="F22" s="39">
        <f>-($I$5*$I$4)*(1+$C$3)^F13</f>
        <v>-301954.79780999996</v>
      </c>
      <c r="G22" s="39">
        <f>-($I$5*$I$4)*(1+$C$3)^G13</f>
        <v>-307993.8937662</v>
      </c>
      <c r="H22" s="39">
        <f>-($I$5*$I$4)*(1+$C$3)^H13</f>
        <v>-314153.77164152398</v>
      </c>
      <c r="I22" s="39"/>
      <c r="J22" s="39"/>
      <c r="K22" s="39"/>
      <c r="L22" s="39"/>
      <c r="M22" s="39"/>
      <c r="N22" s="39"/>
      <c r="T22" s="39"/>
    </row>
    <row r="23" spans="2:20" x14ac:dyDescent="0.45">
      <c r="B23" s="25" t="s">
        <v>3</v>
      </c>
      <c r="C23" s="39"/>
      <c r="D23" s="39"/>
      <c r="E23" s="39">
        <f>E15*-$E$3</f>
        <v>-836481.6</v>
      </c>
      <c r="F23" s="39">
        <f>F15*-$E$3</f>
        <v>-853211.23199999996</v>
      </c>
      <c r="G23" s="39">
        <f>G15*-$E$3</f>
        <v>-870275.45664000011</v>
      </c>
      <c r="H23" s="39">
        <f>H15*-$E$3</f>
        <v>-887680.96577280003</v>
      </c>
      <c r="I23" s="39"/>
      <c r="J23" s="39"/>
      <c r="K23" s="39"/>
      <c r="L23" s="39"/>
      <c r="M23" s="39"/>
      <c r="N23" s="39"/>
      <c r="T23" s="39"/>
    </row>
    <row r="24" spans="2:20" x14ac:dyDescent="0.45">
      <c r="B24" s="25" t="s">
        <v>49</v>
      </c>
      <c r="C24" s="39"/>
      <c r="D24" s="39"/>
      <c r="E24" s="39">
        <f>E15*-$E$4</f>
        <v>-121102.56000000001</v>
      </c>
      <c r="F24" s="39">
        <f>F15*-$E$4</f>
        <v>-123524.61119999998</v>
      </c>
      <c r="G24" s="39">
        <f>G15*-$E$4</f>
        <v>-125995.10342400002</v>
      </c>
      <c r="H24" s="39">
        <f>H15*-$E$4</f>
        <v>-128515.00549248001</v>
      </c>
      <c r="I24" s="39"/>
      <c r="J24" s="39"/>
      <c r="K24" s="39"/>
      <c r="L24" s="39"/>
      <c r="M24" s="39"/>
      <c r="N24" s="39"/>
    </row>
    <row r="25" spans="2:20" x14ac:dyDescent="0.45">
      <c r="B25" s="25" t="s">
        <v>50</v>
      </c>
      <c r="C25" s="39"/>
      <c r="D25" s="39"/>
      <c r="E25" s="39">
        <f>-($I$9*$K$5)*(1+$C$3)^E13</f>
        <v>-376104.6</v>
      </c>
      <c r="F25" s="39">
        <f>-($I$9*$K$5)*(1+$C$3)^F13</f>
        <v>-383626.69199999998</v>
      </c>
      <c r="G25" s="39">
        <f>-($I$9*$K$5)*(1+$C$3)^G13</f>
        <v>-391299.22583999997</v>
      </c>
      <c r="H25" s="39">
        <f>-($I$9*$K$5)*(1+$C$3)^H13</f>
        <v>-399125.2103568</v>
      </c>
      <c r="I25" s="39"/>
      <c r="J25" s="39"/>
      <c r="K25" s="39"/>
      <c r="L25" s="39"/>
      <c r="M25" s="39"/>
    </row>
    <row r="26" spans="2:20" x14ac:dyDescent="0.45">
      <c r="B26" s="25" t="s">
        <v>12</v>
      </c>
      <c r="C26" s="39"/>
      <c r="D26" s="39"/>
      <c r="E26" s="39">
        <f>E18*$E$5</f>
        <v>-98088.579368462582</v>
      </c>
      <c r="F26" s="39">
        <f>F18*$E$5</f>
        <v>-107171.58181798222</v>
      </c>
      <c r="G26" s="39">
        <f>G18*$E$5</f>
        <v>-117095.67029432736</v>
      </c>
      <c r="H26" s="39">
        <f>H18*$E$5</f>
        <v>-119457.79775999999</v>
      </c>
      <c r="I26" s="39"/>
      <c r="J26" s="39"/>
      <c r="K26" s="39"/>
      <c r="L26" s="39"/>
      <c r="M26" s="39"/>
    </row>
    <row r="27" spans="2:20" x14ac:dyDescent="0.45">
      <c r="B27" s="25" t="s">
        <v>10</v>
      </c>
      <c r="C27" s="39"/>
      <c r="D27" s="39"/>
      <c r="E27" s="39">
        <f>-K3*(1+C5)</f>
        <v>-64121.509399999995</v>
      </c>
      <c r="F27" s="39">
        <f>E27*(1+$C$5)</f>
        <v>-65589.891965259987</v>
      </c>
      <c r="G27" s="39">
        <f>F27*(1+$C$5)</f>
        <v>-67091.90049126443</v>
      </c>
      <c r="H27" s="39">
        <f>G27*(1+$C$5)</f>
        <v>-68628.305012514378</v>
      </c>
      <c r="I27" s="39"/>
      <c r="J27" s="39"/>
      <c r="K27" s="39"/>
      <c r="L27" s="39"/>
      <c r="M27" s="39"/>
    </row>
    <row r="28" spans="2:20" x14ac:dyDescent="0.45">
      <c r="B28" s="27" t="s">
        <v>51</v>
      </c>
      <c r="C28" s="39"/>
      <c r="D28" s="39"/>
      <c r="E28" s="39">
        <f>SUM(E18:E27)</f>
        <v>-22106904.842155822</v>
      </c>
      <c r="F28" s="39">
        <f>SUM(F18:F27)</f>
        <v>-22970375.172363371</v>
      </c>
      <c r="G28" s="39">
        <f>SUM(G18:G27)</f>
        <v>-23890117.313103922</v>
      </c>
      <c r="H28" s="39">
        <f>SUM(H18:H27)</f>
        <v>-24369309.675971285</v>
      </c>
      <c r="I28" s="39"/>
      <c r="J28" s="39"/>
      <c r="K28" s="39"/>
      <c r="L28" s="39"/>
      <c r="M28" s="39"/>
    </row>
    <row r="29" spans="2:20" x14ac:dyDescent="0.45">
      <c r="B29" s="2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2:20" x14ac:dyDescent="0.45">
      <c r="B30" s="28" t="s">
        <v>96</v>
      </c>
      <c r="E30" s="39">
        <f>E15+E28</f>
        <v>102741095.15784419</v>
      </c>
      <c r="F30" s="39">
        <f>F15+F28</f>
        <v>104374584.82763661</v>
      </c>
      <c r="G30" s="39">
        <f>G15+G28</f>
        <v>106001741.88689607</v>
      </c>
      <c r="H30" s="39">
        <f>H15+H28</f>
        <v>108120386.70802872</v>
      </c>
      <c r="I30" s="39"/>
      <c r="J30" s="39"/>
      <c r="K30" s="39"/>
      <c r="L30" s="39"/>
      <c r="M30" s="39"/>
      <c r="T30" s="39"/>
    </row>
    <row r="31" spans="2:20" x14ac:dyDescent="0.45">
      <c r="B31" s="23"/>
      <c r="L31" s="39"/>
      <c r="M31" s="39"/>
      <c r="N31" s="39"/>
      <c r="O31" s="31"/>
      <c r="P31" s="31"/>
      <c r="R31" s="39"/>
      <c r="S31" s="39"/>
    </row>
    <row r="32" spans="2:20" x14ac:dyDescent="0.45">
      <c r="B32" s="29" t="s">
        <v>97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1"/>
      <c r="P32" s="31"/>
      <c r="R32" s="39"/>
      <c r="S32" s="39"/>
    </row>
    <row r="33" spans="2:20" x14ac:dyDescent="0.45">
      <c r="B33" s="25" t="s">
        <v>16</v>
      </c>
      <c r="C33" s="39"/>
      <c r="D33" s="39"/>
      <c r="E33" s="39">
        <f>E30*-$E$6</f>
        <v>-4109643.8063137676</v>
      </c>
      <c r="F33" s="39">
        <f>F30*-$E$6</f>
        <v>-4174983.3931054645</v>
      </c>
      <c r="G33" s="39">
        <f>G30*-$E$6</f>
        <v>-4240069.6754758433</v>
      </c>
      <c r="H33" s="39">
        <f>H30*-$E$6</f>
        <v>-4324815.4683211492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2:20" x14ac:dyDescent="0.45">
      <c r="B34" s="25" t="s">
        <v>20</v>
      </c>
      <c r="C34" s="39"/>
      <c r="D34" s="39"/>
      <c r="E34" s="39">
        <f>E30*-$E$7</f>
        <v>-36986794.256823905</v>
      </c>
      <c r="F34" s="39">
        <f>F30*-$E$7</f>
        <v>-37574850.537949182</v>
      </c>
      <c r="G34" s="39">
        <f>G30*-$E$7</f>
        <v>-38160627.079282582</v>
      </c>
      <c r="H34" s="39">
        <f>H30*-$E$7</f>
        <v>-38923339.214890338</v>
      </c>
      <c r="I34" s="39"/>
      <c r="J34" s="39"/>
      <c r="K34" s="39"/>
      <c r="L34" s="39"/>
      <c r="M34" s="39"/>
      <c r="N34" s="39"/>
      <c r="O34" s="39"/>
      <c r="P34" s="39"/>
      <c r="R34" s="39"/>
      <c r="S34" s="39"/>
    </row>
    <row r="35" spans="2:20" x14ac:dyDescent="0.45">
      <c r="B35" s="28" t="s">
        <v>98</v>
      </c>
      <c r="C35" s="39"/>
      <c r="D35" s="39"/>
      <c r="E35" s="39">
        <f>SUM(E33:E34)</f>
        <v>-41096438.063137673</v>
      </c>
      <c r="F35" s="39">
        <f>SUM(F33:F34)</f>
        <v>-41749833.931054644</v>
      </c>
      <c r="G35" s="39">
        <f>SUM(G33:G34)</f>
        <v>-42400696.754758425</v>
      </c>
      <c r="H35" s="39">
        <f>SUM(H33:H34)</f>
        <v>-43248154.683211491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2:20" x14ac:dyDescent="0.45">
      <c r="B36" s="23"/>
      <c r="L36" s="39"/>
      <c r="M36" s="39"/>
      <c r="N36" s="39"/>
      <c r="O36" s="39"/>
      <c r="P36" s="39"/>
      <c r="Q36" s="39"/>
      <c r="R36" s="39"/>
      <c r="S36" s="39"/>
    </row>
    <row r="37" spans="2:20" x14ac:dyDescent="0.45">
      <c r="B37" s="23" t="s">
        <v>56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2:20" x14ac:dyDescent="0.45">
      <c r="B38" s="25" t="s">
        <v>57</v>
      </c>
      <c r="C38" s="39"/>
      <c r="D38" s="39"/>
      <c r="E38" s="39">
        <f>-($N$3*$K$5)*(1+$C$4)^E13</f>
        <v>-802564.55999999994</v>
      </c>
      <c r="F38" s="39">
        <f>-($N$3*$K$5)*(1+$C$4)^F13</f>
        <v>-818615.85119999992</v>
      </c>
      <c r="G38" s="39">
        <f>-($N$3*$K$5)*(1+$C$4)^G13</f>
        <v>-834988.16822400002</v>
      </c>
      <c r="H38" s="39">
        <f>-($N$3*$K$5)*(1+$C$4)^H13</f>
        <v>-851687.93158848002</v>
      </c>
      <c r="I38" s="39"/>
      <c r="J38" s="39"/>
      <c r="K38" s="39"/>
      <c r="L38" s="39"/>
      <c r="M38" s="39"/>
    </row>
    <row r="39" spans="2:20" x14ac:dyDescent="0.45">
      <c r="B39" s="25" t="s">
        <v>58</v>
      </c>
      <c r="C39" s="39"/>
      <c r="D39" s="39"/>
      <c r="E39" s="39">
        <f>-($N$4*$K$5)*(1+$C$4)^E13</f>
        <v>-1690233.84</v>
      </c>
      <c r="F39" s="39">
        <f>-($N$4*$K$5)*(1+$C$4)^F13</f>
        <v>-1724038.5167999999</v>
      </c>
      <c r="G39" s="39">
        <f>-($N$4*$K$5)*(1+$C$4)^G13</f>
        <v>-1758519.2871359999</v>
      </c>
      <c r="H39" s="39">
        <f>-($N$4*$K$5)*(1+$C$4)^H13</f>
        <v>-1793689.6728787201</v>
      </c>
      <c r="I39" s="39"/>
      <c r="J39" s="39"/>
      <c r="K39" s="39"/>
      <c r="L39" s="39"/>
      <c r="M39" s="39"/>
    </row>
    <row r="40" spans="2:20" x14ac:dyDescent="0.45">
      <c r="B40" s="25" t="s">
        <v>59</v>
      </c>
      <c r="C40" s="39"/>
      <c r="D40" s="39"/>
      <c r="E40" s="39">
        <f>-($N$5*$K$5)*(1+$C$4)^E13</f>
        <v>-706639.68</v>
      </c>
      <c r="F40" s="39">
        <f>-($N$5*$K$5)*(1+$C$4)^F13</f>
        <v>-720772.47359999991</v>
      </c>
      <c r="G40" s="39">
        <f>-($N$5*$K$5)*(1+$C$4)^G13</f>
        <v>-735187.92307200003</v>
      </c>
      <c r="H40" s="39">
        <f>-($N$5*$K$5)*(1+$C$4)^H13</f>
        <v>-749891.68153344002</v>
      </c>
      <c r="I40" s="39"/>
      <c r="J40" s="39"/>
      <c r="K40" s="39"/>
      <c r="L40" s="39"/>
      <c r="M40" s="39"/>
      <c r="T40" s="39"/>
    </row>
    <row r="41" spans="2:20" x14ac:dyDescent="0.45">
      <c r="B41" s="25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T41" s="39"/>
    </row>
    <row r="42" spans="2:20" x14ac:dyDescent="0.45">
      <c r="B42" s="28" t="s">
        <v>61</v>
      </c>
      <c r="C42" s="39"/>
      <c r="D42" s="39"/>
      <c r="E42" s="39">
        <f>SUM(E38:E40)</f>
        <v>-3199438.08</v>
      </c>
      <c r="F42" s="39">
        <f>SUM(F38:F40)</f>
        <v>-3263426.8415999999</v>
      </c>
      <c r="G42" s="39">
        <f>SUM(G38:G40)</f>
        <v>-3328695.3784320001</v>
      </c>
      <c r="H42" s="39">
        <f>SUM(H38:H40)</f>
        <v>-3395269.2860006401</v>
      </c>
      <c r="I42" s="39"/>
      <c r="J42" s="39"/>
      <c r="K42" s="39"/>
      <c r="L42" s="39"/>
      <c r="M42" s="39"/>
    </row>
    <row r="43" spans="2:20" x14ac:dyDescent="0.45">
      <c r="B43" s="23"/>
      <c r="L43" s="39"/>
      <c r="M43" s="39"/>
    </row>
    <row r="44" spans="2:20" x14ac:dyDescent="0.45">
      <c r="B44" s="28" t="s">
        <v>62</v>
      </c>
      <c r="C44" s="39"/>
      <c r="D44" s="39"/>
      <c r="E44" s="39">
        <f>E28+E35+E42</f>
        <v>-66402780.985293493</v>
      </c>
      <c r="F44" s="39">
        <f>F28+F35+F42</f>
        <v>-67983635.945018008</v>
      </c>
      <c r="G44" s="39">
        <f>G28+G35+G42</f>
        <v>-69619509.446294352</v>
      </c>
      <c r="H44" s="39">
        <f>H28+H35+H42</f>
        <v>-71012733.645183414</v>
      </c>
      <c r="I44" s="39"/>
      <c r="J44" s="39"/>
      <c r="K44" s="39"/>
      <c r="L44" s="39"/>
      <c r="M44" s="39"/>
    </row>
    <row r="45" spans="2:20" x14ac:dyDescent="0.45">
      <c r="B45" s="23"/>
      <c r="L45" s="39"/>
      <c r="M45" s="39"/>
    </row>
    <row r="46" spans="2:20" x14ac:dyDescent="0.45">
      <c r="B46" s="24" t="s">
        <v>63</v>
      </c>
      <c r="E46" s="39">
        <f>E15+E44</f>
        <v>58445219.014706507</v>
      </c>
      <c r="F46" s="39">
        <f>F15+F44</f>
        <v>59361324.054981977</v>
      </c>
      <c r="G46" s="39">
        <f>G15+G44</f>
        <v>60272349.753705651</v>
      </c>
      <c r="H46" s="39">
        <f>H15+H44</f>
        <v>61476962.738816589</v>
      </c>
      <c r="I46" s="39"/>
      <c r="J46" s="39"/>
      <c r="K46" s="39"/>
      <c r="L46" s="39"/>
      <c r="M46" s="39"/>
    </row>
    <row r="47" spans="2:20" x14ac:dyDescent="0.45">
      <c r="B47" s="23"/>
      <c r="L47" s="39"/>
      <c r="M47" s="39"/>
    </row>
    <row r="48" spans="2:20" x14ac:dyDescent="0.45">
      <c r="B48" s="23" t="s">
        <v>64</v>
      </c>
      <c r="E48" s="39">
        <f>$D$56*$C$8</f>
        <v>-600000</v>
      </c>
      <c r="F48" s="39">
        <f>($D$56-SUM($E$48))*$C$8</f>
        <v>-480000</v>
      </c>
      <c r="G48" s="39">
        <f>($D$56-SUM($E$48:$F$48))*$C$8</f>
        <v>-384000</v>
      </c>
      <c r="H48" s="39">
        <f>D56-SUM(E48:G48)</f>
        <v>-1536000</v>
      </c>
      <c r="I48" s="39"/>
      <c r="J48" s="39"/>
      <c r="K48" s="39"/>
      <c r="L48" s="39"/>
      <c r="M48" s="39"/>
      <c r="O48" s="39"/>
      <c r="P48" s="39"/>
      <c r="Q48" s="39"/>
      <c r="R48" s="39"/>
    </row>
    <row r="49" spans="2:27" x14ac:dyDescent="0.45">
      <c r="B49" s="23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2:27" x14ac:dyDescent="0.45">
      <c r="B50" s="24" t="s">
        <v>66</v>
      </c>
      <c r="C50" s="39"/>
      <c r="D50" s="39"/>
      <c r="E50" s="39">
        <f>SUM(E46:E48)</f>
        <v>57845219.014706507</v>
      </c>
      <c r="F50" s="39">
        <f>SUM(F46:F48)</f>
        <v>58881324.054981977</v>
      </c>
      <c r="G50" s="39">
        <f>SUM(G46:G48)</f>
        <v>59888349.753705651</v>
      </c>
      <c r="H50" s="39">
        <f>SUM(H46:H48)</f>
        <v>59940962.738816589</v>
      </c>
      <c r="I50" s="39"/>
      <c r="J50" s="39"/>
      <c r="K50" s="39"/>
      <c r="L50" s="39"/>
      <c r="M50" s="39"/>
      <c r="N50" s="39"/>
    </row>
    <row r="51" spans="2:27" x14ac:dyDescent="0.45">
      <c r="B51" s="23" t="s">
        <v>67</v>
      </c>
      <c r="C51" s="39"/>
      <c r="D51" s="39"/>
      <c r="E51" s="39">
        <f>E50*-$E$8</f>
        <v>-12725948.183235431</v>
      </c>
      <c r="F51" s="39">
        <f>F50*-$E$8</f>
        <v>-12953891.292096036</v>
      </c>
      <c r="G51" s="39">
        <f>G50*-$E$8</f>
        <v>-13175436.945815243</v>
      </c>
      <c r="H51" s="39">
        <f>H50*-$E$8</f>
        <v>-13187011.80253965</v>
      </c>
      <c r="I51" s="39"/>
      <c r="J51" s="39"/>
      <c r="K51" s="39"/>
      <c r="L51" s="39"/>
      <c r="M51" s="39"/>
      <c r="N51" s="39"/>
    </row>
    <row r="52" spans="2:27" ht="16.3" thickBot="1" x14ac:dyDescent="0.5">
      <c r="B52" s="30" t="s">
        <v>68</v>
      </c>
      <c r="C52" s="81"/>
      <c r="D52" s="81"/>
      <c r="E52" s="81">
        <f>SUM(E50:E51)</f>
        <v>45119270.831471078</v>
      </c>
      <c r="F52" s="81">
        <f>SUM(F50:F51)</f>
        <v>45927432.762885943</v>
      </c>
      <c r="G52" s="81">
        <f>SUM(G50:G51)</f>
        <v>46712912.807890408</v>
      </c>
      <c r="H52" s="81">
        <f>SUM(H50:H51)</f>
        <v>46753950.936276942</v>
      </c>
      <c r="I52" s="39"/>
      <c r="J52" s="39"/>
      <c r="K52" s="39"/>
      <c r="L52" s="39"/>
      <c r="M52" s="39"/>
      <c r="N52" s="39"/>
    </row>
    <row r="53" spans="2:27" x14ac:dyDescent="0.45">
      <c r="B53" s="23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X53" s="39"/>
      <c r="Y53" s="39"/>
      <c r="Z53" s="39"/>
      <c r="AA53" s="39"/>
    </row>
    <row r="54" spans="2:27" x14ac:dyDescent="0.45">
      <c r="B54" s="29" t="s">
        <v>64</v>
      </c>
      <c r="C54" s="39"/>
      <c r="D54" s="39"/>
      <c r="E54" s="39">
        <f>-E48</f>
        <v>600000</v>
      </c>
      <c r="F54" s="39">
        <f>-F48</f>
        <v>480000</v>
      </c>
      <c r="G54" s="39">
        <f>-G48</f>
        <v>384000</v>
      </c>
      <c r="H54" s="39">
        <f>-H48</f>
        <v>1536000</v>
      </c>
      <c r="I54" s="39"/>
      <c r="J54" s="39"/>
      <c r="K54" s="39"/>
      <c r="L54" s="39"/>
      <c r="M54" s="39"/>
      <c r="N54" s="39"/>
      <c r="X54" s="39"/>
      <c r="Y54" s="39"/>
      <c r="Z54" s="39"/>
      <c r="AA54" s="39"/>
    </row>
    <row r="55" spans="2:27" x14ac:dyDescent="0.45">
      <c r="B55" s="29" t="s">
        <v>99</v>
      </c>
      <c r="C55" s="39"/>
      <c r="D55" s="39">
        <f>(D15-E15)*$C$9</f>
        <v>-12484800</v>
      </c>
      <c r="E55" s="39">
        <f>(E15-F15)*$C$9</f>
        <v>-249695.99999999852</v>
      </c>
      <c r="F55" s="39">
        <f>(F15-G15)*$C$9</f>
        <v>-254689.92000000179</v>
      </c>
      <c r="G55" s="39">
        <f>(G15-H15)*$C$9</f>
        <v>-259783.71840000004</v>
      </c>
      <c r="H55" s="39">
        <f>(H15-I15)*$C$9</f>
        <v>13248969.638400001</v>
      </c>
      <c r="I55" s="39"/>
      <c r="J55" s="39"/>
      <c r="K55" s="39"/>
      <c r="L55" s="39"/>
      <c r="M55" s="39"/>
      <c r="N55" s="39"/>
      <c r="X55" s="39"/>
      <c r="Y55" s="39"/>
      <c r="Z55" s="39"/>
      <c r="AA55" s="39"/>
    </row>
    <row r="56" spans="2:27" x14ac:dyDescent="0.45">
      <c r="B56" s="23" t="s">
        <v>18</v>
      </c>
      <c r="C56" s="39"/>
      <c r="D56" s="39">
        <f>-K4</f>
        <v>-3000000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X56" s="39"/>
      <c r="Y56" s="39"/>
      <c r="Z56" s="39"/>
      <c r="AA56" s="39"/>
    </row>
    <row r="57" spans="2:27" x14ac:dyDescent="0.45">
      <c r="B57" s="2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X57" s="39"/>
      <c r="Y57" s="39"/>
      <c r="Z57" s="39"/>
      <c r="AA57" s="39"/>
    </row>
    <row r="58" spans="2:27" ht="16.3" thickBot="1" x14ac:dyDescent="0.5">
      <c r="B58" s="102" t="s">
        <v>100</v>
      </c>
      <c r="C58" s="103"/>
      <c r="D58" s="103">
        <f>SUM(D52:D57)</f>
        <v>-15484800</v>
      </c>
      <c r="E58" s="103">
        <f>SUM(E52:E57)</f>
        <v>45469574.831471078</v>
      </c>
      <c r="F58" s="103">
        <f>SUM(F52:F57)</f>
        <v>46152742.842885941</v>
      </c>
      <c r="G58" s="103">
        <f>SUM(G52:G57)</f>
        <v>46837129.089490406</v>
      </c>
      <c r="H58" s="103">
        <f>SUM(H52:H57)</f>
        <v>61538920.574676946</v>
      </c>
      <c r="I58" s="68"/>
      <c r="J58" s="68"/>
      <c r="K58" s="68"/>
      <c r="L58" s="39"/>
      <c r="M58" s="39"/>
      <c r="N58" s="39"/>
      <c r="X58" s="39"/>
      <c r="Y58" s="39"/>
      <c r="Z58" s="39"/>
      <c r="AA58" s="39"/>
    </row>
    <row r="59" spans="2:27" x14ac:dyDescent="0.45">
      <c r="B59" s="5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X59" s="39"/>
      <c r="Y59" s="39"/>
      <c r="Z59" s="39"/>
      <c r="AA59" s="39"/>
    </row>
    <row r="60" spans="2:27" ht="16.3" thickBot="1" x14ac:dyDescent="0.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X60" s="39"/>
      <c r="Y60" s="39"/>
      <c r="Z60" s="39"/>
      <c r="AA60" s="39"/>
    </row>
    <row r="61" spans="2:27" x14ac:dyDescent="0.45">
      <c r="B61" s="90" t="s">
        <v>101</v>
      </c>
      <c r="C61" s="110">
        <v>8.1726030101192532E-2</v>
      </c>
      <c r="D61" s="39"/>
      <c r="E61" s="39"/>
      <c r="F61" s="39"/>
      <c r="G61" s="39"/>
      <c r="H61" s="39"/>
      <c r="I61" s="39"/>
      <c r="J61" s="39"/>
      <c r="T61" s="39"/>
      <c r="U61" s="39"/>
      <c r="V61" s="39"/>
      <c r="W61" s="39"/>
      <c r="X61" s="39"/>
      <c r="Y61" s="39"/>
      <c r="Z61" s="39"/>
      <c r="AA61" s="39"/>
    </row>
    <row r="62" spans="2:27" ht="16.3" thickBot="1" x14ac:dyDescent="0.5">
      <c r="B62" s="91" t="s">
        <v>102</v>
      </c>
      <c r="C62" s="92">
        <f>NPV(C61,E58:K58)+D58</f>
        <v>147939907.15310231</v>
      </c>
      <c r="D62" s="39"/>
      <c r="E62" s="39"/>
      <c r="F62" s="39"/>
      <c r="G62" s="39"/>
      <c r="H62" s="39"/>
      <c r="I62" s="39"/>
      <c r="J62" s="39"/>
      <c r="T62" s="39"/>
      <c r="U62" s="39"/>
      <c r="V62" s="39"/>
      <c r="W62" s="39"/>
      <c r="X62" s="39"/>
      <c r="Y62" s="39"/>
      <c r="Z62" s="39"/>
      <c r="AA62" s="39"/>
    </row>
    <row r="63" spans="2:27" x14ac:dyDescent="0.45">
      <c r="C63" s="39"/>
      <c r="D63" s="39"/>
      <c r="E63" s="39"/>
      <c r="F63" s="39"/>
      <c r="G63" s="39"/>
      <c r="H63" s="39"/>
      <c r="I63" s="39"/>
      <c r="J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45">
      <c r="C64" s="39"/>
      <c r="D64" s="39"/>
      <c r="E64" s="39"/>
      <c r="F64" s="39"/>
      <c r="G64" s="39"/>
      <c r="H64" s="39"/>
      <c r="I64" s="39"/>
      <c r="J64" s="39"/>
      <c r="T64" s="39"/>
      <c r="U64" s="39"/>
      <c r="V64" s="39"/>
      <c r="W64" s="39"/>
      <c r="X64" s="39"/>
      <c r="Y64" s="39"/>
      <c r="Z64" s="39"/>
      <c r="AA64" s="39"/>
    </row>
    <row r="65" spans="2:27" x14ac:dyDescent="0.45">
      <c r="C65" s="39"/>
      <c r="D65" s="39"/>
      <c r="E65" s="39"/>
      <c r="F65" s="39"/>
      <c r="G65" s="39"/>
      <c r="H65" s="39"/>
      <c r="I65" s="39"/>
      <c r="J65" s="39"/>
      <c r="T65" s="39"/>
      <c r="U65" s="39"/>
      <c r="V65" s="39"/>
      <c r="W65" s="39"/>
      <c r="X65" s="39"/>
      <c r="Y65" s="39"/>
      <c r="Z65" s="39"/>
      <c r="AA65" s="39"/>
    </row>
    <row r="66" spans="2:27" x14ac:dyDescent="0.45">
      <c r="C66" s="39"/>
      <c r="D66" s="39"/>
      <c r="E66" s="39"/>
      <c r="F66" s="39"/>
      <c r="G66" s="39"/>
      <c r="H66" s="39"/>
      <c r="I66" s="39"/>
      <c r="J66" s="39"/>
      <c r="T66" s="39"/>
      <c r="U66" s="39"/>
      <c r="V66" s="39"/>
      <c r="W66" s="39"/>
      <c r="X66" s="39"/>
      <c r="Y66" s="39"/>
      <c r="Z66" s="39"/>
      <c r="AA66" s="39"/>
    </row>
    <row r="67" spans="2:27" x14ac:dyDescent="0.45">
      <c r="B67" s="52"/>
      <c r="C67" s="39"/>
      <c r="D67" s="39"/>
      <c r="E67" s="39"/>
      <c r="F67" s="39"/>
      <c r="G67" s="39"/>
      <c r="H67" s="39"/>
      <c r="I67" s="39"/>
      <c r="J67" s="39"/>
      <c r="T67" s="39"/>
      <c r="U67" s="39"/>
      <c r="V67" s="39"/>
      <c r="W67" s="39"/>
      <c r="X67" s="39"/>
      <c r="Y67" s="39"/>
      <c r="Z67" s="39"/>
      <c r="AA67" s="39"/>
    </row>
    <row r="68" spans="2:27" x14ac:dyDescent="0.45">
      <c r="B68" s="53"/>
      <c r="C68" s="39"/>
      <c r="D68" s="39"/>
      <c r="E68" s="39"/>
      <c r="F68" s="39"/>
      <c r="G68" s="39"/>
      <c r="H68" s="39"/>
      <c r="I68" s="39"/>
      <c r="J68" s="39"/>
      <c r="T68" s="39"/>
      <c r="U68" s="39"/>
      <c r="V68" s="39"/>
      <c r="W68" s="39"/>
      <c r="X68" s="39"/>
      <c r="Y68" s="39"/>
      <c r="Z68" s="39"/>
      <c r="AA68" s="39"/>
    </row>
    <row r="69" spans="2:27" x14ac:dyDescent="0.45">
      <c r="B69" s="53"/>
      <c r="C69" s="39"/>
      <c r="D69" s="39"/>
      <c r="E69" s="39"/>
      <c r="F69" s="39"/>
      <c r="G69" s="39"/>
      <c r="H69" s="39"/>
      <c r="I69" s="39"/>
      <c r="J69" s="39"/>
      <c r="T69" s="39"/>
      <c r="U69" s="39"/>
      <c r="V69" s="39"/>
      <c r="W69" s="39"/>
      <c r="X69" s="39"/>
      <c r="Y69" s="39"/>
      <c r="Z69" s="39"/>
      <c r="AA69" s="39"/>
    </row>
    <row r="70" spans="2:27" x14ac:dyDescent="0.45">
      <c r="B70" s="53"/>
      <c r="C70" s="39"/>
      <c r="D70" s="39"/>
      <c r="E70" s="39"/>
      <c r="F70" s="39"/>
      <c r="G70" s="39"/>
      <c r="H70" s="39"/>
      <c r="I70" s="39"/>
      <c r="J70" s="31"/>
      <c r="T70" s="39"/>
      <c r="U70" s="39"/>
      <c r="V70" s="39"/>
      <c r="W70" s="39"/>
      <c r="X70" s="39"/>
      <c r="Y70" s="39"/>
      <c r="Z70" s="39"/>
      <c r="AA70" s="39"/>
    </row>
    <row r="71" spans="2:27" x14ac:dyDescent="0.45">
      <c r="L71" s="39"/>
      <c r="M71" s="39"/>
      <c r="N71" s="39"/>
      <c r="O71" s="39"/>
      <c r="P71" s="39"/>
      <c r="Q71" s="39"/>
      <c r="R71" s="39"/>
      <c r="S71" s="39"/>
    </row>
    <row r="72" spans="2:27" x14ac:dyDescent="0.45">
      <c r="C72" s="40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</row>
    <row r="73" spans="2:27" x14ac:dyDescent="0.45">
      <c r="B73" s="55"/>
      <c r="C73" s="37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2:27" x14ac:dyDescent="0.45">
      <c r="B74" s="55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</row>
    <row r="75" spans="2:27" x14ac:dyDescent="0.45">
      <c r="B75" s="55"/>
      <c r="C75" s="38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2:27" x14ac:dyDescent="0.45"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</row>
    <row r="77" spans="2:27" x14ac:dyDescent="0.45">
      <c r="B77" s="59"/>
      <c r="C77" s="38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2:27" x14ac:dyDescent="0.45">
      <c r="B78" s="55"/>
      <c r="C78" s="114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2:27" x14ac:dyDescent="0.45">
      <c r="B79" s="55"/>
      <c r="C79" s="114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2:27" x14ac:dyDescent="0.45">
      <c r="B80" s="59"/>
      <c r="C80" s="60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</row>
    <row r="81" spans="2:27" x14ac:dyDescent="0.45">
      <c r="B81" s="59"/>
      <c r="C81" s="38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</row>
    <row r="82" spans="2:27" x14ac:dyDescent="0.45"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</row>
    <row r="83" spans="2:27" x14ac:dyDescent="0.45"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</row>
    <row r="84" spans="2:27" x14ac:dyDescent="0.45"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</row>
    <row r="85" spans="2:27" x14ac:dyDescent="0.45"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</row>
    <row r="86" spans="2:27" x14ac:dyDescent="0.45"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</row>
    <row r="87" spans="2:27" x14ac:dyDescent="0.45"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</row>
    <row r="88" spans="2:27" x14ac:dyDescent="0.45"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</row>
    <row r="89" spans="2:27" x14ac:dyDescent="0.45"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</row>
    <row r="90" spans="2:27" x14ac:dyDescent="0.45"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</row>
    <row r="91" spans="2:27" x14ac:dyDescent="0.45"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</row>
    <row r="92" spans="2:27" x14ac:dyDescent="0.45"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</row>
    <row r="93" spans="2:27" x14ac:dyDescent="0.45"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</row>
    <row r="94" spans="2:27" x14ac:dyDescent="0.45"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</row>
    <row r="95" spans="2:27" x14ac:dyDescent="0.45"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 spans="2:27" x14ac:dyDescent="0.45"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  <row r="97" spans="16:27" x14ac:dyDescent="0.45"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</row>
    <row r="98" spans="16:27" x14ac:dyDescent="0.45"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</row>
    <row r="99" spans="16:27" x14ac:dyDescent="0.45"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</row>
    <row r="100" spans="16:27" x14ac:dyDescent="0.45"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2:U113"/>
  <sheetViews>
    <sheetView topLeftCell="B11" zoomScale="89" zoomScaleNormal="80" workbookViewId="0">
      <selection activeCell="F31" sqref="F31"/>
    </sheetView>
  </sheetViews>
  <sheetFormatPr defaultColWidth="10.85546875" defaultRowHeight="15.9" x14ac:dyDescent="0.45"/>
  <cols>
    <col min="1" max="1" width="10.85546875" style="39"/>
    <col min="2" max="2" width="15.35546875" style="39" bestFit="1" customWidth="1"/>
    <col min="3" max="3" width="11" style="39" bestFit="1" customWidth="1"/>
    <col min="4" max="4" width="14.85546875" style="39" bestFit="1" customWidth="1"/>
    <col min="5" max="5" width="10.85546875" style="39"/>
    <col min="6" max="6" width="14.85546875" style="39" bestFit="1" customWidth="1"/>
    <col min="7" max="7" width="10.85546875" style="39"/>
    <col min="8" max="8" width="14.85546875" style="39" bestFit="1" customWidth="1"/>
    <col min="9" max="9" width="12" style="39" bestFit="1" customWidth="1"/>
    <col min="10" max="10" width="13.85546875" style="39" customWidth="1"/>
    <col min="11" max="11" width="14.85546875" style="39" customWidth="1"/>
    <col min="12" max="13" width="14.85546875" style="39" bestFit="1" customWidth="1"/>
    <col min="14" max="14" width="11.85546875" style="39" bestFit="1" customWidth="1"/>
    <col min="15" max="15" width="14.85546875" style="39" bestFit="1" customWidth="1"/>
    <col min="16" max="16" width="12.640625" style="39" customWidth="1"/>
    <col min="17" max="17" width="11.640625" style="39" bestFit="1" customWidth="1"/>
    <col min="18" max="18" width="12" style="39" bestFit="1" customWidth="1"/>
    <col min="19" max="19" width="12.35546875" style="39" bestFit="1" customWidth="1"/>
    <col min="20" max="20" width="10.85546875" style="34"/>
    <col min="21" max="21" width="24.640625" style="34" customWidth="1"/>
    <col min="22" max="22" width="17" style="34" customWidth="1"/>
    <col min="23" max="25" width="10.85546875" style="34"/>
    <col min="26" max="26" width="12" style="34" bestFit="1" customWidth="1"/>
    <col min="27" max="16384" width="10.85546875" style="34"/>
  </cols>
  <sheetData>
    <row r="2" spans="1:19" x14ac:dyDescent="0.45">
      <c r="B2" s="146" t="s">
        <v>106</v>
      </c>
      <c r="C2" s="147"/>
      <c r="D2" s="147"/>
      <c r="E2" s="147"/>
      <c r="F2" s="147"/>
      <c r="K2" s="137" t="s">
        <v>107</v>
      </c>
      <c r="L2" s="145" t="s">
        <v>108</v>
      </c>
    </row>
    <row r="3" spans="1:19" x14ac:dyDescent="0.45">
      <c r="B3" s="136" t="s">
        <v>109</v>
      </c>
      <c r="C3" s="136" t="s">
        <v>110</v>
      </c>
      <c r="D3" s="136" t="s">
        <v>102</v>
      </c>
      <c r="E3" s="136" t="s">
        <v>111</v>
      </c>
      <c r="F3" s="136" t="s">
        <v>112</v>
      </c>
      <c r="K3" s="138" t="s">
        <v>113</v>
      </c>
      <c r="L3" s="132">
        <v>0.05</v>
      </c>
      <c r="Q3" s="34"/>
      <c r="R3" s="34"/>
      <c r="S3" s="112"/>
    </row>
    <row r="4" spans="1:19" x14ac:dyDescent="0.45">
      <c r="B4" s="112"/>
      <c r="C4" s="112">
        <v>16</v>
      </c>
      <c r="D4" s="112">
        <v>204996436.51380402</v>
      </c>
      <c r="E4" s="134">
        <v>0.15</v>
      </c>
      <c r="F4" s="112">
        <f>D4*E4</f>
        <v>30749465.4770706</v>
      </c>
      <c r="J4" s="34"/>
      <c r="K4" s="139" t="s">
        <v>114</v>
      </c>
      <c r="L4" s="133">
        <v>0.15</v>
      </c>
      <c r="M4" s="34"/>
      <c r="N4" s="34"/>
      <c r="O4" s="34"/>
      <c r="P4" s="34"/>
      <c r="Q4" s="34"/>
      <c r="R4" s="32"/>
      <c r="S4" s="112"/>
    </row>
    <row r="5" spans="1:19" ht="18" customHeight="1" x14ac:dyDescent="0.45">
      <c r="B5" s="112">
        <v>100</v>
      </c>
      <c r="C5" s="112">
        <v>14</v>
      </c>
      <c r="D5" s="112">
        <v>176468171.83345315</v>
      </c>
      <c r="E5" s="134">
        <v>0.5</v>
      </c>
      <c r="F5" s="112">
        <f>D5*E5</f>
        <v>88234085.916726574</v>
      </c>
      <c r="J5" s="34"/>
      <c r="K5" s="139" t="s">
        <v>115</v>
      </c>
      <c r="L5" s="133">
        <v>0.4</v>
      </c>
      <c r="M5" s="34"/>
      <c r="N5" s="34"/>
      <c r="O5" s="34"/>
      <c r="P5" s="34"/>
      <c r="Q5" s="34"/>
      <c r="R5" s="32"/>
      <c r="S5" s="112"/>
    </row>
    <row r="6" spans="1:19" ht="16" customHeight="1" x14ac:dyDescent="0.45">
      <c r="B6" s="113"/>
      <c r="C6" s="113">
        <v>12</v>
      </c>
      <c r="D6" s="113">
        <v>147939907.15310231</v>
      </c>
      <c r="E6" s="135">
        <v>0.35</v>
      </c>
      <c r="F6" s="113">
        <f>D6*E6</f>
        <v>51778967.503585808</v>
      </c>
      <c r="J6" s="34"/>
      <c r="K6" s="139" t="s">
        <v>106</v>
      </c>
      <c r="L6" s="133">
        <v>0.4</v>
      </c>
      <c r="M6" s="34"/>
      <c r="N6" s="34"/>
      <c r="O6" s="34"/>
      <c r="P6" s="34"/>
      <c r="Q6" s="34"/>
      <c r="R6" s="32"/>
      <c r="S6" s="112"/>
    </row>
    <row r="7" spans="1:19" ht="16.3" thickBot="1" x14ac:dyDescent="0.5">
      <c r="A7" s="112"/>
      <c r="B7" s="131" t="s">
        <v>116</v>
      </c>
      <c r="C7" s="112"/>
      <c r="D7" s="112"/>
      <c r="E7" s="112"/>
      <c r="F7" s="112">
        <f>SUM(F4:F6)</f>
        <v>170762518.89738297</v>
      </c>
      <c r="J7" s="34"/>
      <c r="K7" s="112"/>
      <c r="L7" s="134"/>
      <c r="M7" s="34"/>
      <c r="N7" s="34"/>
      <c r="O7" s="34"/>
      <c r="P7" s="34"/>
      <c r="Q7" s="34"/>
      <c r="R7" s="32"/>
      <c r="S7" s="112"/>
    </row>
    <row r="8" spans="1:19" ht="16.3" thickBot="1" x14ac:dyDescent="0.5">
      <c r="A8" s="112"/>
      <c r="K8" s="127" t="s">
        <v>105</v>
      </c>
      <c r="L8" s="140">
        <v>8.1726030101192532E-2</v>
      </c>
    </row>
    <row r="9" spans="1:19" x14ac:dyDescent="0.45">
      <c r="A9" s="112"/>
      <c r="J9" s="34"/>
    </row>
    <row r="10" spans="1:19" ht="17.149999999999999" customHeight="1" thickBot="1" x14ac:dyDescent="0.5">
      <c r="B10" s="146" t="s">
        <v>115</v>
      </c>
      <c r="C10" s="147"/>
      <c r="D10" s="147"/>
      <c r="E10" s="147"/>
      <c r="F10" s="147"/>
      <c r="J10" s="34"/>
      <c r="K10" s="112"/>
      <c r="L10" s="112"/>
      <c r="M10" s="112"/>
      <c r="N10" s="112"/>
      <c r="O10" s="112"/>
      <c r="P10" s="112"/>
      <c r="Q10" s="112"/>
      <c r="R10" s="112"/>
      <c r="S10" s="112"/>
    </row>
    <row r="11" spans="1:19" ht="16.75" thickBot="1" x14ac:dyDescent="0.55000000000000004">
      <c r="B11" s="136" t="s">
        <v>109</v>
      </c>
      <c r="C11" s="136" t="s">
        <v>110</v>
      </c>
      <c r="D11" s="136" t="s">
        <v>102</v>
      </c>
      <c r="E11" s="136" t="s">
        <v>111</v>
      </c>
      <c r="F11" s="136" t="s">
        <v>112</v>
      </c>
      <c r="J11" s="34"/>
      <c r="K11" s="148" t="s">
        <v>117</v>
      </c>
      <c r="L11" s="149"/>
      <c r="M11" s="149"/>
      <c r="N11" s="149"/>
      <c r="O11" s="149"/>
      <c r="P11" s="149"/>
      <c r="Q11" s="149"/>
      <c r="R11" s="149"/>
      <c r="S11" s="150"/>
    </row>
    <row r="12" spans="1:19" ht="16.3" thickBot="1" x14ac:dyDescent="0.5">
      <c r="B12" s="112"/>
      <c r="C12" s="112">
        <v>16</v>
      </c>
      <c r="D12" s="112">
        <v>110193299.39994882</v>
      </c>
      <c r="E12" s="134">
        <v>0.15</v>
      </c>
      <c r="F12" s="112">
        <f>D12*E12</f>
        <v>16528994.909992322</v>
      </c>
      <c r="J12" s="34"/>
      <c r="K12" s="142" t="s">
        <v>118</v>
      </c>
      <c r="L12" s="143"/>
      <c r="M12" s="143"/>
      <c r="N12" s="143"/>
      <c r="O12" s="143" t="s">
        <v>119</v>
      </c>
      <c r="P12" s="143"/>
      <c r="Q12" s="143"/>
      <c r="R12" s="143" t="s">
        <v>111</v>
      </c>
      <c r="S12" s="144" t="s">
        <v>102</v>
      </c>
    </row>
    <row r="13" spans="1:19" x14ac:dyDescent="0.45">
      <c r="B13" s="112">
        <v>75</v>
      </c>
      <c r="C13" s="112">
        <v>14</v>
      </c>
      <c r="D13" s="112">
        <v>94146150.517251477</v>
      </c>
      <c r="E13" s="134">
        <v>0.5</v>
      </c>
      <c r="F13" s="112">
        <f>D13*E13</f>
        <v>47073075.258625738</v>
      </c>
      <c r="J13" s="34"/>
      <c r="K13" s="120"/>
      <c r="L13" s="128"/>
      <c r="M13" s="128"/>
      <c r="N13" s="128"/>
      <c r="O13" s="128"/>
      <c r="P13" s="128"/>
      <c r="Q13" s="128"/>
      <c r="R13" s="128"/>
      <c r="S13" s="121"/>
    </row>
    <row r="14" spans="1:19" x14ac:dyDescent="0.45">
      <c r="B14" s="113"/>
      <c r="C14" s="113">
        <v>12</v>
      </c>
      <c r="D14" s="113">
        <v>78099001.634554133</v>
      </c>
      <c r="E14" s="135">
        <v>0.35</v>
      </c>
      <c r="F14" s="113">
        <f>D14*E14</f>
        <v>27334650.572093945</v>
      </c>
      <c r="J14" s="34"/>
      <c r="K14" s="120"/>
      <c r="L14" s="128"/>
      <c r="M14" s="128"/>
      <c r="N14" s="128"/>
      <c r="O14" s="128"/>
      <c r="P14" s="128"/>
      <c r="Q14" s="125" t="s">
        <v>120</v>
      </c>
      <c r="R14" s="129">
        <f>E4</f>
        <v>0.15</v>
      </c>
      <c r="S14" s="121">
        <f>D4</f>
        <v>204996436.51380402</v>
      </c>
    </row>
    <row r="15" spans="1:19" x14ac:dyDescent="0.45">
      <c r="B15" s="131" t="s">
        <v>116</v>
      </c>
      <c r="C15" s="112"/>
      <c r="D15" s="112"/>
      <c r="E15" s="112"/>
      <c r="F15" s="112">
        <f>SUM(F12:F14)</f>
        <v>90936720.740712002</v>
      </c>
      <c r="J15" s="34"/>
      <c r="K15" s="120"/>
      <c r="L15" s="128"/>
      <c r="M15" s="128"/>
      <c r="N15" s="128"/>
      <c r="O15" s="128">
        <f>(S14*R14+R16*S16+R18*S18)</f>
        <v>170762518.89738297</v>
      </c>
      <c r="P15" s="128"/>
      <c r="Q15" s="128"/>
      <c r="R15" s="130"/>
      <c r="S15" s="121"/>
    </row>
    <row r="16" spans="1:19" x14ac:dyDescent="0.45">
      <c r="J16" s="34"/>
      <c r="K16" s="120"/>
      <c r="L16" s="128"/>
      <c r="M16" s="128"/>
      <c r="N16" s="116"/>
      <c r="O16" s="125" t="s">
        <v>106</v>
      </c>
      <c r="P16" s="128"/>
      <c r="Q16" s="125" t="s">
        <v>121</v>
      </c>
      <c r="R16" s="129">
        <f>E5</f>
        <v>0.5</v>
      </c>
      <c r="S16" s="121">
        <f>D5</f>
        <v>176468171.83345315</v>
      </c>
    </row>
    <row r="17" spans="2:19" ht="20.149999999999999" customHeight="1" x14ac:dyDescent="0.45">
      <c r="B17" s="112"/>
      <c r="C17" s="112"/>
      <c r="D17" s="112"/>
      <c r="E17" s="112"/>
      <c r="F17" s="112"/>
      <c r="J17" s="34"/>
      <c r="K17" s="120"/>
      <c r="L17" s="128"/>
      <c r="M17" s="128"/>
      <c r="N17" s="128"/>
      <c r="O17" s="128"/>
      <c r="P17" s="128"/>
      <c r="Q17" s="128"/>
      <c r="R17" s="130"/>
      <c r="S17" s="121"/>
    </row>
    <row r="18" spans="2:19" x14ac:dyDescent="0.45">
      <c r="B18" s="146" t="s">
        <v>114</v>
      </c>
      <c r="C18" s="147"/>
      <c r="D18" s="147"/>
      <c r="E18" s="147"/>
      <c r="F18" s="147"/>
      <c r="J18" s="34"/>
      <c r="K18" s="120"/>
      <c r="L18" s="128"/>
      <c r="M18" s="130" t="s">
        <v>122</v>
      </c>
      <c r="N18" s="128"/>
      <c r="O18" s="128"/>
      <c r="P18" s="128"/>
      <c r="Q18" s="125" t="s">
        <v>123</v>
      </c>
      <c r="R18" s="129">
        <f>E6</f>
        <v>0.35</v>
      </c>
      <c r="S18" s="121">
        <f>D6</f>
        <v>147939907.15310231</v>
      </c>
    </row>
    <row r="19" spans="2:19" x14ac:dyDescent="0.45">
      <c r="B19" s="136" t="s">
        <v>109</v>
      </c>
      <c r="C19" s="136" t="s">
        <v>110</v>
      </c>
      <c r="D19" s="136" t="s">
        <v>102</v>
      </c>
      <c r="E19" s="136" t="s">
        <v>111</v>
      </c>
      <c r="F19" s="136" t="s">
        <v>112</v>
      </c>
      <c r="J19" s="34"/>
      <c r="K19" s="120"/>
      <c r="L19" s="128"/>
      <c r="M19" s="128"/>
      <c r="N19" s="128"/>
      <c r="O19" s="128"/>
      <c r="P19" s="128"/>
      <c r="Q19" s="128"/>
      <c r="R19" s="130"/>
      <c r="S19" s="121"/>
    </row>
    <row r="20" spans="2:19" x14ac:dyDescent="0.45">
      <c r="B20" s="112"/>
      <c r="C20" s="112">
        <v>16</v>
      </c>
      <c r="D20" s="112">
        <v>43918426.9664445</v>
      </c>
      <c r="E20" s="134">
        <v>0.15</v>
      </c>
      <c r="F20" s="112">
        <f>D20*E20</f>
        <v>6587764.0449666744</v>
      </c>
      <c r="J20" s="34"/>
      <c r="K20" s="120"/>
      <c r="L20" s="128"/>
      <c r="M20" s="128"/>
      <c r="N20" s="128"/>
      <c r="O20" s="128"/>
      <c r="P20" s="128"/>
      <c r="Q20" s="128"/>
      <c r="R20" s="130"/>
      <c r="S20" s="121"/>
    </row>
    <row r="21" spans="2:19" x14ac:dyDescent="0.45">
      <c r="B21" s="112">
        <v>50</v>
      </c>
      <c r="C21" s="112">
        <v>14</v>
      </c>
      <c r="D21" s="112">
        <v>36786360.79635679</v>
      </c>
      <c r="E21" s="134">
        <v>0.5</v>
      </c>
      <c r="F21" s="112">
        <f>D21*E21</f>
        <v>18393180.398178395</v>
      </c>
      <c r="J21" s="34"/>
      <c r="K21" s="120"/>
      <c r="L21" s="128"/>
      <c r="M21" s="128"/>
      <c r="N21" s="128"/>
      <c r="O21" s="128"/>
      <c r="P21" s="128"/>
      <c r="Q21" s="125" t="s">
        <v>120</v>
      </c>
      <c r="R21" s="129">
        <f>E12</f>
        <v>0.15</v>
      </c>
      <c r="S21" s="121">
        <f>D12</f>
        <v>110193299.39994882</v>
      </c>
    </row>
    <row r="22" spans="2:19" x14ac:dyDescent="0.45">
      <c r="B22" s="113"/>
      <c r="C22" s="113">
        <v>12</v>
      </c>
      <c r="D22" s="113">
        <v>29654294.62626908</v>
      </c>
      <c r="E22" s="135">
        <v>0.35</v>
      </c>
      <c r="F22" s="113">
        <f>D22*E22</f>
        <v>10379003.119194178</v>
      </c>
      <c r="J22" s="34"/>
      <c r="K22" s="120"/>
      <c r="L22" s="128"/>
      <c r="M22" s="128"/>
      <c r="N22" s="128"/>
      <c r="O22" s="128">
        <f>(S21*R21+R23*S23+R25*S25)</f>
        <v>90936720.740712002</v>
      </c>
      <c r="P22" s="128"/>
      <c r="Q22" s="128"/>
      <c r="R22" s="130"/>
      <c r="S22" s="121"/>
    </row>
    <row r="23" spans="2:19" x14ac:dyDescent="0.45">
      <c r="B23" s="131" t="s">
        <v>116</v>
      </c>
      <c r="C23" s="112"/>
      <c r="D23" s="112"/>
      <c r="E23" s="112"/>
      <c r="F23" s="112">
        <f>SUM(F20:F22)</f>
        <v>35359947.562339246</v>
      </c>
      <c r="J23" s="34"/>
      <c r="K23" s="120"/>
      <c r="L23" s="128"/>
      <c r="M23" s="128"/>
      <c r="N23" s="116"/>
      <c r="O23" s="125" t="s">
        <v>115</v>
      </c>
      <c r="P23" s="128"/>
      <c r="Q23" s="125" t="s">
        <v>121</v>
      </c>
      <c r="R23" s="129">
        <f>E13</f>
        <v>0.5</v>
      </c>
      <c r="S23" s="121">
        <f>D13</f>
        <v>94146150.517251477</v>
      </c>
    </row>
    <row r="24" spans="2:19" x14ac:dyDescent="0.45">
      <c r="K24" s="120"/>
      <c r="L24" s="128"/>
      <c r="M24" s="130" t="s">
        <v>124</v>
      </c>
      <c r="N24" s="128"/>
      <c r="O24" s="128"/>
      <c r="P24" s="128"/>
      <c r="Q24" s="128"/>
      <c r="R24" s="130"/>
      <c r="S24" s="121"/>
    </row>
    <row r="25" spans="2:19" x14ac:dyDescent="0.45">
      <c r="B25" s="112"/>
      <c r="C25" s="112"/>
      <c r="D25" s="112"/>
      <c r="E25" s="112"/>
      <c r="F25" s="112"/>
      <c r="K25" s="120"/>
      <c r="L25" s="128"/>
      <c r="M25" s="128"/>
      <c r="N25" s="128"/>
      <c r="O25" s="128"/>
      <c r="P25" s="128"/>
      <c r="Q25" s="125" t="s">
        <v>123</v>
      </c>
      <c r="R25" s="129">
        <f>E14</f>
        <v>0.35</v>
      </c>
      <c r="S25" s="121">
        <f>D14</f>
        <v>78099001.634554133</v>
      </c>
    </row>
    <row r="26" spans="2:19" x14ac:dyDescent="0.45">
      <c r="B26" s="146" t="s">
        <v>113</v>
      </c>
      <c r="C26" s="146"/>
      <c r="D26" s="146"/>
      <c r="E26" s="146"/>
      <c r="F26" s="146"/>
      <c r="J26" s="34"/>
      <c r="K26" s="120">
        <f>(O15*L3+L4*O22+L5*O30+L6*O37)/(1+L8)</f>
        <v>32306901.329227764</v>
      </c>
      <c r="L26" s="128"/>
      <c r="M26" s="128"/>
      <c r="N26" s="128"/>
      <c r="O26" s="128"/>
      <c r="P26" s="128"/>
      <c r="Q26" s="128"/>
      <c r="R26" s="130"/>
      <c r="S26" s="121"/>
    </row>
    <row r="27" spans="2:19" x14ac:dyDescent="0.45">
      <c r="B27" s="136" t="s">
        <v>109</v>
      </c>
      <c r="C27" s="136" t="s">
        <v>125</v>
      </c>
      <c r="D27" s="136" t="s">
        <v>102</v>
      </c>
      <c r="E27" s="136" t="s">
        <v>111</v>
      </c>
      <c r="F27" s="136" t="s">
        <v>112</v>
      </c>
      <c r="J27" s="34"/>
      <c r="K27" s="126" t="s">
        <v>102</v>
      </c>
      <c r="L27" s="128"/>
      <c r="M27" s="128"/>
      <c r="N27" s="128"/>
      <c r="O27" s="128"/>
      <c r="P27" s="128"/>
      <c r="Q27" s="128"/>
      <c r="R27" s="130"/>
      <c r="S27" s="121"/>
    </row>
    <row r="28" spans="2:19" x14ac:dyDescent="0.45">
      <c r="B28" s="112"/>
      <c r="C28" s="112">
        <v>16</v>
      </c>
      <c r="D28" s="112">
        <v>-1726796.5221168427</v>
      </c>
      <c r="E28" s="134">
        <v>0.15</v>
      </c>
      <c r="F28" s="112">
        <f>D28*E28</f>
        <v>-259019.4783175264</v>
      </c>
      <c r="J28" s="34"/>
      <c r="K28" s="120"/>
      <c r="L28" s="128"/>
      <c r="M28" s="128"/>
      <c r="N28" s="128"/>
      <c r="O28" s="128"/>
      <c r="P28" s="128"/>
      <c r="Q28" s="128"/>
      <c r="R28" s="130"/>
      <c r="S28" s="121"/>
    </row>
    <row r="29" spans="2:19" x14ac:dyDescent="0.45">
      <c r="B29" s="112">
        <v>10</v>
      </c>
      <c r="C29" s="112">
        <v>14</v>
      </c>
      <c r="D29" s="112">
        <v>-3153209.7561343829</v>
      </c>
      <c r="E29" s="134">
        <v>0.5</v>
      </c>
      <c r="F29" s="112">
        <f>D29*E29</f>
        <v>-1576604.8780671915</v>
      </c>
      <c r="J29" s="34"/>
      <c r="K29" s="120"/>
      <c r="L29" s="128"/>
      <c r="M29" s="128"/>
      <c r="N29" s="128"/>
      <c r="O29" s="128"/>
      <c r="P29" s="128"/>
      <c r="Q29" s="125" t="s">
        <v>120</v>
      </c>
      <c r="R29" s="129">
        <f>E20</f>
        <v>0.15</v>
      </c>
      <c r="S29" s="121">
        <f>D20</f>
        <v>43918426.9664445</v>
      </c>
    </row>
    <row r="30" spans="2:19" x14ac:dyDescent="0.45">
      <c r="B30" s="113"/>
      <c r="C30" s="113">
        <v>12</v>
      </c>
      <c r="D30" s="113">
        <v>-4579622.9901519241</v>
      </c>
      <c r="E30" s="135">
        <v>0.35</v>
      </c>
      <c r="F30" s="113">
        <f>D30*E30</f>
        <v>-1602868.0465531733</v>
      </c>
      <c r="J30" s="34"/>
      <c r="K30" s="120"/>
      <c r="L30" s="128"/>
      <c r="M30" s="130" t="s">
        <v>126</v>
      </c>
      <c r="N30" s="128"/>
      <c r="O30" s="128">
        <f>(S29*R29+R31*S31+R33*S33)</f>
        <v>35359947.562339246</v>
      </c>
      <c r="P30" s="128"/>
      <c r="Q30" s="128"/>
      <c r="R30" s="130"/>
      <c r="S30" s="121"/>
    </row>
    <row r="31" spans="2:19" x14ac:dyDescent="0.45">
      <c r="B31" s="131" t="s">
        <v>116</v>
      </c>
      <c r="C31" s="112"/>
      <c r="D31" s="112"/>
      <c r="E31" s="112"/>
      <c r="F31" s="112">
        <f>SUM(F28:F30)</f>
        <v>-3438492.402937891</v>
      </c>
      <c r="J31" s="34"/>
      <c r="K31" s="120"/>
      <c r="L31" s="128"/>
      <c r="M31" s="128"/>
      <c r="N31" s="116"/>
      <c r="O31" s="125" t="s">
        <v>114</v>
      </c>
      <c r="P31" s="128"/>
      <c r="Q31" s="125" t="s">
        <v>121</v>
      </c>
      <c r="R31" s="129">
        <f>E21</f>
        <v>0.5</v>
      </c>
      <c r="S31" s="121">
        <f>D21</f>
        <v>36786360.79635679</v>
      </c>
    </row>
    <row r="32" spans="2:19" x14ac:dyDescent="0.45">
      <c r="K32" s="120"/>
      <c r="L32" s="128"/>
      <c r="M32" s="128"/>
      <c r="N32" s="128"/>
      <c r="O32" s="128"/>
      <c r="P32" s="128"/>
      <c r="Q32" s="128"/>
      <c r="R32" s="130"/>
      <c r="S32" s="121"/>
    </row>
    <row r="33" spans="11:19" x14ac:dyDescent="0.45">
      <c r="K33" s="120"/>
      <c r="L33" s="128"/>
      <c r="M33" s="128"/>
      <c r="N33" s="128"/>
      <c r="O33" s="128"/>
      <c r="P33" s="128"/>
      <c r="Q33" s="125" t="s">
        <v>123</v>
      </c>
      <c r="R33" s="129">
        <f>E22</f>
        <v>0.35</v>
      </c>
      <c r="S33" s="121">
        <f>D22</f>
        <v>29654294.62626908</v>
      </c>
    </row>
    <row r="34" spans="11:19" x14ac:dyDescent="0.45">
      <c r="K34" s="120"/>
      <c r="L34" s="128"/>
      <c r="M34" s="128"/>
      <c r="N34" s="128"/>
      <c r="O34" s="128"/>
      <c r="P34" s="128"/>
      <c r="Q34" s="128"/>
      <c r="R34" s="130"/>
      <c r="S34" s="121"/>
    </row>
    <row r="35" spans="11:19" x14ac:dyDescent="0.45">
      <c r="K35" s="120"/>
      <c r="L35" s="128"/>
      <c r="M35" s="128"/>
      <c r="N35" s="128"/>
      <c r="O35" s="128"/>
      <c r="P35" s="128"/>
      <c r="Q35" s="128"/>
      <c r="R35" s="130"/>
      <c r="S35" s="121"/>
    </row>
    <row r="36" spans="11:19" x14ac:dyDescent="0.45">
      <c r="K36" s="120"/>
      <c r="L36" s="128"/>
      <c r="M36" s="130" t="s">
        <v>126</v>
      </c>
      <c r="N36" s="128"/>
      <c r="O36" s="128"/>
      <c r="P36" s="128"/>
      <c r="Q36" s="125" t="s">
        <v>120</v>
      </c>
      <c r="R36" s="129">
        <f>E28</f>
        <v>0.15</v>
      </c>
      <c r="S36" s="121">
        <f>D28</f>
        <v>-1726796.5221168427</v>
      </c>
    </row>
    <row r="37" spans="11:19" x14ac:dyDescent="0.45">
      <c r="K37" s="120"/>
      <c r="L37" s="128"/>
      <c r="M37" s="128"/>
      <c r="N37" s="128"/>
      <c r="O37" s="128">
        <f>(S36*R36+R38*S38+R40*S40)</f>
        <v>-3438492.402937891</v>
      </c>
      <c r="P37" s="128"/>
      <c r="Q37" s="128"/>
      <c r="R37" s="130"/>
      <c r="S37" s="121"/>
    </row>
    <row r="38" spans="11:19" x14ac:dyDescent="0.45">
      <c r="K38" s="120"/>
      <c r="L38" s="128"/>
      <c r="M38" s="128"/>
      <c r="N38" s="116"/>
      <c r="O38" s="125" t="s">
        <v>113</v>
      </c>
      <c r="P38" s="128"/>
      <c r="Q38" s="125" t="s">
        <v>121</v>
      </c>
      <c r="R38" s="129">
        <f>E29</f>
        <v>0.5</v>
      </c>
      <c r="S38" s="121">
        <f>D29</f>
        <v>-3153209.7561343829</v>
      </c>
    </row>
    <row r="39" spans="11:19" x14ac:dyDescent="0.45">
      <c r="K39" s="120"/>
      <c r="L39" s="128"/>
      <c r="M39" s="128"/>
      <c r="N39" s="128"/>
      <c r="O39" s="128"/>
      <c r="P39" s="128"/>
      <c r="Q39" s="128"/>
      <c r="R39" s="130"/>
      <c r="S39" s="121"/>
    </row>
    <row r="40" spans="11:19" x14ac:dyDescent="0.45">
      <c r="K40" s="120"/>
      <c r="L40" s="128"/>
      <c r="M40" s="128"/>
      <c r="N40" s="128"/>
      <c r="O40" s="128"/>
      <c r="P40" s="128"/>
      <c r="Q40" s="125" t="s">
        <v>123</v>
      </c>
      <c r="R40" s="129">
        <f>E30</f>
        <v>0.35</v>
      </c>
      <c r="S40" s="121">
        <f>D30</f>
        <v>-4579622.9901519241</v>
      </c>
    </row>
    <row r="41" spans="11:19" x14ac:dyDescent="0.45">
      <c r="K41" s="122"/>
      <c r="L41" s="123"/>
      <c r="M41" s="123"/>
      <c r="N41" s="123"/>
      <c r="O41" s="123"/>
      <c r="P41" s="123"/>
      <c r="Q41" s="123"/>
      <c r="R41" s="141"/>
      <c r="S41" s="124"/>
    </row>
    <row r="50" spans="1:19" x14ac:dyDescent="0.45">
      <c r="K50" s="112"/>
      <c r="L50" s="128"/>
      <c r="M50" s="34"/>
      <c r="N50" s="34"/>
      <c r="O50" s="34"/>
      <c r="P50" s="34"/>
      <c r="Q50" s="34"/>
      <c r="R50" s="34"/>
      <c r="S50" s="34"/>
    </row>
    <row r="51" spans="1:19" x14ac:dyDescent="0.45">
      <c r="A51" s="112"/>
      <c r="K51" s="112"/>
      <c r="L51" s="128"/>
      <c r="M51" s="34"/>
      <c r="N51" s="34"/>
      <c r="O51" s="34"/>
      <c r="P51" s="34"/>
      <c r="Q51" s="34"/>
      <c r="R51" s="34"/>
      <c r="S51" s="34"/>
    </row>
    <row r="52" spans="1:19" x14ac:dyDescent="0.45">
      <c r="A52" s="112"/>
      <c r="K52" s="112"/>
      <c r="L52" s="128"/>
      <c r="M52" s="34"/>
      <c r="N52" s="34"/>
      <c r="O52" s="34"/>
      <c r="P52" s="34"/>
      <c r="Q52" s="34"/>
      <c r="R52" s="34"/>
      <c r="S52" s="34"/>
    </row>
    <row r="53" spans="1:19" x14ac:dyDescent="0.45">
      <c r="A53" s="112"/>
      <c r="K53" s="112"/>
      <c r="L53" s="128"/>
      <c r="M53" s="34"/>
      <c r="N53" s="34"/>
      <c r="O53" s="34"/>
      <c r="P53" s="34"/>
      <c r="Q53" s="34"/>
      <c r="R53" s="34"/>
      <c r="S53" s="34"/>
    </row>
    <row r="54" spans="1:19" x14ac:dyDescent="0.45">
      <c r="A54" s="112"/>
      <c r="K54" s="112"/>
      <c r="L54" s="128"/>
      <c r="M54" s="34"/>
      <c r="N54" s="34"/>
      <c r="O54" s="34"/>
      <c r="P54" s="34"/>
      <c r="Q54" s="34"/>
      <c r="R54" s="34"/>
      <c r="S54" s="34"/>
    </row>
    <row r="55" spans="1:19" x14ac:dyDescent="0.45">
      <c r="A55" s="112"/>
      <c r="K55" s="112"/>
      <c r="L55" s="128"/>
      <c r="M55" s="34"/>
      <c r="N55" s="34"/>
      <c r="O55" s="34"/>
      <c r="P55" s="34"/>
      <c r="Q55" s="34"/>
      <c r="R55" s="34"/>
      <c r="S55" s="34"/>
    </row>
    <row r="56" spans="1:19" x14ac:dyDescent="0.45">
      <c r="A56" s="112"/>
      <c r="K56" s="112"/>
      <c r="L56" s="128"/>
      <c r="M56" s="34"/>
      <c r="N56" s="34"/>
      <c r="O56" s="34"/>
      <c r="P56" s="34"/>
      <c r="Q56" s="34"/>
      <c r="R56" s="34"/>
      <c r="S56" s="34"/>
    </row>
    <row r="57" spans="1:19" x14ac:dyDescent="0.45">
      <c r="A57" s="112"/>
      <c r="K57" s="112"/>
      <c r="L57" s="128"/>
      <c r="M57" s="34"/>
      <c r="N57" s="34"/>
      <c r="O57" s="34"/>
      <c r="P57" s="34"/>
      <c r="Q57" s="34"/>
      <c r="R57" s="34"/>
      <c r="S57" s="34"/>
    </row>
    <row r="58" spans="1:19" x14ac:dyDescent="0.45">
      <c r="A58" s="112"/>
      <c r="K58" s="112"/>
      <c r="L58" s="128"/>
      <c r="M58" s="34"/>
      <c r="N58" s="34"/>
      <c r="O58" s="34"/>
      <c r="P58" s="34"/>
      <c r="Q58" s="34"/>
      <c r="R58" s="34"/>
      <c r="S58" s="34"/>
    </row>
    <row r="59" spans="1:19" x14ac:dyDescent="0.45">
      <c r="A59" s="112"/>
      <c r="K59" s="112"/>
      <c r="L59" s="128"/>
      <c r="M59" s="34"/>
      <c r="N59" s="34"/>
      <c r="O59" s="34"/>
      <c r="P59" s="34"/>
      <c r="Q59" s="34"/>
      <c r="R59" s="34"/>
      <c r="S59" s="34"/>
    </row>
    <row r="60" spans="1:19" x14ac:dyDescent="0.45">
      <c r="A60" s="112"/>
      <c r="K60" s="112"/>
      <c r="L60" s="128"/>
      <c r="M60" s="34"/>
      <c r="N60" s="34"/>
      <c r="O60" s="34"/>
      <c r="P60" s="34"/>
      <c r="Q60" s="34"/>
      <c r="R60" s="34"/>
      <c r="S60" s="34"/>
    </row>
    <row r="61" spans="1:19" x14ac:dyDescent="0.45">
      <c r="A61" s="112"/>
      <c r="K61" s="112"/>
      <c r="L61" s="128"/>
      <c r="M61" s="34"/>
      <c r="N61" s="34"/>
      <c r="O61" s="34"/>
      <c r="P61" s="34"/>
      <c r="Q61" s="34"/>
      <c r="R61" s="34"/>
      <c r="S61" s="34"/>
    </row>
    <row r="62" spans="1:19" x14ac:dyDescent="0.45">
      <c r="A62" s="112"/>
      <c r="K62" s="112"/>
      <c r="L62" s="128"/>
      <c r="M62" s="34"/>
      <c r="N62" s="34"/>
      <c r="O62" s="34"/>
      <c r="P62" s="34"/>
      <c r="Q62" s="34"/>
      <c r="R62" s="34"/>
      <c r="S62" s="34"/>
    </row>
    <row r="63" spans="1:19" x14ac:dyDescent="0.45">
      <c r="A63" s="112"/>
      <c r="K63" s="112"/>
      <c r="L63" s="128"/>
      <c r="M63" s="34"/>
      <c r="N63" s="34"/>
      <c r="O63" s="34"/>
      <c r="P63" s="34"/>
      <c r="Q63" s="34"/>
      <c r="R63" s="34"/>
      <c r="S63" s="34"/>
    </row>
    <row r="64" spans="1:19" x14ac:dyDescent="0.45">
      <c r="A64" s="112"/>
      <c r="K64" s="112"/>
      <c r="L64" s="128"/>
      <c r="M64" s="34"/>
      <c r="N64" s="34"/>
      <c r="O64" s="34"/>
      <c r="P64" s="34"/>
      <c r="Q64" s="34"/>
      <c r="R64" s="34"/>
      <c r="S64" s="34"/>
    </row>
    <row r="65" spans="1:19" x14ac:dyDescent="0.45">
      <c r="A65" s="112"/>
      <c r="K65" s="112"/>
      <c r="L65" s="128"/>
      <c r="M65" s="34"/>
      <c r="N65" s="34"/>
      <c r="O65" s="34"/>
      <c r="P65" s="34"/>
      <c r="Q65" s="34"/>
      <c r="R65" s="34"/>
      <c r="S65" s="34"/>
    </row>
    <row r="66" spans="1:19" x14ac:dyDescent="0.45">
      <c r="A66" s="112"/>
      <c r="K66" s="112"/>
      <c r="L66" s="128"/>
      <c r="M66" s="34"/>
      <c r="N66" s="34"/>
      <c r="O66" s="34"/>
      <c r="P66" s="34"/>
      <c r="Q66" s="34"/>
      <c r="R66" s="34"/>
      <c r="S66" s="34"/>
    </row>
    <row r="67" spans="1:19" x14ac:dyDescent="0.45">
      <c r="A67" s="112"/>
      <c r="K67" s="112"/>
      <c r="L67" s="128"/>
      <c r="M67" s="34"/>
      <c r="N67" s="34"/>
      <c r="O67" s="34"/>
      <c r="P67" s="34"/>
      <c r="Q67" s="34"/>
      <c r="R67" s="34"/>
      <c r="S67" s="34"/>
    </row>
    <row r="68" spans="1:19" x14ac:dyDescent="0.45">
      <c r="A68" s="112"/>
      <c r="K68" s="112"/>
      <c r="L68" s="128"/>
      <c r="M68" s="34"/>
      <c r="N68" s="34"/>
      <c r="O68" s="34"/>
      <c r="P68" s="34"/>
      <c r="Q68" s="34"/>
      <c r="R68" s="34"/>
      <c r="S68" s="34"/>
    </row>
    <row r="69" spans="1:19" x14ac:dyDescent="0.45">
      <c r="A69" s="112"/>
      <c r="K69" s="112"/>
      <c r="L69" s="128"/>
      <c r="M69" s="34"/>
      <c r="N69" s="34"/>
      <c r="O69" s="34"/>
      <c r="P69" s="34"/>
      <c r="Q69" s="34"/>
      <c r="R69" s="34"/>
      <c r="S69" s="34"/>
    </row>
    <row r="70" spans="1:19" x14ac:dyDescent="0.45">
      <c r="A70" s="112"/>
      <c r="K70" s="112"/>
      <c r="L70" s="128"/>
      <c r="M70" s="34"/>
      <c r="N70" s="34"/>
      <c r="O70" s="34"/>
      <c r="P70" s="34"/>
      <c r="Q70" s="34"/>
      <c r="R70" s="34"/>
      <c r="S70" s="34"/>
    </row>
    <row r="71" spans="1:19" x14ac:dyDescent="0.45">
      <c r="A71" s="112"/>
      <c r="K71" s="112"/>
      <c r="L71" s="128"/>
      <c r="M71" s="34"/>
      <c r="N71" s="34"/>
      <c r="O71" s="34"/>
      <c r="P71" s="34"/>
      <c r="Q71" s="34"/>
      <c r="R71" s="34"/>
      <c r="S71" s="34"/>
    </row>
    <row r="72" spans="1:19" x14ac:dyDescent="0.45">
      <c r="A72" s="112"/>
      <c r="K72" s="112"/>
      <c r="L72" s="128"/>
      <c r="M72" s="34"/>
      <c r="N72" s="34"/>
      <c r="O72" s="34"/>
      <c r="P72" s="34"/>
      <c r="Q72" s="34"/>
      <c r="R72" s="34"/>
      <c r="S72" s="34"/>
    </row>
    <row r="73" spans="1:19" x14ac:dyDescent="0.45">
      <c r="L73" s="128"/>
      <c r="M73" s="34"/>
      <c r="N73" s="34"/>
      <c r="O73" s="34"/>
      <c r="P73" s="34"/>
      <c r="Q73" s="34"/>
      <c r="R73" s="34"/>
      <c r="S73" s="34"/>
    </row>
    <row r="74" spans="1:19" x14ac:dyDescent="0.45">
      <c r="L74" s="128"/>
      <c r="M74" s="34"/>
      <c r="N74" s="34"/>
      <c r="O74" s="34"/>
      <c r="P74" s="34"/>
      <c r="Q74" s="34"/>
      <c r="R74" s="34"/>
      <c r="S74" s="34"/>
    </row>
    <row r="75" spans="1:19" x14ac:dyDescent="0.4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128"/>
      <c r="M75" s="34"/>
      <c r="N75" s="34"/>
      <c r="O75" s="34"/>
      <c r="P75" s="34"/>
      <c r="Q75" s="34"/>
      <c r="R75" s="34"/>
      <c r="S75" s="34"/>
    </row>
    <row r="76" spans="1:19" x14ac:dyDescent="0.4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128"/>
      <c r="M76" s="34"/>
      <c r="N76" s="34"/>
      <c r="O76" s="34"/>
      <c r="P76" s="34"/>
      <c r="Q76" s="34"/>
      <c r="R76" s="34"/>
      <c r="S76" s="34"/>
    </row>
    <row r="77" spans="1:19" x14ac:dyDescent="0.4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128"/>
      <c r="M77" s="34"/>
      <c r="N77" s="34"/>
      <c r="O77" s="34"/>
      <c r="P77" s="34"/>
      <c r="Q77" s="34"/>
      <c r="R77" s="34"/>
      <c r="S77" s="34"/>
    </row>
    <row r="79" spans="1:19" x14ac:dyDescent="0.4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M79" s="34"/>
      <c r="N79" s="34"/>
      <c r="O79" s="34"/>
      <c r="P79" s="34"/>
      <c r="Q79" s="34"/>
      <c r="R79" s="34"/>
      <c r="S79" s="34"/>
    </row>
    <row r="82" spans="12:12" s="34" customFormat="1" x14ac:dyDescent="0.45">
      <c r="L82" s="112"/>
    </row>
    <row r="83" spans="12:12" s="34" customFormat="1" x14ac:dyDescent="0.45">
      <c r="L83" s="112"/>
    </row>
    <row r="84" spans="12:12" s="34" customFormat="1" x14ac:dyDescent="0.45">
      <c r="L84" s="112"/>
    </row>
    <row r="85" spans="12:12" s="34" customFormat="1" x14ac:dyDescent="0.45">
      <c r="L85" s="112"/>
    </row>
    <row r="86" spans="12:12" s="34" customFormat="1" x14ac:dyDescent="0.45">
      <c r="L86" s="112"/>
    </row>
    <row r="87" spans="12:12" s="34" customFormat="1" x14ac:dyDescent="0.45">
      <c r="L87" s="112"/>
    </row>
    <row r="88" spans="12:12" s="34" customFormat="1" x14ac:dyDescent="0.45">
      <c r="L88" s="112"/>
    </row>
    <row r="89" spans="12:12" s="34" customFormat="1" x14ac:dyDescent="0.45">
      <c r="L89" s="112"/>
    </row>
    <row r="90" spans="12:12" s="34" customFormat="1" x14ac:dyDescent="0.45">
      <c r="L90" s="112"/>
    </row>
    <row r="91" spans="12:12" s="34" customFormat="1" x14ac:dyDescent="0.45">
      <c r="L91" s="112"/>
    </row>
    <row r="92" spans="12:12" s="34" customFormat="1" x14ac:dyDescent="0.45">
      <c r="L92" s="112"/>
    </row>
    <row r="93" spans="12:12" s="34" customFormat="1" x14ac:dyDescent="0.45">
      <c r="L93" s="112"/>
    </row>
    <row r="94" spans="12:12" s="34" customFormat="1" x14ac:dyDescent="0.45">
      <c r="L94" s="112"/>
    </row>
    <row r="95" spans="12:12" s="34" customFormat="1" x14ac:dyDescent="0.45">
      <c r="L95" s="112"/>
    </row>
    <row r="96" spans="12:12" s="34" customFormat="1" x14ac:dyDescent="0.45">
      <c r="L96" s="112"/>
    </row>
    <row r="97" spans="12:12" s="34" customFormat="1" x14ac:dyDescent="0.45">
      <c r="L97" s="112"/>
    </row>
    <row r="98" spans="12:12" s="34" customFormat="1" x14ac:dyDescent="0.45">
      <c r="L98" s="112"/>
    </row>
    <row r="99" spans="12:12" s="34" customFormat="1" x14ac:dyDescent="0.45">
      <c r="L99" s="112"/>
    </row>
    <row r="100" spans="12:12" s="34" customFormat="1" x14ac:dyDescent="0.45">
      <c r="L100" s="112"/>
    </row>
    <row r="101" spans="12:12" s="34" customFormat="1" x14ac:dyDescent="0.45">
      <c r="L101" s="112"/>
    </row>
    <row r="102" spans="12:12" s="34" customFormat="1" x14ac:dyDescent="0.45">
      <c r="L102" s="112"/>
    </row>
    <row r="103" spans="12:12" s="34" customFormat="1" x14ac:dyDescent="0.45">
      <c r="L103" s="112"/>
    </row>
    <row r="104" spans="12:12" s="34" customFormat="1" x14ac:dyDescent="0.45">
      <c r="L104" s="112"/>
    </row>
    <row r="105" spans="12:12" s="34" customFormat="1" x14ac:dyDescent="0.45">
      <c r="L105" s="112"/>
    </row>
    <row r="106" spans="12:12" s="34" customFormat="1" x14ac:dyDescent="0.45">
      <c r="L106" s="112"/>
    </row>
    <row r="107" spans="12:12" s="34" customFormat="1" x14ac:dyDescent="0.45">
      <c r="L107" s="112"/>
    </row>
    <row r="108" spans="12:12" s="34" customFormat="1" x14ac:dyDescent="0.45">
      <c r="L108" s="112"/>
    </row>
    <row r="109" spans="12:12" s="34" customFormat="1" x14ac:dyDescent="0.45">
      <c r="L109" s="112"/>
    </row>
    <row r="110" spans="12:12" s="34" customFormat="1" x14ac:dyDescent="0.45">
      <c r="L110" s="112"/>
    </row>
    <row r="111" spans="12:12" s="34" customFormat="1" x14ac:dyDescent="0.45">
      <c r="L111" s="112"/>
    </row>
    <row r="112" spans="12:12" s="34" customFormat="1" x14ac:dyDescent="0.45">
      <c r="L112" s="112"/>
    </row>
    <row r="113" spans="1:21" x14ac:dyDescent="0.4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112"/>
      <c r="M113" s="60"/>
      <c r="N113" s="60"/>
      <c r="O113" s="60"/>
      <c r="P113" s="60"/>
      <c r="Q113" s="60"/>
      <c r="R113" s="60"/>
      <c r="S113" s="60"/>
      <c r="T113" s="32"/>
      <c r="U113" s="32"/>
    </row>
  </sheetData>
  <mergeCells count="5">
    <mergeCell ref="B18:F18"/>
    <mergeCell ref="B2:F2"/>
    <mergeCell ref="B10:F10"/>
    <mergeCell ref="B26:F26"/>
    <mergeCell ref="K11:S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J88"/>
  <sheetViews>
    <sheetView zoomScale="80" zoomScaleNormal="80" workbookViewId="0">
      <selection activeCell="C22" sqref="C22"/>
    </sheetView>
  </sheetViews>
  <sheetFormatPr defaultColWidth="10.640625" defaultRowHeight="15.9" x14ac:dyDescent="0.45"/>
  <cols>
    <col min="1" max="1" width="10.640625" style="34"/>
    <col min="2" max="2" width="12.5" style="39" bestFit="1" customWidth="1"/>
    <col min="3" max="3" width="12.640625" style="39" bestFit="1" customWidth="1"/>
    <col min="4" max="4" width="14.140625" style="39" customWidth="1"/>
    <col min="5" max="5" width="15" style="39" bestFit="1" customWidth="1"/>
    <col min="6" max="30" width="13.140625" style="39" bestFit="1" customWidth="1"/>
    <col min="31" max="31" width="12.640625" style="39" bestFit="1" customWidth="1"/>
    <col min="32" max="36" width="10.640625" style="39"/>
    <col min="37" max="16384" width="10.640625" style="34"/>
  </cols>
  <sheetData>
    <row r="2" spans="2:8" x14ac:dyDescent="0.45">
      <c r="B2" s="74" t="s">
        <v>127</v>
      </c>
      <c r="C2" s="146" t="s">
        <v>128</v>
      </c>
      <c r="D2" s="146"/>
      <c r="E2" s="146"/>
      <c r="F2" s="146" t="s">
        <v>129</v>
      </c>
      <c r="G2" s="146"/>
      <c r="H2" s="146"/>
    </row>
    <row r="3" spans="2:8" x14ac:dyDescent="0.45">
      <c r="B3" s="73"/>
      <c r="C3" s="73" t="s">
        <v>130</v>
      </c>
      <c r="D3" s="75" t="s">
        <v>131</v>
      </c>
      <c r="E3" s="75" t="s">
        <v>132</v>
      </c>
      <c r="F3" s="73" t="s">
        <v>133</v>
      </c>
      <c r="G3" s="75" t="s">
        <v>131</v>
      </c>
      <c r="H3" s="75" t="s">
        <v>134</v>
      </c>
    </row>
    <row r="4" spans="2:8" x14ac:dyDescent="0.45">
      <c r="B4" s="73" t="s">
        <v>135</v>
      </c>
      <c r="C4" s="39">
        <v>4994842</v>
      </c>
      <c r="D4" s="69">
        <f t="shared" ref="D4:D19" si="0">C4*(1+$C$22)</f>
        <v>4495357.8</v>
      </c>
      <c r="E4" s="69">
        <v>2444871</v>
      </c>
      <c r="F4" s="70">
        <v>16.053999999999998</v>
      </c>
      <c r="G4" s="71">
        <f>F4*(1+$C$22)</f>
        <v>14.448599999999999</v>
      </c>
      <c r="H4" s="71">
        <v>11.032</v>
      </c>
    </row>
    <row r="5" spans="2:8" x14ac:dyDescent="0.45">
      <c r="B5" s="73" t="s">
        <v>136</v>
      </c>
      <c r="C5" s="39">
        <v>349744</v>
      </c>
      <c r="D5" s="69">
        <f t="shared" si="0"/>
        <v>314769.60000000003</v>
      </c>
      <c r="E5" s="69">
        <v>177975</v>
      </c>
      <c r="F5" s="70">
        <v>34.720999999999997</v>
      </c>
      <c r="G5" s="71">
        <f>F5*(1+$C$22)</f>
        <v>31.248899999999999</v>
      </c>
      <c r="H5" s="71">
        <v>15.882999999999999</v>
      </c>
    </row>
    <row r="6" spans="2:8" x14ac:dyDescent="0.45">
      <c r="B6" s="73" t="s">
        <v>137</v>
      </c>
      <c r="C6" s="39">
        <v>295101</v>
      </c>
      <c r="D6" s="69">
        <f t="shared" si="0"/>
        <v>265590.90000000002</v>
      </c>
      <c r="E6" s="69">
        <v>92296</v>
      </c>
      <c r="F6" s="70">
        <v>27.379000000000001</v>
      </c>
      <c r="G6" s="71">
        <f>F6*(1+$C$22)</f>
        <v>24.641100000000002</v>
      </c>
      <c r="H6" s="71">
        <v>15.257</v>
      </c>
    </row>
    <row r="7" spans="2:8" x14ac:dyDescent="0.45">
      <c r="B7" s="73" t="s">
        <v>138</v>
      </c>
      <c r="C7" s="39">
        <v>62030</v>
      </c>
      <c r="D7" s="69">
        <f t="shared" si="0"/>
        <v>55827</v>
      </c>
      <c r="E7" s="69">
        <v>6712</v>
      </c>
      <c r="F7" s="70">
        <v>20.443999999999999</v>
      </c>
      <c r="G7" s="71">
        <f>F7*(1+$C$22)</f>
        <v>18.3996</v>
      </c>
      <c r="H7" s="71">
        <v>12.521000000000001</v>
      </c>
    </row>
    <row r="8" spans="2:8" x14ac:dyDescent="0.45">
      <c r="B8" s="73" t="s">
        <v>139</v>
      </c>
      <c r="C8" s="39">
        <v>755133</v>
      </c>
      <c r="D8" s="69">
        <f t="shared" si="0"/>
        <v>679619.70000000007</v>
      </c>
      <c r="E8" s="69">
        <v>1865</v>
      </c>
      <c r="F8" s="70">
        <v>22.635999999999999</v>
      </c>
      <c r="G8" s="71">
        <f>F8*(1+$C$22)</f>
        <v>20.372399999999999</v>
      </c>
      <c r="H8" s="71">
        <v>6.5</v>
      </c>
    </row>
    <row r="9" spans="2:8" x14ac:dyDescent="0.45">
      <c r="B9" s="23" t="s">
        <v>140</v>
      </c>
      <c r="C9" s="39">
        <v>1041921</v>
      </c>
      <c r="D9" s="69">
        <f t="shared" si="0"/>
        <v>937728.9</v>
      </c>
      <c r="E9" s="69">
        <v>40605</v>
      </c>
      <c r="F9" s="70">
        <v>21.488</v>
      </c>
      <c r="G9" s="71">
        <v>17.228999999999999</v>
      </c>
      <c r="H9" s="71">
        <v>17.228999999999999</v>
      </c>
    </row>
    <row r="10" spans="2:8" x14ac:dyDescent="0.45">
      <c r="B10" s="23" t="s">
        <v>141</v>
      </c>
      <c r="C10" s="39">
        <v>27291</v>
      </c>
      <c r="D10" s="69">
        <f t="shared" si="0"/>
        <v>24561.9</v>
      </c>
      <c r="E10" s="69">
        <v>12009</v>
      </c>
      <c r="F10" s="70">
        <v>17.350999999999999</v>
      </c>
      <c r="G10" s="71">
        <f t="shared" ref="G10:G19" si="1">F10*(1+$C$22)</f>
        <v>15.6159</v>
      </c>
      <c r="H10" s="71">
        <v>10.263</v>
      </c>
    </row>
    <row r="11" spans="2:8" x14ac:dyDescent="0.45">
      <c r="B11" s="23" t="s">
        <v>142</v>
      </c>
      <c r="C11" s="39">
        <v>6870</v>
      </c>
      <c r="D11" s="69">
        <f t="shared" si="0"/>
        <v>6183</v>
      </c>
      <c r="E11" s="69">
        <v>654</v>
      </c>
      <c r="F11" s="70">
        <v>21.367999999999999</v>
      </c>
      <c r="G11" s="71">
        <f t="shared" si="1"/>
        <v>19.231199999999998</v>
      </c>
      <c r="H11" s="71">
        <v>5.3760000000000003</v>
      </c>
    </row>
    <row r="12" spans="2:8" x14ac:dyDescent="0.45">
      <c r="B12" s="23" t="s">
        <v>143</v>
      </c>
      <c r="C12" s="39">
        <v>3540</v>
      </c>
      <c r="D12" s="69">
        <f t="shared" si="0"/>
        <v>3186</v>
      </c>
      <c r="E12" s="69">
        <v>659</v>
      </c>
      <c r="F12" s="70">
        <v>56.777999999999999</v>
      </c>
      <c r="G12" s="71">
        <f t="shared" si="1"/>
        <v>51.100200000000001</v>
      </c>
      <c r="H12" s="71">
        <v>27.632999999999999</v>
      </c>
    </row>
    <row r="13" spans="2:8" x14ac:dyDescent="0.45">
      <c r="B13" s="23" t="s">
        <v>144</v>
      </c>
      <c r="C13" s="39">
        <v>160011</v>
      </c>
      <c r="D13" s="69">
        <f t="shared" si="0"/>
        <v>144009.9</v>
      </c>
      <c r="E13" s="69">
        <v>56542</v>
      </c>
      <c r="F13" s="70">
        <v>45.369</v>
      </c>
      <c r="G13" s="71">
        <f t="shared" si="1"/>
        <v>40.832100000000004</v>
      </c>
      <c r="H13" s="71">
        <v>31.416</v>
      </c>
    </row>
    <row r="14" spans="2:8" x14ac:dyDescent="0.45">
      <c r="B14" s="23" t="s">
        <v>145</v>
      </c>
      <c r="C14" s="39">
        <v>2312</v>
      </c>
      <c r="D14" s="69">
        <f t="shared" si="0"/>
        <v>2080.8000000000002</v>
      </c>
      <c r="E14" s="69">
        <v>185</v>
      </c>
      <c r="F14" s="70">
        <v>16.89</v>
      </c>
      <c r="G14" s="71">
        <f t="shared" si="1"/>
        <v>15.201000000000001</v>
      </c>
      <c r="H14" s="71">
        <v>5.6390000000000002</v>
      </c>
    </row>
    <row r="15" spans="2:8" x14ac:dyDescent="0.45">
      <c r="B15" s="23" t="s">
        <v>146</v>
      </c>
      <c r="C15" s="39">
        <v>191407</v>
      </c>
      <c r="D15" s="69">
        <f t="shared" si="0"/>
        <v>172266.30000000002</v>
      </c>
      <c r="E15" s="69">
        <v>314</v>
      </c>
      <c r="F15" s="70">
        <v>7.1470000000000002</v>
      </c>
      <c r="G15" s="71">
        <f t="shared" si="1"/>
        <v>6.4323000000000006</v>
      </c>
      <c r="H15" s="71">
        <v>2</v>
      </c>
    </row>
    <row r="16" spans="2:8" x14ac:dyDescent="0.45">
      <c r="B16" s="23" t="s">
        <v>147</v>
      </c>
      <c r="C16" s="39">
        <v>1232</v>
      </c>
      <c r="D16" s="69">
        <f t="shared" si="0"/>
        <v>1108.8</v>
      </c>
      <c r="E16" s="69">
        <v>103</v>
      </c>
      <c r="F16" s="70">
        <v>79.674999999999997</v>
      </c>
      <c r="G16" s="71">
        <f t="shared" si="1"/>
        <v>71.707499999999996</v>
      </c>
      <c r="H16" s="71">
        <v>28.423999999999999</v>
      </c>
    </row>
    <row r="17" spans="2:28" x14ac:dyDescent="0.45">
      <c r="B17" s="23" t="s">
        <v>148</v>
      </c>
      <c r="C17" s="39">
        <v>84402</v>
      </c>
      <c r="D17" s="69">
        <f t="shared" si="0"/>
        <v>75961.8</v>
      </c>
      <c r="E17" s="69">
        <v>16220</v>
      </c>
      <c r="F17" s="70">
        <v>17.689</v>
      </c>
      <c r="G17" s="71">
        <f t="shared" si="1"/>
        <v>15.9201</v>
      </c>
      <c r="H17" s="71">
        <v>10.791</v>
      </c>
    </row>
    <row r="18" spans="2:28" x14ac:dyDescent="0.45">
      <c r="B18" s="23" t="s">
        <v>149</v>
      </c>
      <c r="C18" s="39">
        <v>2201</v>
      </c>
      <c r="D18" s="69">
        <f t="shared" si="0"/>
        <v>1980.9</v>
      </c>
      <c r="E18" s="69">
        <v>51</v>
      </c>
      <c r="F18" s="70">
        <v>13.021000000000001</v>
      </c>
      <c r="G18" s="71">
        <f t="shared" si="1"/>
        <v>11.718900000000001</v>
      </c>
      <c r="H18" s="71">
        <v>8.4120000000000008</v>
      </c>
    </row>
    <row r="19" spans="2:28" x14ac:dyDescent="0.45">
      <c r="B19" s="23" t="s">
        <v>150</v>
      </c>
      <c r="C19" s="39">
        <v>48472</v>
      </c>
      <c r="D19" s="69">
        <f t="shared" si="0"/>
        <v>43624.800000000003</v>
      </c>
      <c r="E19" s="69">
        <v>562</v>
      </c>
      <c r="F19" s="70">
        <v>24.541</v>
      </c>
      <c r="G19" s="71">
        <f t="shared" si="1"/>
        <v>22.0869</v>
      </c>
      <c r="H19" s="71">
        <v>1</v>
      </c>
    </row>
    <row r="20" spans="2:28" x14ac:dyDescent="0.45">
      <c r="B20" s="73"/>
    </row>
    <row r="21" spans="2:28" x14ac:dyDescent="0.45">
      <c r="B21" s="73"/>
      <c r="C21" s="47"/>
    </row>
    <row r="22" spans="2:28" x14ac:dyDescent="0.45">
      <c r="B22" s="73" t="s">
        <v>151</v>
      </c>
      <c r="C22" s="41">
        <v>-0.1</v>
      </c>
    </row>
    <row r="25" spans="2:28" x14ac:dyDescent="0.45">
      <c r="B25" s="72" t="s">
        <v>37</v>
      </c>
      <c r="C25" s="72">
        <v>0</v>
      </c>
      <c r="D25" s="72">
        <v>1</v>
      </c>
      <c r="E25" s="72">
        <v>2</v>
      </c>
      <c r="F25" s="72">
        <v>3</v>
      </c>
      <c r="G25" s="72">
        <v>4</v>
      </c>
      <c r="H25" s="72">
        <v>5</v>
      </c>
      <c r="I25" s="72">
        <v>6</v>
      </c>
      <c r="J25" s="72">
        <v>7</v>
      </c>
      <c r="K25" s="72">
        <v>8</v>
      </c>
      <c r="L25" s="72">
        <v>9</v>
      </c>
      <c r="M25" s="72">
        <v>10</v>
      </c>
      <c r="N25" s="72">
        <v>11</v>
      </c>
      <c r="O25" s="72">
        <v>12</v>
      </c>
      <c r="P25" s="72">
        <v>13</v>
      </c>
      <c r="Q25" s="72">
        <v>14</v>
      </c>
      <c r="R25" s="72">
        <v>15</v>
      </c>
      <c r="S25" s="72">
        <v>16</v>
      </c>
      <c r="T25" s="72">
        <v>17</v>
      </c>
      <c r="U25" s="72">
        <v>18</v>
      </c>
      <c r="V25" s="72">
        <v>19</v>
      </c>
      <c r="W25" s="72">
        <v>20</v>
      </c>
      <c r="X25" s="72">
        <v>21</v>
      </c>
      <c r="Y25" s="72">
        <v>22</v>
      </c>
      <c r="Z25" s="72">
        <v>23</v>
      </c>
      <c r="AA25" s="72">
        <v>24</v>
      </c>
      <c r="AB25" s="72">
        <v>25</v>
      </c>
    </row>
    <row r="26" spans="2:28" x14ac:dyDescent="0.4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2:28" x14ac:dyDescent="0.45">
      <c r="B27" s="73" t="s">
        <v>135</v>
      </c>
      <c r="D27" s="39">
        <f t="shared" ref="D27:AB27" ca="1" si="2">RANDBETWEEN($E4,$D4)*(RANDBETWEEN($H4,$G4))*(1+$C$21)</f>
        <v>46094888</v>
      </c>
      <c r="E27" s="39">
        <f t="shared" ca="1" si="2"/>
        <v>44056824</v>
      </c>
      <c r="F27" s="39">
        <f t="shared" ca="1" si="2"/>
        <v>56713426</v>
      </c>
      <c r="G27" s="39">
        <f t="shared" ca="1" si="2"/>
        <v>34561114</v>
      </c>
      <c r="H27" s="39">
        <f t="shared" ca="1" si="2"/>
        <v>41261909</v>
      </c>
      <c r="I27" s="39">
        <f t="shared" ca="1" si="2"/>
        <v>29384376</v>
      </c>
      <c r="J27" s="39">
        <f t="shared" ca="1" si="2"/>
        <v>41643017</v>
      </c>
      <c r="K27" s="39">
        <f t="shared" ca="1" si="2"/>
        <v>50939084</v>
      </c>
      <c r="L27" s="39">
        <f t="shared" ca="1" si="2"/>
        <v>62592726</v>
      </c>
      <c r="M27" s="39">
        <f t="shared" ca="1" si="2"/>
        <v>49114828</v>
      </c>
      <c r="N27" s="39">
        <f t="shared" ca="1" si="2"/>
        <v>41297776</v>
      </c>
      <c r="O27" s="39">
        <f t="shared" ca="1" si="2"/>
        <v>48359610</v>
      </c>
      <c r="P27" s="39">
        <f t="shared" ca="1" si="2"/>
        <v>49960846</v>
      </c>
      <c r="Q27" s="39">
        <f t="shared" ca="1" si="2"/>
        <v>32179277</v>
      </c>
      <c r="R27" s="39">
        <f t="shared" ca="1" si="2"/>
        <v>31795812</v>
      </c>
      <c r="S27" s="39">
        <f t="shared" ca="1" si="2"/>
        <v>50377416</v>
      </c>
      <c r="T27" s="39">
        <f t="shared" ca="1" si="2"/>
        <v>33495787</v>
      </c>
      <c r="U27" s="39">
        <f t="shared" ca="1" si="2"/>
        <v>33482371</v>
      </c>
      <c r="V27" s="39">
        <f t="shared" ca="1" si="2"/>
        <v>40813066</v>
      </c>
      <c r="W27" s="39">
        <f t="shared" ca="1" si="2"/>
        <v>48247990</v>
      </c>
      <c r="X27" s="39">
        <f t="shared" ca="1" si="2"/>
        <v>51463176</v>
      </c>
      <c r="Y27" s="39">
        <f t="shared" ca="1" si="2"/>
        <v>52665180</v>
      </c>
      <c r="Z27" s="39">
        <f t="shared" ca="1" si="2"/>
        <v>46024342</v>
      </c>
      <c r="AA27" s="39">
        <f t="shared" ca="1" si="2"/>
        <v>42783972</v>
      </c>
      <c r="AB27" s="39">
        <f t="shared" ca="1" si="2"/>
        <v>47247396</v>
      </c>
    </row>
    <row r="28" spans="2:28" x14ac:dyDescent="0.45">
      <c r="B28" s="73" t="s">
        <v>136</v>
      </c>
      <c r="D28" s="39">
        <f t="shared" ref="D28:AB28" ca="1" si="3">RANDBETWEEN($E5,$D5)*(RANDBETWEEN($H5,$G5))*(1+$C$21)</f>
        <v>3991330</v>
      </c>
      <c r="E28" s="39">
        <f t="shared" ca="1" si="3"/>
        <v>6152600</v>
      </c>
      <c r="F28" s="39">
        <f t="shared" ca="1" si="3"/>
        <v>4133360</v>
      </c>
      <c r="G28" s="39">
        <f t="shared" ca="1" si="3"/>
        <v>6147876</v>
      </c>
      <c r="H28" s="39">
        <f t="shared" ca="1" si="3"/>
        <v>8993038</v>
      </c>
      <c r="I28" s="39">
        <f t="shared" ca="1" si="3"/>
        <v>5945176</v>
      </c>
      <c r="J28" s="39">
        <f t="shared" ca="1" si="3"/>
        <v>7391625</v>
      </c>
      <c r="K28" s="39">
        <f t="shared" ca="1" si="3"/>
        <v>5064440</v>
      </c>
      <c r="L28" s="39">
        <f t="shared" ca="1" si="3"/>
        <v>7530024</v>
      </c>
      <c r="M28" s="39">
        <f t="shared" ca="1" si="3"/>
        <v>4943646</v>
      </c>
      <c r="N28" s="39">
        <f t="shared" ca="1" si="3"/>
        <v>9175200</v>
      </c>
      <c r="O28" s="39">
        <f t="shared" ca="1" si="3"/>
        <v>3747880</v>
      </c>
      <c r="P28" s="39">
        <f t="shared" ca="1" si="3"/>
        <v>4715074</v>
      </c>
      <c r="Q28" s="39">
        <f t="shared" ca="1" si="3"/>
        <v>5483700</v>
      </c>
      <c r="R28" s="39">
        <f t="shared" ca="1" si="3"/>
        <v>4227573</v>
      </c>
      <c r="S28" s="39">
        <f t="shared" ca="1" si="3"/>
        <v>4069024</v>
      </c>
      <c r="T28" s="39">
        <f t="shared" ca="1" si="3"/>
        <v>8194392</v>
      </c>
      <c r="U28" s="39">
        <f t="shared" ca="1" si="3"/>
        <v>3602113</v>
      </c>
      <c r="V28" s="39">
        <f t="shared" ca="1" si="3"/>
        <v>7174860</v>
      </c>
      <c r="W28" s="39">
        <f t="shared" ca="1" si="3"/>
        <v>8714674</v>
      </c>
      <c r="X28" s="39">
        <f t="shared" ca="1" si="3"/>
        <v>6149966</v>
      </c>
      <c r="Y28" s="39">
        <f t="shared" ca="1" si="3"/>
        <v>7363564</v>
      </c>
      <c r="Z28" s="39">
        <f t="shared" ca="1" si="3"/>
        <v>4974264</v>
      </c>
      <c r="AA28" s="39">
        <f t="shared" ca="1" si="3"/>
        <v>5991226</v>
      </c>
      <c r="AB28" s="39">
        <f t="shared" ca="1" si="3"/>
        <v>4199328</v>
      </c>
    </row>
    <row r="29" spans="2:28" x14ac:dyDescent="0.45">
      <c r="B29" s="73" t="s">
        <v>137</v>
      </c>
      <c r="D29" s="39">
        <f t="shared" ref="D29:AB29" ca="1" si="4">RANDBETWEEN($E6,$D6)*(RANDBETWEEN($H6,$G6))*(1+$C$21)</f>
        <v>5426390</v>
      </c>
      <c r="E29" s="39">
        <f t="shared" ca="1" si="4"/>
        <v>3908400</v>
      </c>
      <c r="F29" s="39">
        <f t="shared" ca="1" si="4"/>
        <v>3422780</v>
      </c>
      <c r="G29" s="39">
        <f t="shared" ca="1" si="4"/>
        <v>4325364</v>
      </c>
      <c r="H29" s="39">
        <f t="shared" ca="1" si="4"/>
        <v>2539018</v>
      </c>
      <c r="I29" s="39">
        <f t="shared" ca="1" si="4"/>
        <v>5653446</v>
      </c>
      <c r="J29" s="39">
        <f t="shared" ca="1" si="4"/>
        <v>4096064</v>
      </c>
      <c r="K29" s="39">
        <f t="shared" ca="1" si="4"/>
        <v>1624316</v>
      </c>
      <c r="L29" s="39">
        <f t="shared" ca="1" si="4"/>
        <v>3360840</v>
      </c>
      <c r="M29" s="39">
        <f t="shared" ca="1" si="4"/>
        <v>6062110</v>
      </c>
      <c r="N29" s="39">
        <f t="shared" ca="1" si="4"/>
        <v>3225680</v>
      </c>
      <c r="O29" s="39">
        <f t="shared" ca="1" si="4"/>
        <v>4980351</v>
      </c>
      <c r="P29" s="39">
        <f t="shared" ca="1" si="4"/>
        <v>4109291</v>
      </c>
      <c r="Q29" s="39">
        <f t="shared" ca="1" si="4"/>
        <v>4358928</v>
      </c>
      <c r="R29" s="39">
        <f t="shared" ca="1" si="4"/>
        <v>1848002</v>
      </c>
      <c r="S29" s="39">
        <f t="shared" ca="1" si="4"/>
        <v>2281180</v>
      </c>
      <c r="T29" s="39">
        <f t="shared" ca="1" si="4"/>
        <v>3163732</v>
      </c>
      <c r="U29" s="39">
        <f t="shared" ca="1" si="4"/>
        <v>5982737</v>
      </c>
      <c r="V29" s="39">
        <f t="shared" ca="1" si="4"/>
        <v>3160656</v>
      </c>
      <c r="W29" s="39">
        <f t="shared" ca="1" si="4"/>
        <v>2907792</v>
      </c>
      <c r="X29" s="39">
        <f t="shared" ca="1" si="4"/>
        <v>3112344</v>
      </c>
      <c r="Y29" s="39">
        <f t="shared" ca="1" si="4"/>
        <v>4707340</v>
      </c>
      <c r="Z29" s="39">
        <f t="shared" ca="1" si="4"/>
        <v>3767976</v>
      </c>
      <c r="AA29" s="39">
        <f t="shared" ca="1" si="4"/>
        <v>2382498</v>
      </c>
      <c r="AB29" s="39">
        <f t="shared" ca="1" si="4"/>
        <v>3381667</v>
      </c>
    </row>
    <row r="30" spans="2:28" x14ac:dyDescent="0.45">
      <c r="B30" s="73" t="s">
        <v>138</v>
      </c>
      <c r="D30" s="39">
        <f t="shared" ref="D30:AB30" ca="1" si="5">RANDBETWEEN($E7,$D7)*(RANDBETWEEN($H7,$G7))*(1+$C$21)</f>
        <v>304020</v>
      </c>
      <c r="E30" s="39">
        <f t="shared" ca="1" si="5"/>
        <v>875376</v>
      </c>
      <c r="F30" s="39">
        <f t="shared" ca="1" si="5"/>
        <v>699462</v>
      </c>
      <c r="G30" s="39">
        <f t="shared" ca="1" si="5"/>
        <v>203034</v>
      </c>
      <c r="H30" s="39">
        <f t="shared" ca="1" si="5"/>
        <v>234651</v>
      </c>
      <c r="I30" s="39">
        <f t="shared" ca="1" si="5"/>
        <v>472602</v>
      </c>
      <c r="J30" s="39">
        <f t="shared" ca="1" si="5"/>
        <v>281968</v>
      </c>
      <c r="K30" s="39">
        <f t="shared" ca="1" si="5"/>
        <v>718768</v>
      </c>
      <c r="L30" s="39">
        <f t="shared" ca="1" si="5"/>
        <v>127092</v>
      </c>
      <c r="M30" s="39">
        <f t="shared" ca="1" si="5"/>
        <v>514740</v>
      </c>
      <c r="N30" s="39">
        <f t="shared" ca="1" si="5"/>
        <v>709776</v>
      </c>
      <c r="O30" s="39">
        <f t="shared" ca="1" si="5"/>
        <v>240495</v>
      </c>
      <c r="P30" s="39">
        <f t="shared" ca="1" si="5"/>
        <v>849952</v>
      </c>
      <c r="Q30" s="39">
        <f t="shared" ca="1" si="5"/>
        <v>449826</v>
      </c>
      <c r="R30" s="39">
        <f t="shared" ca="1" si="5"/>
        <v>530936</v>
      </c>
      <c r="S30" s="39">
        <f t="shared" ca="1" si="5"/>
        <v>219786</v>
      </c>
      <c r="T30" s="39">
        <f t="shared" ca="1" si="5"/>
        <v>978696</v>
      </c>
      <c r="U30" s="39">
        <f t="shared" ca="1" si="5"/>
        <v>328968</v>
      </c>
      <c r="V30" s="39">
        <f t="shared" ca="1" si="5"/>
        <v>684208</v>
      </c>
      <c r="W30" s="39">
        <f t="shared" ca="1" si="5"/>
        <v>541504</v>
      </c>
      <c r="X30" s="39">
        <f t="shared" ca="1" si="5"/>
        <v>335984</v>
      </c>
      <c r="Y30" s="39">
        <f t="shared" ca="1" si="5"/>
        <v>424544</v>
      </c>
      <c r="Z30" s="39">
        <f t="shared" ca="1" si="5"/>
        <v>637380</v>
      </c>
      <c r="AA30" s="39">
        <f t="shared" ca="1" si="5"/>
        <v>384404</v>
      </c>
      <c r="AB30" s="39">
        <f t="shared" ca="1" si="5"/>
        <v>199486</v>
      </c>
    </row>
    <row r="31" spans="2:28" x14ac:dyDescent="0.45">
      <c r="B31" s="73" t="s">
        <v>139</v>
      </c>
      <c r="D31" s="39">
        <f t="shared" ref="D31:AB31" ca="1" si="6">RANDBETWEEN($E8,$D8)*(RANDBETWEEN($H8,$G8))*(1+$C$21)</f>
        <v>1427625</v>
      </c>
      <c r="E31" s="39">
        <f t="shared" ca="1" si="6"/>
        <v>4669710</v>
      </c>
      <c r="F31" s="39">
        <f t="shared" ca="1" si="6"/>
        <v>11584908</v>
      </c>
      <c r="G31" s="39">
        <f t="shared" ca="1" si="6"/>
        <v>10185616</v>
      </c>
      <c r="H31" s="39">
        <f t="shared" ca="1" si="6"/>
        <v>7825015</v>
      </c>
      <c r="I31" s="39">
        <f t="shared" ca="1" si="6"/>
        <v>2355441</v>
      </c>
      <c r="J31" s="39">
        <f t="shared" ca="1" si="6"/>
        <v>654955</v>
      </c>
      <c r="K31" s="39">
        <f t="shared" ca="1" si="6"/>
        <v>4939152</v>
      </c>
      <c r="L31" s="39">
        <f t="shared" ca="1" si="6"/>
        <v>8567220</v>
      </c>
      <c r="M31" s="39">
        <f t="shared" ca="1" si="6"/>
        <v>2994816</v>
      </c>
      <c r="N31" s="39">
        <f t="shared" ca="1" si="6"/>
        <v>6895896</v>
      </c>
      <c r="O31" s="39">
        <f t="shared" ca="1" si="6"/>
        <v>3847080</v>
      </c>
      <c r="P31" s="39">
        <f t="shared" ca="1" si="6"/>
        <v>98876</v>
      </c>
      <c r="Q31" s="39">
        <f t="shared" ca="1" si="6"/>
        <v>3755367</v>
      </c>
      <c r="R31" s="39">
        <f t="shared" ca="1" si="6"/>
        <v>4373894</v>
      </c>
      <c r="S31" s="39">
        <f t="shared" ca="1" si="6"/>
        <v>3716304</v>
      </c>
      <c r="T31" s="39">
        <f t="shared" ca="1" si="6"/>
        <v>3376056</v>
      </c>
      <c r="U31" s="39">
        <f t="shared" ca="1" si="6"/>
        <v>11196738</v>
      </c>
      <c r="V31" s="39">
        <f t="shared" ca="1" si="6"/>
        <v>2449648</v>
      </c>
      <c r="W31" s="39">
        <f t="shared" ca="1" si="6"/>
        <v>1054164</v>
      </c>
      <c r="X31" s="39">
        <f t="shared" ca="1" si="6"/>
        <v>902564</v>
      </c>
      <c r="Y31" s="39">
        <f t="shared" ca="1" si="6"/>
        <v>372924</v>
      </c>
      <c r="Z31" s="39">
        <f t="shared" ca="1" si="6"/>
        <v>3113085</v>
      </c>
      <c r="AA31" s="39">
        <f t="shared" ca="1" si="6"/>
        <v>2846831</v>
      </c>
      <c r="AB31" s="39">
        <f t="shared" ca="1" si="6"/>
        <v>1547496</v>
      </c>
    </row>
    <row r="32" spans="2:28" x14ac:dyDescent="0.45">
      <c r="B32" s="23" t="s">
        <v>140</v>
      </c>
      <c r="D32" s="39">
        <f t="shared" ref="D32:AB32" ca="1" si="7">RANDBETWEEN($E9,$D9)*(RANDBETWEEN($H9,$G9))*(1+$C$21)</f>
        <v>12495960</v>
      </c>
      <c r="E32" s="39">
        <f t="shared" ca="1" si="7"/>
        <v>5670846</v>
      </c>
      <c r="F32" s="39">
        <f t="shared" ca="1" si="7"/>
        <v>2384964</v>
      </c>
      <c r="G32" s="39">
        <f t="shared" ca="1" si="7"/>
        <v>7367742</v>
      </c>
      <c r="H32" s="39">
        <f t="shared" ca="1" si="7"/>
        <v>3548376</v>
      </c>
      <c r="I32" s="39">
        <f t="shared" ca="1" si="7"/>
        <v>11186388</v>
      </c>
      <c r="J32" s="39">
        <f t="shared" ca="1" si="7"/>
        <v>3615750</v>
      </c>
      <c r="K32" s="39">
        <f t="shared" ca="1" si="7"/>
        <v>16155288</v>
      </c>
      <c r="L32" s="39">
        <f t="shared" ca="1" si="7"/>
        <v>15059160</v>
      </c>
      <c r="M32" s="39">
        <f t="shared" ca="1" si="7"/>
        <v>13447800</v>
      </c>
      <c r="N32" s="39">
        <f t="shared" ca="1" si="7"/>
        <v>12659310</v>
      </c>
      <c r="O32" s="39">
        <f t="shared" ca="1" si="7"/>
        <v>2257362</v>
      </c>
      <c r="P32" s="39">
        <f t="shared" ca="1" si="7"/>
        <v>15362010</v>
      </c>
      <c r="Q32" s="39">
        <f t="shared" ca="1" si="7"/>
        <v>7191864</v>
      </c>
      <c r="R32" s="39">
        <f t="shared" ca="1" si="7"/>
        <v>10423710</v>
      </c>
      <c r="S32" s="39">
        <f t="shared" ca="1" si="7"/>
        <v>11960172</v>
      </c>
      <c r="T32" s="39">
        <f t="shared" ca="1" si="7"/>
        <v>13693950</v>
      </c>
      <c r="U32" s="39">
        <f t="shared" ca="1" si="7"/>
        <v>11481372</v>
      </c>
      <c r="V32" s="39">
        <f t="shared" ca="1" si="7"/>
        <v>9637974</v>
      </c>
      <c r="W32" s="39">
        <f t="shared" ca="1" si="7"/>
        <v>1242846</v>
      </c>
      <c r="X32" s="39">
        <f t="shared" ca="1" si="7"/>
        <v>13885686</v>
      </c>
      <c r="Y32" s="39">
        <f t="shared" ca="1" si="7"/>
        <v>11346858</v>
      </c>
      <c r="Z32" s="39">
        <f t="shared" ca="1" si="7"/>
        <v>9731592</v>
      </c>
      <c r="AA32" s="39">
        <f t="shared" ca="1" si="7"/>
        <v>1230192</v>
      </c>
      <c r="AB32" s="39">
        <f t="shared" ca="1" si="7"/>
        <v>14062374</v>
      </c>
    </row>
    <row r="33" spans="2:28" x14ac:dyDescent="0.45">
      <c r="B33" s="23" t="s">
        <v>141</v>
      </c>
      <c r="D33" s="39">
        <f t="shared" ref="D33:AB33" ca="1" si="8">RANDBETWEEN($E10,$D10)*(RANDBETWEEN($H10,$G10))*(1+$C$21)</f>
        <v>170687</v>
      </c>
      <c r="E33" s="39">
        <f t="shared" ca="1" si="8"/>
        <v>203268</v>
      </c>
      <c r="F33" s="39">
        <f t="shared" ca="1" si="8"/>
        <v>205315</v>
      </c>
      <c r="G33" s="39">
        <f t="shared" ca="1" si="8"/>
        <v>186088</v>
      </c>
      <c r="H33" s="39">
        <f t="shared" ca="1" si="8"/>
        <v>200790</v>
      </c>
      <c r="I33" s="39">
        <f t="shared" ca="1" si="8"/>
        <v>225588</v>
      </c>
      <c r="J33" s="39">
        <f t="shared" ca="1" si="8"/>
        <v>204542</v>
      </c>
      <c r="K33" s="39">
        <f t="shared" ca="1" si="8"/>
        <v>313138</v>
      </c>
      <c r="L33" s="39">
        <f t="shared" ca="1" si="8"/>
        <v>252889</v>
      </c>
      <c r="M33" s="39">
        <f t="shared" ca="1" si="8"/>
        <v>284076</v>
      </c>
      <c r="N33" s="39">
        <f t="shared" ca="1" si="8"/>
        <v>186459</v>
      </c>
      <c r="O33" s="39">
        <f t="shared" ca="1" si="8"/>
        <v>213705</v>
      </c>
      <c r="P33" s="39">
        <f t="shared" ca="1" si="8"/>
        <v>294320</v>
      </c>
      <c r="Q33" s="39">
        <f t="shared" ca="1" si="8"/>
        <v>314197</v>
      </c>
      <c r="R33" s="39">
        <f t="shared" ca="1" si="8"/>
        <v>174680</v>
      </c>
      <c r="S33" s="39">
        <f t="shared" ca="1" si="8"/>
        <v>265572</v>
      </c>
      <c r="T33" s="39">
        <f t="shared" ca="1" si="8"/>
        <v>285948</v>
      </c>
      <c r="U33" s="39">
        <f t="shared" ca="1" si="8"/>
        <v>168003</v>
      </c>
      <c r="V33" s="39">
        <f t="shared" ca="1" si="8"/>
        <v>279888</v>
      </c>
      <c r="W33" s="39">
        <f t="shared" ca="1" si="8"/>
        <v>256165</v>
      </c>
      <c r="X33" s="39">
        <f t="shared" ca="1" si="8"/>
        <v>323330</v>
      </c>
      <c r="Y33" s="39">
        <f t="shared" ca="1" si="8"/>
        <v>241020</v>
      </c>
      <c r="Z33" s="39">
        <f t="shared" ca="1" si="8"/>
        <v>262174</v>
      </c>
      <c r="AA33" s="39">
        <f t="shared" ca="1" si="8"/>
        <v>250110</v>
      </c>
      <c r="AB33" s="39">
        <f t="shared" ca="1" si="8"/>
        <v>222208</v>
      </c>
    </row>
    <row r="34" spans="2:28" x14ac:dyDescent="0.45">
      <c r="B34" s="23" t="s">
        <v>142</v>
      </c>
      <c r="D34" s="39">
        <f t="shared" ref="D34:AB34" ca="1" si="9">RANDBETWEEN($E11,$D11)*(RANDBETWEEN($H11,$G11))*(1+$C$21)</f>
        <v>114342</v>
      </c>
      <c r="E34" s="39">
        <f t="shared" ca="1" si="9"/>
        <v>10348</v>
      </c>
      <c r="F34" s="39">
        <f t="shared" ca="1" si="9"/>
        <v>59020</v>
      </c>
      <c r="G34" s="39">
        <f t="shared" ca="1" si="9"/>
        <v>4680</v>
      </c>
      <c r="H34" s="39">
        <f t="shared" ca="1" si="9"/>
        <v>32022</v>
      </c>
      <c r="I34" s="39">
        <f t="shared" ca="1" si="9"/>
        <v>47052</v>
      </c>
      <c r="J34" s="39">
        <f t="shared" ca="1" si="9"/>
        <v>48867</v>
      </c>
      <c r="K34" s="39">
        <f t="shared" ca="1" si="9"/>
        <v>36244</v>
      </c>
      <c r="L34" s="39">
        <f t="shared" ca="1" si="9"/>
        <v>22120</v>
      </c>
      <c r="M34" s="39">
        <f t="shared" ca="1" si="9"/>
        <v>21315</v>
      </c>
      <c r="N34" s="39">
        <f t="shared" ca="1" si="9"/>
        <v>78130</v>
      </c>
      <c r="O34" s="39">
        <f t="shared" ca="1" si="9"/>
        <v>101575</v>
      </c>
      <c r="P34" s="39">
        <f t="shared" ca="1" si="9"/>
        <v>56880</v>
      </c>
      <c r="Q34" s="39">
        <f t="shared" ca="1" si="9"/>
        <v>57050</v>
      </c>
      <c r="R34" s="39">
        <f t="shared" ca="1" si="9"/>
        <v>13416</v>
      </c>
      <c r="S34" s="39">
        <f t="shared" ca="1" si="9"/>
        <v>14096</v>
      </c>
      <c r="T34" s="39">
        <f t="shared" ca="1" si="9"/>
        <v>66936</v>
      </c>
      <c r="U34" s="39">
        <f t="shared" ca="1" si="9"/>
        <v>11616</v>
      </c>
      <c r="V34" s="39">
        <f t="shared" ca="1" si="9"/>
        <v>31096</v>
      </c>
      <c r="W34" s="39">
        <f t="shared" ca="1" si="9"/>
        <v>37488</v>
      </c>
      <c r="X34" s="39">
        <f t="shared" ca="1" si="9"/>
        <v>34188</v>
      </c>
      <c r="Y34" s="39">
        <f t="shared" ca="1" si="9"/>
        <v>32571</v>
      </c>
      <c r="Z34" s="39">
        <f t="shared" ca="1" si="9"/>
        <v>19548</v>
      </c>
      <c r="AA34" s="39">
        <f t="shared" ca="1" si="9"/>
        <v>9604</v>
      </c>
      <c r="AB34" s="39">
        <f t="shared" ca="1" si="9"/>
        <v>20671</v>
      </c>
    </row>
    <row r="35" spans="2:28" x14ac:dyDescent="0.45">
      <c r="B35" s="23" t="s">
        <v>143</v>
      </c>
      <c r="D35" s="39">
        <f t="shared" ref="D35:AB35" ca="1" si="10">RANDBETWEEN($E12,$D12)*(RANDBETWEEN($H12,$G12))*(1+$C$21)</f>
        <v>96795</v>
      </c>
      <c r="E35" s="39">
        <f t="shared" ca="1" si="10"/>
        <v>61596</v>
      </c>
      <c r="F35" s="39">
        <f t="shared" ca="1" si="10"/>
        <v>75852</v>
      </c>
      <c r="G35" s="39">
        <f t="shared" ca="1" si="10"/>
        <v>64311</v>
      </c>
      <c r="H35" s="39">
        <f t="shared" ca="1" si="10"/>
        <v>48348</v>
      </c>
      <c r="I35" s="39">
        <f t="shared" ca="1" si="10"/>
        <v>126950</v>
      </c>
      <c r="J35" s="39">
        <f t="shared" ca="1" si="10"/>
        <v>83055</v>
      </c>
      <c r="K35" s="39">
        <f t="shared" ca="1" si="10"/>
        <v>94992</v>
      </c>
      <c r="L35" s="39">
        <f t="shared" ca="1" si="10"/>
        <v>67995</v>
      </c>
      <c r="M35" s="39">
        <f t="shared" ca="1" si="10"/>
        <v>62049</v>
      </c>
      <c r="N35" s="39">
        <f t="shared" ca="1" si="10"/>
        <v>77896</v>
      </c>
      <c r="O35" s="39">
        <f t="shared" ca="1" si="10"/>
        <v>75723</v>
      </c>
      <c r="P35" s="39">
        <f t="shared" ca="1" si="10"/>
        <v>48716</v>
      </c>
      <c r="Q35" s="39">
        <f t="shared" ca="1" si="10"/>
        <v>113050</v>
      </c>
      <c r="R35" s="39">
        <f t="shared" ca="1" si="10"/>
        <v>85424</v>
      </c>
      <c r="S35" s="39">
        <f t="shared" ca="1" si="10"/>
        <v>61542</v>
      </c>
      <c r="T35" s="39">
        <f t="shared" ca="1" si="10"/>
        <v>44388</v>
      </c>
      <c r="U35" s="39">
        <f t="shared" ca="1" si="10"/>
        <v>43638</v>
      </c>
      <c r="V35" s="39">
        <f t="shared" ca="1" si="10"/>
        <v>111006</v>
      </c>
      <c r="W35" s="39">
        <f t="shared" ca="1" si="10"/>
        <v>85462</v>
      </c>
      <c r="X35" s="39">
        <f t="shared" ca="1" si="10"/>
        <v>53331</v>
      </c>
      <c r="Y35" s="39">
        <f t="shared" ca="1" si="10"/>
        <v>77490</v>
      </c>
      <c r="Z35" s="39">
        <f t="shared" ca="1" si="10"/>
        <v>98164</v>
      </c>
      <c r="AA35" s="39">
        <f t="shared" ca="1" si="10"/>
        <v>92631</v>
      </c>
      <c r="AB35" s="39">
        <f t="shared" ca="1" si="10"/>
        <v>99440</v>
      </c>
    </row>
    <row r="36" spans="2:28" x14ac:dyDescent="0.45">
      <c r="B36" s="23" t="s">
        <v>144</v>
      </c>
      <c r="D36" s="39">
        <f t="shared" ref="D36:AB36" ca="1" si="11">RANDBETWEEN($E13,$D13)*(RANDBETWEEN($H13,$G13))*(1+$C$21)</f>
        <v>5009316</v>
      </c>
      <c r="E36" s="39">
        <f t="shared" ca="1" si="11"/>
        <v>2884464</v>
      </c>
      <c r="F36" s="39">
        <f t="shared" ca="1" si="11"/>
        <v>4622244</v>
      </c>
      <c r="G36" s="39">
        <f t="shared" ca="1" si="11"/>
        <v>5321821</v>
      </c>
      <c r="H36" s="39">
        <f t="shared" ca="1" si="11"/>
        <v>2529000</v>
      </c>
      <c r="I36" s="39">
        <f t="shared" ca="1" si="11"/>
        <v>4475712</v>
      </c>
      <c r="J36" s="39">
        <f t="shared" ca="1" si="11"/>
        <v>2598991</v>
      </c>
      <c r="K36" s="39">
        <f t="shared" ca="1" si="11"/>
        <v>4584744</v>
      </c>
      <c r="L36" s="39">
        <f t="shared" ca="1" si="11"/>
        <v>2097108</v>
      </c>
      <c r="M36" s="39">
        <f t="shared" ca="1" si="11"/>
        <v>3683458</v>
      </c>
      <c r="N36" s="39">
        <f t="shared" ca="1" si="11"/>
        <v>4307457</v>
      </c>
      <c r="O36" s="39">
        <f t="shared" ca="1" si="11"/>
        <v>3245690</v>
      </c>
      <c r="P36" s="39">
        <f t="shared" ca="1" si="11"/>
        <v>2883072</v>
      </c>
      <c r="Q36" s="39">
        <f t="shared" ca="1" si="11"/>
        <v>2910810</v>
      </c>
      <c r="R36" s="39">
        <f t="shared" ca="1" si="11"/>
        <v>1945616</v>
      </c>
      <c r="S36" s="39">
        <f t="shared" ca="1" si="11"/>
        <v>4908118</v>
      </c>
      <c r="T36" s="39">
        <f t="shared" ca="1" si="11"/>
        <v>5655720</v>
      </c>
      <c r="U36" s="39">
        <f t="shared" ca="1" si="11"/>
        <v>3863318</v>
      </c>
      <c r="V36" s="39">
        <f t="shared" ca="1" si="11"/>
        <v>5043987</v>
      </c>
      <c r="W36" s="39">
        <f t="shared" ca="1" si="11"/>
        <v>2052720</v>
      </c>
      <c r="X36" s="39">
        <f t="shared" ca="1" si="11"/>
        <v>4189922</v>
      </c>
      <c r="Y36" s="39">
        <f t="shared" ca="1" si="11"/>
        <v>3898917</v>
      </c>
      <c r="Z36" s="39">
        <f t="shared" ca="1" si="11"/>
        <v>3307541</v>
      </c>
      <c r="AA36" s="39">
        <f t="shared" ca="1" si="11"/>
        <v>3310560</v>
      </c>
      <c r="AB36" s="39">
        <f t="shared" ca="1" si="11"/>
        <v>4128396</v>
      </c>
    </row>
    <row r="37" spans="2:28" x14ac:dyDescent="0.45">
      <c r="B37" s="23" t="s">
        <v>145</v>
      </c>
      <c r="D37" s="39">
        <f t="shared" ref="D37:AB37" ca="1" si="12">RANDBETWEEN($E14,$D14)*(RANDBETWEEN($H14,$G14))*(1+$C$21)</f>
        <v>18315</v>
      </c>
      <c r="E37" s="39">
        <f t="shared" ca="1" si="12"/>
        <v>7236</v>
      </c>
      <c r="F37" s="39">
        <f t="shared" ca="1" si="12"/>
        <v>14664</v>
      </c>
      <c r="G37" s="39">
        <f t="shared" ca="1" si="12"/>
        <v>5292</v>
      </c>
      <c r="H37" s="39">
        <f t="shared" ca="1" si="12"/>
        <v>3855</v>
      </c>
      <c r="I37" s="39">
        <f t="shared" ca="1" si="12"/>
        <v>5088</v>
      </c>
      <c r="J37" s="39">
        <f t="shared" ca="1" si="12"/>
        <v>21980</v>
      </c>
      <c r="K37" s="39">
        <f t="shared" ca="1" si="12"/>
        <v>17688</v>
      </c>
      <c r="L37" s="39">
        <f t="shared" ca="1" si="12"/>
        <v>3492</v>
      </c>
      <c r="M37" s="39">
        <f t="shared" ca="1" si="12"/>
        <v>18310</v>
      </c>
      <c r="N37" s="39">
        <f t="shared" ca="1" si="12"/>
        <v>23670</v>
      </c>
      <c r="O37" s="39">
        <f t="shared" ca="1" si="12"/>
        <v>11242</v>
      </c>
      <c r="P37" s="39">
        <f t="shared" ca="1" si="12"/>
        <v>7271</v>
      </c>
      <c r="Q37" s="39">
        <f t="shared" ca="1" si="12"/>
        <v>14805</v>
      </c>
      <c r="R37" s="39">
        <f t="shared" ca="1" si="12"/>
        <v>19085</v>
      </c>
      <c r="S37" s="39">
        <f t="shared" ca="1" si="12"/>
        <v>9968</v>
      </c>
      <c r="T37" s="39">
        <f t="shared" ca="1" si="12"/>
        <v>8100</v>
      </c>
      <c r="U37" s="39">
        <f t="shared" ca="1" si="12"/>
        <v>17844</v>
      </c>
      <c r="V37" s="39">
        <f t="shared" ca="1" si="12"/>
        <v>10164</v>
      </c>
      <c r="W37" s="39">
        <f t="shared" ca="1" si="12"/>
        <v>1596</v>
      </c>
      <c r="X37" s="39">
        <f t="shared" ca="1" si="12"/>
        <v>1988</v>
      </c>
      <c r="Y37" s="39">
        <f t="shared" ca="1" si="12"/>
        <v>8352</v>
      </c>
      <c r="Z37" s="39">
        <f t="shared" ca="1" si="12"/>
        <v>8376</v>
      </c>
      <c r="AA37" s="39">
        <f t="shared" ca="1" si="12"/>
        <v>8934</v>
      </c>
      <c r="AB37" s="39">
        <f t="shared" ca="1" si="12"/>
        <v>3225</v>
      </c>
    </row>
    <row r="38" spans="2:28" x14ac:dyDescent="0.45">
      <c r="B38" s="23" t="s">
        <v>146</v>
      </c>
      <c r="D38" s="39">
        <f t="shared" ref="D38:AB38" ca="1" si="13">RANDBETWEEN($E15,$D15)*(RANDBETWEEN($H15,$G15))*(1+$C$21)</f>
        <v>452030</v>
      </c>
      <c r="E38" s="39">
        <f t="shared" ca="1" si="13"/>
        <v>801780</v>
      </c>
      <c r="F38" s="39">
        <f t="shared" ca="1" si="13"/>
        <v>245214</v>
      </c>
      <c r="G38" s="39">
        <f t="shared" ca="1" si="13"/>
        <v>299148</v>
      </c>
      <c r="H38" s="39">
        <f t="shared" ca="1" si="13"/>
        <v>151164</v>
      </c>
      <c r="I38" s="39">
        <f t="shared" ca="1" si="13"/>
        <v>177088</v>
      </c>
      <c r="J38" s="39">
        <f t="shared" ca="1" si="13"/>
        <v>253422</v>
      </c>
      <c r="K38" s="39">
        <f t="shared" ca="1" si="13"/>
        <v>530264</v>
      </c>
      <c r="L38" s="39">
        <f t="shared" ca="1" si="13"/>
        <v>290900</v>
      </c>
      <c r="M38" s="39">
        <f t="shared" ca="1" si="13"/>
        <v>216564</v>
      </c>
      <c r="N38" s="39">
        <f t="shared" ca="1" si="13"/>
        <v>22624</v>
      </c>
      <c r="O38" s="39">
        <f t="shared" ca="1" si="13"/>
        <v>67806</v>
      </c>
      <c r="P38" s="39">
        <f t="shared" ca="1" si="13"/>
        <v>410960</v>
      </c>
      <c r="Q38" s="39">
        <f t="shared" ca="1" si="13"/>
        <v>250240</v>
      </c>
      <c r="R38" s="39">
        <f t="shared" ca="1" si="13"/>
        <v>470916</v>
      </c>
      <c r="S38" s="39">
        <f t="shared" ca="1" si="13"/>
        <v>438192</v>
      </c>
      <c r="T38" s="39">
        <f t="shared" ca="1" si="13"/>
        <v>939504</v>
      </c>
      <c r="U38" s="39">
        <f t="shared" ca="1" si="13"/>
        <v>672380</v>
      </c>
      <c r="V38" s="39">
        <f t="shared" ca="1" si="13"/>
        <v>272692</v>
      </c>
      <c r="W38" s="39">
        <f t="shared" ca="1" si="13"/>
        <v>607975</v>
      </c>
      <c r="X38" s="39">
        <f t="shared" ca="1" si="13"/>
        <v>421915</v>
      </c>
      <c r="Y38" s="39">
        <f t="shared" ca="1" si="13"/>
        <v>677772</v>
      </c>
      <c r="Z38" s="39">
        <f t="shared" ca="1" si="13"/>
        <v>891204</v>
      </c>
      <c r="AA38" s="39">
        <f t="shared" ca="1" si="13"/>
        <v>152848</v>
      </c>
      <c r="AB38" s="39">
        <f t="shared" ca="1" si="13"/>
        <v>232382</v>
      </c>
    </row>
    <row r="39" spans="2:28" x14ac:dyDescent="0.45">
      <c r="B39" s="23" t="s">
        <v>147</v>
      </c>
      <c r="D39" s="39">
        <f t="shared" ref="D39:AB39" ca="1" si="14">RANDBETWEEN($E16,$D16)*(RANDBETWEEN($H16,$G16))*(1+$C$21)</f>
        <v>26818</v>
      </c>
      <c r="E39" s="39">
        <f t="shared" ca="1" si="14"/>
        <v>22196</v>
      </c>
      <c r="F39" s="39">
        <f t="shared" ca="1" si="14"/>
        <v>20093</v>
      </c>
      <c r="G39" s="39">
        <f t="shared" ca="1" si="14"/>
        <v>14784</v>
      </c>
      <c r="H39" s="39">
        <f t="shared" ca="1" si="14"/>
        <v>63189</v>
      </c>
      <c r="I39" s="39">
        <f t="shared" ca="1" si="14"/>
        <v>69580</v>
      </c>
      <c r="J39" s="39">
        <f t="shared" ca="1" si="14"/>
        <v>12740</v>
      </c>
      <c r="K39" s="39">
        <f t="shared" ca="1" si="14"/>
        <v>5040</v>
      </c>
      <c r="L39" s="39">
        <f t="shared" ca="1" si="14"/>
        <v>56339</v>
      </c>
      <c r="M39" s="39">
        <f t="shared" ca="1" si="14"/>
        <v>28728</v>
      </c>
      <c r="N39" s="39">
        <f t="shared" ca="1" si="14"/>
        <v>18120</v>
      </c>
      <c r="O39" s="39">
        <f t="shared" ca="1" si="14"/>
        <v>5863</v>
      </c>
      <c r="P39" s="39">
        <f t="shared" ca="1" si="14"/>
        <v>66432</v>
      </c>
      <c r="Q39" s="39">
        <f t="shared" ca="1" si="14"/>
        <v>18336</v>
      </c>
      <c r="R39" s="39">
        <f t="shared" ca="1" si="14"/>
        <v>33428</v>
      </c>
      <c r="S39" s="39">
        <f t="shared" ca="1" si="14"/>
        <v>24360</v>
      </c>
      <c r="T39" s="39">
        <f t="shared" ca="1" si="14"/>
        <v>9905</v>
      </c>
      <c r="U39" s="39">
        <f t="shared" ca="1" si="14"/>
        <v>47912</v>
      </c>
      <c r="V39" s="39">
        <f t="shared" ca="1" si="14"/>
        <v>15097</v>
      </c>
      <c r="W39" s="39">
        <f t="shared" ca="1" si="14"/>
        <v>52972</v>
      </c>
      <c r="X39" s="39">
        <f t="shared" ca="1" si="14"/>
        <v>31458</v>
      </c>
      <c r="Y39" s="39">
        <f t="shared" ca="1" si="14"/>
        <v>21624</v>
      </c>
      <c r="Z39" s="39">
        <f t="shared" ca="1" si="14"/>
        <v>20664</v>
      </c>
      <c r="AA39" s="39">
        <f t="shared" ca="1" si="14"/>
        <v>38540</v>
      </c>
      <c r="AB39" s="39">
        <f t="shared" ca="1" si="14"/>
        <v>26500</v>
      </c>
    </row>
    <row r="40" spans="2:28" x14ac:dyDescent="0.45">
      <c r="B40" s="23" t="s">
        <v>148</v>
      </c>
      <c r="D40" s="39">
        <f t="shared" ref="D40:AB40" ca="1" si="15">RANDBETWEEN($E17,$D17)*(RANDBETWEEN($H17,$G17))*(1+$C$21)</f>
        <v>440016</v>
      </c>
      <c r="E40" s="39">
        <f t="shared" ca="1" si="15"/>
        <v>365079</v>
      </c>
      <c r="F40" s="39">
        <f t="shared" ca="1" si="15"/>
        <v>604370</v>
      </c>
      <c r="G40" s="39">
        <f t="shared" ca="1" si="15"/>
        <v>702674</v>
      </c>
      <c r="H40" s="39">
        <f t="shared" ca="1" si="15"/>
        <v>537984</v>
      </c>
      <c r="I40" s="39">
        <f t="shared" ca="1" si="15"/>
        <v>399285</v>
      </c>
      <c r="J40" s="39">
        <f t="shared" ca="1" si="15"/>
        <v>523635</v>
      </c>
      <c r="K40" s="39">
        <f t="shared" ca="1" si="15"/>
        <v>333382</v>
      </c>
      <c r="L40" s="39">
        <f t="shared" ca="1" si="15"/>
        <v>1026915</v>
      </c>
      <c r="M40" s="39">
        <f t="shared" ca="1" si="15"/>
        <v>1120305</v>
      </c>
      <c r="N40" s="39">
        <f t="shared" ca="1" si="15"/>
        <v>1014748</v>
      </c>
      <c r="O40" s="39">
        <f t="shared" ca="1" si="15"/>
        <v>681525</v>
      </c>
      <c r="P40" s="39">
        <f t="shared" ca="1" si="15"/>
        <v>648600</v>
      </c>
      <c r="Q40" s="39">
        <f t="shared" ca="1" si="15"/>
        <v>704220</v>
      </c>
      <c r="R40" s="39">
        <f t="shared" ca="1" si="15"/>
        <v>684013</v>
      </c>
      <c r="S40" s="39">
        <f t="shared" ca="1" si="15"/>
        <v>697320</v>
      </c>
      <c r="T40" s="39">
        <f t="shared" ca="1" si="15"/>
        <v>256320</v>
      </c>
      <c r="U40" s="39">
        <f t="shared" ca="1" si="15"/>
        <v>583620</v>
      </c>
      <c r="V40" s="39">
        <f t="shared" ca="1" si="15"/>
        <v>755772</v>
      </c>
      <c r="W40" s="39">
        <f t="shared" ca="1" si="15"/>
        <v>945659</v>
      </c>
      <c r="X40" s="39">
        <f t="shared" ca="1" si="15"/>
        <v>635295</v>
      </c>
      <c r="Y40" s="39">
        <f t="shared" ca="1" si="15"/>
        <v>246360</v>
      </c>
      <c r="Z40" s="39">
        <f t="shared" ca="1" si="15"/>
        <v>539630</v>
      </c>
      <c r="AA40" s="39">
        <f t="shared" ca="1" si="15"/>
        <v>949455</v>
      </c>
      <c r="AB40" s="39">
        <f t="shared" ca="1" si="15"/>
        <v>667200</v>
      </c>
    </row>
    <row r="41" spans="2:28" x14ac:dyDescent="0.45">
      <c r="B41" s="23" t="s">
        <v>149</v>
      </c>
      <c r="D41" s="39">
        <f t="shared" ref="D41:AB41" ca="1" si="16">RANDBETWEEN($E18,$D18)*(RANDBETWEEN($H18,$G18))*(1+$C$21)</f>
        <v>20328</v>
      </c>
      <c r="E41" s="39">
        <f t="shared" ca="1" si="16"/>
        <v>3546</v>
      </c>
      <c r="F41" s="39">
        <f t="shared" ca="1" si="16"/>
        <v>12419</v>
      </c>
      <c r="G41" s="39">
        <f t="shared" ca="1" si="16"/>
        <v>13590</v>
      </c>
      <c r="H41" s="39">
        <f t="shared" ca="1" si="16"/>
        <v>13970</v>
      </c>
      <c r="I41" s="39">
        <f t="shared" ca="1" si="16"/>
        <v>1800</v>
      </c>
      <c r="J41" s="39">
        <f t="shared" ca="1" si="16"/>
        <v>8748</v>
      </c>
      <c r="K41" s="39">
        <f t="shared" ca="1" si="16"/>
        <v>8305</v>
      </c>
      <c r="L41" s="39">
        <f t="shared" ca="1" si="16"/>
        <v>8063</v>
      </c>
      <c r="M41" s="39">
        <f t="shared" ca="1" si="16"/>
        <v>12825</v>
      </c>
      <c r="N41" s="39">
        <f t="shared" ca="1" si="16"/>
        <v>17760</v>
      </c>
      <c r="O41" s="39">
        <f t="shared" ca="1" si="16"/>
        <v>12672</v>
      </c>
      <c r="P41" s="39">
        <f t="shared" ca="1" si="16"/>
        <v>15714</v>
      </c>
      <c r="Q41" s="39">
        <f t="shared" ca="1" si="16"/>
        <v>20999</v>
      </c>
      <c r="R41" s="39">
        <f t="shared" ca="1" si="16"/>
        <v>9702</v>
      </c>
      <c r="S41" s="39">
        <f t="shared" ca="1" si="16"/>
        <v>9603</v>
      </c>
      <c r="T41" s="39">
        <f t="shared" ca="1" si="16"/>
        <v>10872</v>
      </c>
      <c r="U41" s="39">
        <f t="shared" ca="1" si="16"/>
        <v>5660</v>
      </c>
      <c r="V41" s="39">
        <f t="shared" ca="1" si="16"/>
        <v>11115</v>
      </c>
      <c r="W41" s="39">
        <f t="shared" ca="1" si="16"/>
        <v>9372</v>
      </c>
      <c r="X41" s="39">
        <f t="shared" ca="1" si="16"/>
        <v>10270</v>
      </c>
      <c r="Y41" s="39">
        <f t="shared" ca="1" si="16"/>
        <v>10035</v>
      </c>
      <c r="Z41" s="39">
        <f t="shared" ca="1" si="16"/>
        <v>9460</v>
      </c>
      <c r="AA41" s="39">
        <f t="shared" ca="1" si="16"/>
        <v>17688</v>
      </c>
      <c r="AB41" s="39">
        <f t="shared" ca="1" si="16"/>
        <v>7590</v>
      </c>
    </row>
    <row r="42" spans="2:28" x14ac:dyDescent="0.45">
      <c r="B42" s="23" t="s">
        <v>150</v>
      </c>
      <c r="D42" s="39">
        <f t="shared" ref="D42:AB42" ca="1" si="17">RANDBETWEEN($E19,$D19)*(RANDBETWEEN($H19,$G19))*(1+$C$21)</f>
        <v>692982</v>
      </c>
      <c r="E42" s="39">
        <f t="shared" ca="1" si="17"/>
        <v>470808</v>
      </c>
      <c r="F42" s="39">
        <f t="shared" ca="1" si="17"/>
        <v>203680</v>
      </c>
      <c r="G42" s="39">
        <f t="shared" ca="1" si="17"/>
        <v>378450</v>
      </c>
      <c r="H42" s="39">
        <f t="shared" ca="1" si="17"/>
        <v>451472</v>
      </c>
      <c r="I42" s="39">
        <f t="shared" ca="1" si="17"/>
        <v>69106</v>
      </c>
      <c r="J42" s="39">
        <f t="shared" ca="1" si="17"/>
        <v>199050</v>
      </c>
      <c r="K42" s="39">
        <f t="shared" ca="1" si="17"/>
        <v>39624</v>
      </c>
      <c r="L42" s="39">
        <f t="shared" ca="1" si="17"/>
        <v>242340</v>
      </c>
      <c r="M42" s="39">
        <f t="shared" ca="1" si="17"/>
        <v>154310</v>
      </c>
      <c r="N42" s="39">
        <f t="shared" ca="1" si="17"/>
        <v>6598</v>
      </c>
      <c r="O42" s="39">
        <f t="shared" ca="1" si="17"/>
        <v>504272</v>
      </c>
      <c r="P42" s="39">
        <f t="shared" ca="1" si="17"/>
        <v>1874</v>
      </c>
      <c r="Q42" s="39">
        <f t="shared" ca="1" si="17"/>
        <v>246980</v>
      </c>
      <c r="R42" s="39">
        <f t="shared" ca="1" si="17"/>
        <v>83010</v>
      </c>
      <c r="S42" s="39">
        <f t="shared" ca="1" si="17"/>
        <v>119301</v>
      </c>
      <c r="T42" s="39">
        <f t="shared" ca="1" si="17"/>
        <v>111299</v>
      </c>
      <c r="U42" s="39">
        <f t="shared" ca="1" si="17"/>
        <v>14854</v>
      </c>
      <c r="V42" s="39">
        <f t="shared" ca="1" si="17"/>
        <v>561645</v>
      </c>
      <c r="W42" s="39">
        <f t="shared" ca="1" si="17"/>
        <v>45522</v>
      </c>
      <c r="X42" s="39">
        <f t="shared" ca="1" si="17"/>
        <v>272175</v>
      </c>
      <c r="Y42" s="39">
        <f t="shared" ca="1" si="17"/>
        <v>138310</v>
      </c>
      <c r="Z42" s="39">
        <f t="shared" ca="1" si="17"/>
        <v>189780</v>
      </c>
      <c r="AA42" s="39">
        <f t="shared" ca="1" si="17"/>
        <v>18295</v>
      </c>
      <c r="AB42" s="39">
        <f t="shared" ca="1" si="17"/>
        <v>163478</v>
      </c>
    </row>
    <row r="43" spans="2:28" x14ac:dyDescent="0.45">
      <c r="B43" s="73"/>
    </row>
    <row r="44" spans="2:28" x14ac:dyDescent="0.45">
      <c r="B44" s="73" t="s">
        <v>116</v>
      </c>
      <c r="D44" s="39">
        <f ca="1">SUM(D27:D42)</f>
        <v>76781842</v>
      </c>
      <c r="E44" s="39">
        <f t="shared" ref="E44:AB44" ca="1" si="18">SUM(E27:E42)</f>
        <v>70164077</v>
      </c>
      <c r="F44" s="39">
        <f t="shared" ca="1" si="18"/>
        <v>85001771</v>
      </c>
      <c r="G44" s="39">
        <f t="shared" ca="1" si="18"/>
        <v>69781584</v>
      </c>
      <c r="H44" s="39">
        <f t="shared" ca="1" si="18"/>
        <v>68433801</v>
      </c>
      <c r="I44" s="39">
        <f t="shared" ca="1" si="18"/>
        <v>60594678</v>
      </c>
      <c r="J44" s="39">
        <f t="shared" ca="1" si="18"/>
        <v>61638409</v>
      </c>
      <c r="K44" s="39">
        <f t="shared" ca="1" si="18"/>
        <v>85404469</v>
      </c>
      <c r="L44" s="39">
        <f t="shared" ca="1" si="18"/>
        <v>101305223</v>
      </c>
      <c r="M44" s="39">
        <f t="shared" ca="1" si="18"/>
        <v>82679880</v>
      </c>
      <c r="N44" s="39">
        <f t="shared" ca="1" si="18"/>
        <v>79717100</v>
      </c>
      <c r="O44" s="39">
        <f t="shared" ca="1" si="18"/>
        <v>68352851</v>
      </c>
      <c r="P44" s="39">
        <f t="shared" ca="1" si="18"/>
        <v>79529888</v>
      </c>
      <c r="Q44" s="39">
        <f t="shared" ca="1" si="18"/>
        <v>58069649</v>
      </c>
      <c r="R44" s="39">
        <f t="shared" ca="1" si="18"/>
        <v>56719217</v>
      </c>
      <c r="S44" s="39">
        <f t="shared" ca="1" si="18"/>
        <v>79171954</v>
      </c>
      <c r="T44" s="39">
        <f t="shared" ca="1" si="18"/>
        <v>70291605</v>
      </c>
      <c r="U44" s="39">
        <f t="shared" ca="1" si="18"/>
        <v>71503144</v>
      </c>
      <c r="V44" s="39">
        <f t="shared" ca="1" si="18"/>
        <v>71012874</v>
      </c>
      <c r="W44" s="39">
        <f t="shared" ca="1" si="18"/>
        <v>66803901</v>
      </c>
      <c r="X44" s="39">
        <f t="shared" ca="1" si="18"/>
        <v>81823592</v>
      </c>
      <c r="Y44" s="39">
        <f t="shared" ca="1" si="18"/>
        <v>82232861</v>
      </c>
      <c r="Z44" s="39">
        <f t="shared" ca="1" si="18"/>
        <v>73595180</v>
      </c>
      <c r="AA44" s="39">
        <f t="shared" ca="1" si="18"/>
        <v>60467788</v>
      </c>
      <c r="AB44" s="39">
        <f t="shared" ca="1" si="18"/>
        <v>76208837</v>
      </c>
    </row>
    <row r="45" spans="2:28" x14ac:dyDescent="0.45">
      <c r="B45" s="73"/>
    </row>
    <row r="46" spans="2:28" x14ac:dyDescent="0.45">
      <c r="B46" s="73" t="s">
        <v>152</v>
      </c>
      <c r="D46" s="39">
        <v>82401266.900000036</v>
      </c>
      <c r="E46" s="39">
        <v>64106108.199999996</v>
      </c>
      <c r="F46" s="39">
        <v>65431079.600000001</v>
      </c>
      <c r="G46" s="39">
        <v>76661462.119999975</v>
      </c>
      <c r="H46" s="39">
        <v>84962580.26000002</v>
      </c>
      <c r="I46" s="39">
        <v>94194607.250000045</v>
      </c>
      <c r="J46" s="39">
        <v>69009589.030000001</v>
      </c>
      <c r="K46" s="39">
        <v>63003790.869999982</v>
      </c>
      <c r="L46" s="39">
        <v>72728641.960000008</v>
      </c>
      <c r="M46" s="39">
        <v>94389050.649999976</v>
      </c>
      <c r="N46" s="39">
        <v>95687376.979999989</v>
      </c>
      <c r="O46" s="39">
        <v>76933955.830000013</v>
      </c>
      <c r="P46" s="39">
        <v>71238707.820000008</v>
      </c>
      <c r="Q46" s="39">
        <v>70688581.730000004</v>
      </c>
      <c r="R46" s="39">
        <v>75980993.649999991</v>
      </c>
      <c r="S46" s="39">
        <v>74460572.539999992</v>
      </c>
      <c r="T46" s="39">
        <v>74235342.439999983</v>
      </c>
      <c r="U46" s="39">
        <v>74530537.350000009</v>
      </c>
      <c r="V46" s="39">
        <v>66346915.430000007</v>
      </c>
      <c r="W46" s="39">
        <v>92937162.650000006</v>
      </c>
      <c r="X46" s="39">
        <v>92869782.110000014</v>
      </c>
      <c r="Y46" s="39">
        <v>76349649.190000013</v>
      </c>
      <c r="Z46" s="39">
        <v>92060493.600000009</v>
      </c>
      <c r="AA46" s="39">
        <v>77020281.159999996</v>
      </c>
      <c r="AB46" s="39">
        <v>80135685.079999998</v>
      </c>
    </row>
    <row r="48" spans="2:28" x14ac:dyDescent="0.45">
      <c r="B48" s="68"/>
    </row>
    <row r="50" spans="2:28" x14ac:dyDescent="0.45"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2:28" x14ac:dyDescent="0.45"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2:28" x14ac:dyDescent="0.45"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2:28" x14ac:dyDescent="0.45">
      <c r="E53" s="70"/>
      <c r="F53" s="70"/>
    </row>
    <row r="54" spans="2:28" x14ac:dyDescent="0.45">
      <c r="E54" s="70"/>
      <c r="F54" s="70"/>
    </row>
    <row r="55" spans="2:28" x14ac:dyDescent="0.45">
      <c r="B55" s="34"/>
      <c r="E55" s="70"/>
      <c r="F55" s="70"/>
    </row>
    <row r="56" spans="2:28" x14ac:dyDescent="0.45">
      <c r="B56" s="34"/>
      <c r="E56" s="70"/>
      <c r="F56" s="70"/>
    </row>
    <row r="57" spans="2:28" x14ac:dyDescent="0.45">
      <c r="B57" s="34"/>
      <c r="E57" s="70"/>
      <c r="F57" s="70"/>
    </row>
    <row r="58" spans="2:28" x14ac:dyDescent="0.45">
      <c r="B58" s="34"/>
      <c r="E58" s="70"/>
      <c r="F58" s="70"/>
    </row>
    <row r="59" spans="2:28" x14ac:dyDescent="0.45">
      <c r="B59" s="34"/>
      <c r="E59" s="70"/>
      <c r="F59" s="70"/>
    </row>
    <row r="60" spans="2:28" x14ac:dyDescent="0.45">
      <c r="B60" s="34"/>
      <c r="E60" s="70"/>
      <c r="F60" s="70"/>
    </row>
    <row r="61" spans="2:28" x14ac:dyDescent="0.45">
      <c r="B61" s="34"/>
      <c r="E61" s="70"/>
      <c r="F61" s="70"/>
    </row>
    <row r="62" spans="2:28" x14ac:dyDescent="0.45">
      <c r="B62" s="34"/>
      <c r="E62" s="70"/>
      <c r="F62" s="70"/>
    </row>
    <row r="63" spans="2:28" x14ac:dyDescent="0.45">
      <c r="B63" s="34"/>
      <c r="E63" s="70"/>
      <c r="F63" s="70"/>
    </row>
    <row r="64" spans="2:28" x14ac:dyDescent="0.45">
      <c r="B64" s="34"/>
      <c r="E64" s="70"/>
      <c r="F64" s="70"/>
    </row>
    <row r="65" spans="2:6" x14ac:dyDescent="0.45">
      <c r="B65" s="34"/>
      <c r="E65" s="70"/>
      <c r="F65" s="70"/>
    </row>
    <row r="67" spans="2:6" x14ac:dyDescent="0.45">
      <c r="C67" s="47"/>
    </row>
    <row r="78" spans="2:6" x14ac:dyDescent="0.45">
      <c r="B78" s="34"/>
    </row>
    <row r="79" spans="2:6" x14ac:dyDescent="0.45">
      <c r="B79" s="34"/>
    </row>
    <row r="80" spans="2:6" x14ac:dyDescent="0.45">
      <c r="B80" s="34"/>
    </row>
    <row r="81" spans="2:2" x14ac:dyDescent="0.45">
      <c r="B81" s="34"/>
    </row>
    <row r="82" spans="2:2" x14ac:dyDescent="0.45">
      <c r="B82" s="34"/>
    </row>
    <row r="83" spans="2:2" x14ac:dyDescent="0.45">
      <c r="B83" s="34"/>
    </row>
    <row r="84" spans="2:2" x14ac:dyDescent="0.45">
      <c r="B84" s="34"/>
    </row>
    <row r="85" spans="2:2" x14ac:dyDescent="0.45">
      <c r="B85" s="34"/>
    </row>
    <row r="86" spans="2:2" x14ac:dyDescent="0.45">
      <c r="B86" s="34"/>
    </row>
    <row r="87" spans="2:2" x14ac:dyDescent="0.45">
      <c r="B87" s="34"/>
    </row>
    <row r="88" spans="2:2" x14ac:dyDescent="0.45">
      <c r="B88" s="34"/>
    </row>
  </sheetData>
  <mergeCells count="2">
    <mergeCell ref="C2:E2"/>
    <mergeCell ref="F2:H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FD612D3FDCC54AB0867F0997DA0A34" ma:contentTypeVersion="13" ma:contentTypeDescription="Create a new document." ma:contentTypeScope="" ma:versionID="918f396252e26a53156966209d05b2ac">
  <xsd:schema xmlns:xsd="http://www.w3.org/2001/XMLSchema" xmlns:xs="http://www.w3.org/2001/XMLSchema" xmlns:p="http://schemas.microsoft.com/office/2006/metadata/properties" xmlns:ns2="9e06d9b7-fa57-492d-879c-c63ae699c196" xmlns:ns3="263ca01a-a29a-4a2b-9879-77f8d21a8c38" targetNamespace="http://schemas.microsoft.com/office/2006/metadata/properties" ma:root="true" ma:fieldsID="82ee63a73e7bf7b43acf63d7e067e041" ns2:_="" ns3:_="">
    <xsd:import namespace="9e06d9b7-fa57-492d-879c-c63ae699c196"/>
    <xsd:import namespace="263ca01a-a29a-4a2b-9879-77f8d21a8c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6d9b7-fa57-492d-879c-c63ae699c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ca01a-a29a-4a2b-9879-77f8d21a8c3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B62728-6544-48B7-BE38-64F3AF3509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3578C9-43C7-4045-ABE0-72DF19BBB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9e06d9b7-fa57-492d-879c-c63ae699c196"/>
    <ds:schemaRef ds:uri="http://purl.org/dc/elements/1.1/"/>
    <ds:schemaRef ds:uri="http://schemas.microsoft.com/office/2006/metadata/properties"/>
    <ds:schemaRef ds:uri="263ca01a-a29a-4a2b-9879-77f8d21a8c3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70F8A8D-1546-4AD8-9C81-030772EFD1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06d9b7-fa57-492d-879c-c63ae699c196"/>
    <ds:schemaRef ds:uri="263ca01a-a29a-4a2b-9879-77f8d21a8c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Worst case</vt:lpstr>
      <vt:lpstr>Base case</vt:lpstr>
      <vt:lpstr>Best case </vt:lpstr>
      <vt:lpstr>Realopsjon Scenario 1</vt:lpstr>
      <vt:lpstr>Realopsjon Scenario 2</vt:lpstr>
      <vt:lpstr>Realopsjon Scenario 3</vt:lpstr>
      <vt:lpstr>Realopsjon Scenario 4</vt:lpstr>
      <vt:lpstr>Konklusjon realopsjon</vt:lpstr>
      <vt:lpstr>Innt. Worst</vt:lpstr>
      <vt:lpstr>Innt. Base</vt:lpstr>
      <vt:lpstr>Innt. Best</vt:lpstr>
      <vt:lpstr>Restråstoff</vt:lpstr>
      <vt:lpstr>Dieselpris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Bjørningstad Storhaug, Bård</dc:creator>
  <cp:keywords/>
  <dc:description/>
  <cp:lastModifiedBy>Wilhelmsen, Lise Marie</cp:lastModifiedBy>
  <cp:revision/>
  <dcterms:created xsi:type="dcterms:W3CDTF">2021-05-15T15:24:00Z</dcterms:created>
  <dcterms:modified xsi:type="dcterms:W3CDTF">2021-09-21T13:31:44Z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0x01010074FD612D3FDCC54AB0867F0997DA0A34</vt:lpwstr>
  </property>
</Properties>
</file>