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kil/Documents/Bacheloroppgave/"/>
    </mc:Choice>
  </mc:AlternateContent>
  <xr:revisionPtr revIDLastSave="0" documentId="8_{D0920BA9-6AD8-40F3-94CD-6C41C774433A}" xr6:coauthVersionLast="47" xr6:coauthVersionMax="47" xr10:uidLastSave="{00000000-0000-0000-0000-000000000000}"/>
  <bookViews>
    <workbookView xWindow="0" yWindow="500" windowWidth="28800" windowHeight="16260" xr2:uid="{E6C1AA86-7131-EC4A-829C-8A4CB5E26EB4}"/>
  </bookViews>
  <sheets>
    <sheet name="Ark1" sheetId="1" r:id="rId1"/>
  </sheets>
  <calcPr calcId="191028" iterate="1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9" i="1"/>
  <c r="D17" i="1"/>
  <c r="K101" i="1"/>
  <c r="K100" i="1"/>
  <c r="K99" i="1"/>
  <c r="K98" i="1"/>
  <c r="B18" i="1"/>
  <c r="B80" i="1"/>
  <c r="B94" i="1"/>
  <c r="E122" i="1"/>
  <c r="D122" i="1"/>
  <c r="O106" i="1"/>
  <c r="O105" i="1"/>
  <c r="O102" i="1"/>
  <c r="O101" i="1"/>
  <c r="O100" i="1"/>
  <c r="O98" i="1"/>
  <c r="N106" i="1"/>
  <c r="N99" i="1"/>
  <c r="N98" i="1"/>
  <c r="D16" i="1"/>
  <c r="B16" i="1" s="1"/>
  <c r="B57" i="1" s="1"/>
  <c r="C72" i="1"/>
  <c r="D72" i="1" s="1"/>
  <c r="E72" i="1" s="1"/>
  <c r="F72" i="1" s="1"/>
  <c r="G72" i="1" s="1"/>
  <c r="K15" i="1"/>
  <c r="B58" i="1"/>
  <c r="C75" i="1" s="1"/>
  <c r="D75" i="1" s="1"/>
  <c r="E75" i="1" s="1"/>
  <c r="F75" i="1" s="1"/>
  <c r="G75" i="1" s="1"/>
  <c r="L13" i="1"/>
  <c r="L12" i="1"/>
  <c r="L11" i="1"/>
  <c r="L10" i="1"/>
  <c r="K10" i="1"/>
  <c r="K9" i="1"/>
  <c r="L9" i="1" s="1"/>
  <c r="B59" i="1"/>
  <c r="O10" i="1"/>
  <c r="O9" i="1"/>
  <c r="B111" i="1"/>
  <c r="B113" i="1" s="1"/>
  <c r="H13" i="1"/>
  <c r="H12" i="1"/>
  <c r="H11" i="1"/>
  <c r="H9" i="1"/>
  <c r="G10" i="1"/>
  <c r="G15" i="1" s="1"/>
  <c r="C39" i="1"/>
  <c r="C37" i="1"/>
  <c r="C36" i="1"/>
  <c r="C38" i="1"/>
  <c r="D36" i="1"/>
  <c r="E105" i="1" l="1"/>
  <c r="D105" i="1"/>
  <c r="L15" i="1"/>
  <c r="C104" i="1" s="1"/>
  <c r="D104" i="1" s="1"/>
  <c r="E104" i="1" s="1"/>
  <c r="C103" i="1"/>
  <c r="C105" i="1"/>
  <c r="C74" i="1"/>
  <c r="D103" i="1"/>
  <c r="E103" i="1"/>
  <c r="C41" i="1"/>
  <c r="D41" i="1" s="1"/>
  <c r="H10" i="1"/>
  <c r="H15" i="1" s="1"/>
  <c r="C124" i="1" s="1"/>
  <c r="C125" i="1" l="1"/>
  <c r="D125" i="1"/>
  <c r="D124" i="1"/>
  <c r="B19" i="1"/>
  <c r="D126" i="1" l="1"/>
  <c r="E125" i="1"/>
  <c r="D106" i="1"/>
  <c r="C126" i="1"/>
  <c r="C127" i="1" s="1"/>
  <c r="C128" i="1" s="1"/>
  <c r="C132" i="1" s="1"/>
  <c r="C106" i="1"/>
  <c r="E124" i="1"/>
  <c r="L89" i="1" l="1"/>
  <c r="E126" i="1"/>
  <c r="E127" i="1" s="1"/>
  <c r="E128" i="1" s="1"/>
  <c r="E132" i="1" s="1"/>
  <c r="L118" i="1" s="1"/>
  <c r="M118" i="1" s="1"/>
  <c r="W107" i="1" s="1"/>
  <c r="E106" i="1"/>
  <c r="D127" i="1"/>
  <c r="D128" i="1" s="1"/>
  <c r="D132" i="1" s="1"/>
  <c r="M89" i="1" s="1"/>
  <c r="D74" i="1"/>
  <c r="E74" i="1" s="1"/>
  <c r="F74" i="1" s="1"/>
  <c r="G74" i="1" s="1"/>
  <c r="B82" i="1"/>
  <c r="L121" i="1" l="1"/>
  <c r="M121" i="1" s="1"/>
  <c r="W110" i="1" s="1"/>
  <c r="K82" i="1"/>
  <c r="L116" i="1"/>
  <c r="M116" i="1" s="1"/>
  <c r="W105" i="1" s="1"/>
  <c r="L117" i="1"/>
  <c r="M117" i="1" s="1"/>
  <c r="W106" i="1" s="1"/>
  <c r="L112" i="1"/>
  <c r="M112" i="1" s="1"/>
  <c r="W101" i="1" s="1"/>
  <c r="B134" i="1"/>
  <c r="B136" i="1" s="1"/>
  <c r="L120" i="1"/>
  <c r="M120" i="1" s="1"/>
  <c r="W109" i="1" s="1"/>
  <c r="L115" i="1"/>
  <c r="M115" i="1" s="1"/>
  <c r="W104" i="1" s="1"/>
  <c r="L119" i="1"/>
  <c r="M119" i="1" s="1"/>
  <c r="W108" i="1" s="1"/>
  <c r="L114" i="1"/>
  <c r="M114" i="1" s="1"/>
  <c r="W103" i="1" s="1"/>
  <c r="L113" i="1"/>
  <c r="M113" i="1" s="1"/>
  <c r="W102" i="1" s="1"/>
  <c r="N89" i="1"/>
  <c r="L92" i="1" s="1"/>
  <c r="M92" i="1" l="1"/>
  <c r="N92" i="1"/>
  <c r="K92" i="1"/>
  <c r="C107" i="1"/>
  <c r="C108" i="1" s="1"/>
  <c r="C109" i="1" l="1"/>
  <c r="C113" i="1" s="1"/>
  <c r="E107" i="1"/>
  <c r="D107" i="1"/>
  <c r="D108" i="1" l="1"/>
  <c r="D109" i="1" s="1"/>
  <c r="D113" i="1" s="1"/>
  <c r="E108" i="1"/>
  <c r="E109" i="1" s="1"/>
  <c r="E113" i="1" s="1"/>
  <c r="L142" i="1" l="1"/>
  <c r="M142" i="1"/>
  <c r="Q116" i="1" s="1"/>
  <c r="P116" i="1"/>
  <c r="L138" i="1"/>
  <c r="B115" i="1"/>
  <c r="B116" i="1" s="1"/>
  <c r="B117" i="1" s="1"/>
  <c r="L143" i="1"/>
  <c r="L145" i="1"/>
  <c r="L144" i="1"/>
  <c r="L139" i="1"/>
  <c r="L141" i="1"/>
  <c r="L140" i="1"/>
  <c r="L146" i="1"/>
  <c r="C73" i="1"/>
  <c r="C76" i="1" s="1"/>
  <c r="C94" i="1"/>
  <c r="M146" i="1" l="1"/>
  <c r="Q120" i="1" s="1"/>
  <c r="P120" i="1"/>
  <c r="M144" i="1"/>
  <c r="Q118" i="1" s="1"/>
  <c r="P118" i="1"/>
  <c r="P112" i="1"/>
  <c r="M138" i="1"/>
  <c r="Q112" i="1" s="1"/>
  <c r="M140" i="1"/>
  <c r="Q114" i="1" s="1"/>
  <c r="P114" i="1"/>
  <c r="M145" i="1"/>
  <c r="Q119" i="1" s="1"/>
  <c r="P119" i="1"/>
  <c r="M141" i="1"/>
  <c r="Q115" i="1" s="1"/>
  <c r="P115" i="1"/>
  <c r="M143" i="1"/>
  <c r="Q117" i="1" s="1"/>
  <c r="P117" i="1"/>
  <c r="P113" i="1"/>
  <c r="M139" i="1"/>
  <c r="Q113" i="1" s="1"/>
  <c r="C95" i="1"/>
  <c r="C79" i="1" s="1"/>
  <c r="C77" i="1"/>
  <c r="C78" i="1" s="1"/>
  <c r="D94" i="1" l="1"/>
  <c r="D95" i="1" s="1"/>
  <c r="C82" i="1"/>
  <c r="L82" i="1" l="1"/>
  <c r="D79" i="1"/>
  <c r="D73" i="1"/>
  <c r="D76" i="1" s="1"/>
  <c r="E94" i="1"/>
  <c r="E95" i="1" l="1"/>
  <c r="D77" i="1"/>
  <c r="D78" i="1" s="1"/>
  <c r="D82" i="1" s="1"/>
  <c r="F94" i="1" l="1"/>
  <c r="F95" i="1" s="1"/>
  <c r="G94" i="1" s="1"/>
  <c r="G95" i="1" s="1"/>
  <c r="M82" i="1"/>
  <c r="E79" i="1"/>
  <c r="E73" i="1"/>
  <c r="E76" i="1" s="1"/>
  <c r="H95" i="1" l="1"/>
  <c r="E77" i="1"/>
  <c r="E78" i="1" s="1"/>
  <c r="E82" i="1" s="1"/>
  <c r="F79" i="1"/>
  <c r="F73" i="1"/>
  <c r="G79" i="1"/>
  <c r="G73" i="1"/>
  <c r="G76" i="1" s="1"/>
  <c r="N82" i="1" l="1"/>
  <c r="F76" i="1"/>
  <c r="G77" i="1"/>
  <c r="G78" i="1" s="1"/>
  <c r="G82" i="1" s="1"/>
  <c r="P82" i="1" s="1"/>
  <c r="P86" i="1" l="1"/>
  <c r="F77" i="1"/>
  <c r="F78" i="1" s="1"/>
  <c r="F82" i="1" s="1"/>
  <c r="B84" i="1" s="1"/>
  <c r="L126" i="1" l="1"/>
  <c r="N113" i="1" s="1"/>
  <c r="N121" i="1"/>
  <c r="O121" i="1" s="1"/>
  <c r="X110" i="1" s="1"/>
  <c r="O82" i="1"/>
  <c r="L131" i="1"/>
  <c r="L129" i="1"/>
  <c r="L125" i="1"/>
  <c r="L127" i="1"/>
  <c r="L132" i="1"/>
  <c r="L133" i="1"/>
  <c r="L128" i="1"/>
  <c r="L130" i="1"/>
  <c r="M130" i="1" s="1"/>
  <c r="M126" i="1" l="1"/>
  <c r="O113" i="1" s="1"/>
  <c r="X102" i="1" s="1"/>
  <c r="M133" i="1"/>
  <c r="O120" i="1" s="1"/>
  <c r="X109" i="1" s="1"/>
  <c r="N120" i="1"/>
  <c r="M129" i="1"/>
  <c r="O116" i="1" s="1"/>
  <c r="X105" i="1" s="1"/>
  <c r="N116" i="1"/>
  <c r="M132" i="1"/>
  <c r="O119" i="1" s="1"/>
  <c r="X108" i="1" s="1"/>
  <c r="N119" i="1"/>
  <c r="O117" i="1"/>
  <c r="X106" i="1" s="1"/>
  <c r="N117" i="1"/>
  <c r="M127" i="1"/>
  <c r="O114" i="1" s="1"/>
  <c r="X103" i="1" s="1"/>
  <c r="N114" i="1"/>
  <c r="M131" i="1"/>
  <c r="O118" i="1" s="1"/>
  <c r="X107" i="1" s="1"/>
  <c r="N118" i="1"/>
  <c r="M128" i="1"/>
  <c r="O115" i="1" s="1"/>
  <c r="X104" i="1" s="1"/>
  <c r="N115" i="1"/>
  <c r="M125" i="1"/>
  <c r="O112" i="1" s="1"/>
  <c r="X101" i="1" s="1"/>
  <c r="N112" i="1"/>
  <c r="O86" i="1"/>
  <c r="N86" i="1"/>
  <c r="M86" i="1"/>
  <c r="L86" i="1"/>
  <c r="K86" i="1"/>
  <c r="B86" i="1"/>
  <c r="B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tc={C4FEEB8E-C745-5E44-BCB8-1056A42898DA}</author>
  </authors>
  <commentList>
    <comment ref="T9" authorId="0" shapeId="0" xr:uid="{C4FEEB8E-C745-5E44-BCB8-1056A42898D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Dell lattiude 7xxx serie, E3 lisens. i7,16gb minne, minimum 256gb ssd, trenger ikke 4g (150stk) (Skjermkort MÅ være NVidia) DELL Docking WD19-130W(75 stk) Logitech M705 Wireless Mouse (150 stk) Logitech MK540 Advanced Combo trådløs (150stk) Dell Docking WD19-180W (75stk) Lenovo eller lignende 27", 1920*1200. 2 stk per stasjon.
</t>
      </text>
    </comment>
  </commentList>
</comments>
</file>

<file path=xl/sharedStrings.xml><?xml version="1.0" encoding="utf-8"?>
<sst xmlns="http://schemas.openxmlformats.org/spreadsheetml/2006/main" count="185" uniqueCount="111">
  <si>
    <t>Regnskap solid gruppen</t>
  </si>
  <si>
    <t>PC-Stasjon</t>
  </si>
  <si>
    <t>Pris pr enhet</t>
  </si>
  <si>
    <t>PC- Stasjon (PC som tjeneste) (PLUSS)</t>
  </si>
  <si>
    <t>Pris pr enhet mnd</t>
  </si>
  <si>
    <t>Pris pr enhet år</t>
  </si>
  <si>
    <t>PC- Stasjon Leie med restverdi</t>
  </si>
  <si>
    <t>HP GPU</t>
  </si>
  <si>
    <t>Dell latitude 7xxx serie, i7,16gb minne, minimum 256gb ssd,</t>
  </si>
  <si>
    <t xml:space="preserve">Lenovo 27" think vision P27 q20 *2 </t>
  </si>
  <si>
    <t xml:space="preserve">DELL Docking WD19-130W. </t>
  </si>
  <si>
    <t>DELL USB-C Docking WD19 180W</t>
  </si>
  <si>
    <t>Logitech M705 Wireless Mouse</t>
  </si>
  <si>
    <t>DELL USB-C Docking WD19 130W</t>
  </si>
  <si>
    <t>Logitech K120 Keyboard for business</t>
  </si>
  <si>
    <t>Logitech MK540 Advanced Combo Trådløs</t>
  </si>
  <si>
    <t>Dell Docking WD19-180W</t>
  </si>
  <si>
    <t>Beregenet lisenser ved hjelp av faktura oversikt gitt av Solid</t>
  </si>
  <si>
    <t xml:space="preserve">Lenovo eller lignende 27", 1920*1200. 2 stk per stasjon. </t>
  </si>
  <si>
    <t>da dette ble et mer presist esitmat versus bare regne enkelte lisenser</t>
  </si>
  <si>
    <t>Totalt for en pc stasjon (Pc som tjeneste)</t>
  </si>
  <si>
    <t>Totalt for en stasjon</t>
  </si>
  <si>
    <t>Sum totalt lisenser år</t>
  </si>
  <si>
    <t>Lisenser totalt ganget med 12</t>
  </si>
  <si>
    <t>Lisenser delt på 150 stasjoner</t>
  </si>
  <si>
    <t>Total for èn PC-stasjon</t>
  </si>
  <si>
    <t>Total for 150 PC-stasjoner</t>
  </si>
  <si>
    <t xml:space="preserve">TILBUD FRA ATEA </t>
  </si>
  <si>
    <t>Dell 13"</t>
  </si>
  <si>
    <t>Dell 15"</t>
  </si>
  <si>
    <t>Dell GPU</t>
  </si>
  <si>
    <t>Lenovo 13"</t>
  </si>
  <si>
    <t>Lenovo 15"</t>
  </si>
  <si>
    <t>Lenovo GPU</t>
  </si>
  <si>
    <t>HP 13"</t>
  </si>
  <si>
    <t>HP 15"</t>
  </si>
  <si>
    <t>Kjøp</t>
  </si>
  <si>
    <t>Leie</t>
  </si>
  <si>
    <t>Dell latitude 7xxx serie, i7,16gb minne, minimum 256gb ssd</t>
  </si>
  <si>
    <t>Leie m RV</t>
  </si>
  <si>
    <t>DELL Docking WD19-130W</t>
  </si>
  <si>
    <t>PC som tjeneste</t>
  </si>
  <si>
    <t>Basis</t>
  </si>
  <si>
    <t>N/A</t>
  </si>
  <si>
    <t>Pluss</t>
  </si>
  <si>
    <t>Premium</t>
  </si>
  <si>
    <t>Lisenser</t>
  </si>
  <si>
    <t>Microsoft office defender</t>
  </si>
  <si>
    <t>Intune</t>
  </si>
  <si>
    <t>Office 365 E3</t>
  </si>
  <si>
    <t>Enterprice mobility + Security E3</t>
  </si>
  <si>
    <t>Sum total mnd pris lisenser</t>
  </si>
  <si>
    <t>Nøkkelinformasjon</t>
  </si>
  <si>
    <t>Sum totalt lisenser år per stasjon</t>
  </si>
  <si>
    <t>Sum konsulent/support per stasjon</t>
  </si>
  <si>
    <t>Total for èn PC-stasjon UTEN konsulent og lisens</t>
  </si>
  <si>
    <t>Levetid ( år) leie/pc som tjeneste</t>
  </si>
  <si>
    <t>Levetid ( år) investering</t>
  </si>
  <si>
    <t>Inflasjon</t>
  </si>
  <si>
    <t>Skattesats</t>
  </si>
  <si>
    <t>Mva sats</t>
  </si>
  <si>
    <t>Avskriving</t>
  </si>
  <si>
    <t>Avkastningskrav Investering</t>
  </si>
  <si>
    <t>Avkastningskrav PC som tjeneste/leie</t>
  </si>
  <si>
    <t>Kontantstrøm ved investering</t>
  </si>
  <si>
    <t>Periode</t>
  </si>
  <si>
    <t>Inntekt</t>
  </si>
  <si>
    <t>Avskrivning/nedskriving</t>
  </si>
  <si>
    <t>Økt lisens kostnad</t>
  </si>
  <si>
    <t>Økt konsulentkostnad</t>
  </si>
  <si>
    <t>Resultat før skatt</t>
  </si>
  <si>
    <t>Skatt</t>
  </si>
  <si>
    <t>Resultat etter skatt</t>
  </si>
  <si>
    <t>Investering</t>
  </si>
  <si>
    <t>Forventet restverdi</t>
  </si>
  <si>
    <t>Kontantstrøm etter skatt</t>
  </si>
  <si>
    <t>Kontantstrøm</t>
  </si>
  <si>
    <t>NNV</t>
  </si>
  <si>
    <t>EAC (Equivalent Annual Cost)</t>
  </si>
  <si>
    <t>EAA (Equivalant Annual Annuity Approach)</t>
  </si>
  <si>
    <t>Nåverdi</t>
  </si>
  <si>
    <t>IRR</t>
  </si>
  <si>
    <t>Avskrivningsgrunnlag</t>
  </si>
  <si>
    <t>Nåverdi Pc som tjeneste</t>
  </si>
  <si>
    <t>Bokført verdi</t>
  </si>
  <si>
    <t>Avskrining</t>
  </si>
  <si>
    <t>WACC</t>
  </si>
  <si>
    <t>EAA Investering</t>
  </si>
  <si>
    <t>EAA PC som tjenetse</t>
  </si>
  <si>
    <t>EAA lease fratrukekt rv</t>
  </si>
  <si>
    <t>Investerings EAA over tre år</t>
  </si>
  <si>
    <t>PC som tjeneste EAA over tre år</t>
  </si>
  <si>
    <t>Differanse</t>
  </si>
  <si>
    <t>EAA PC SOM TJENESTE</t>
  </si>
  <si>
    <t>EAA INVESTERING</t>
  </si>
  <si>
    <t>Kontantstrøm, Leie med restverdi fratrukket</t>
  </si>
  <si>
    <t>Differanse total på 150 stasjoner</t>
  </si>
  <si>
    <t>Leie med restverdi fratrukket</t>
  </si>
  <si>
    <t>Økt konsulentkostand</t>
  </si>
  <si>
    <t>Økt Lisenskostand</t>
  </si>
  <si>
    <t>PC SOM TJENESTE</t>
  </si>
  <si>
    <t>INVESTERING</t>
  </si>
  <si>
    <t>LEASING HVOR RESTVERDI ER TRUKKET AV</t>
  </si>
  <si>
    <t>EAA</t>
  </si>
  <si>
    <t>Benyttet EAC når den fiktive innteken ikke ble benyttet</t>
  </si>
  <si>
    <t>Kontantstrøm ved PC som tjeneste (PLUSS)</t>
  </si>
  <si>
    <t>Innekt</t>
  </si>
  <si>
    <t>INVESTERINGSKOSTNAD</t>
  </si>
  <si>
    <t>PC som tjeneste kostnad</t>
  </si>
  <si>
    <t>Økt lisenskostnad</t>
  </si>
  <si>
    <t xml:space="preserve">Leasing hvor restverdi er trukket av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</si>
</sst>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kr&quot;\ #,##0.00;[Red]\-&quot;kr&quot;\ #,##0.00"/>
    <numFmt numFmtId="165" formatCode="_-&quot;kr&quot;\ * #,##0.00_-;\-&quot;kr&quot;\ * #,##0.00_-;_-&quot;kr&quot;\ * &quot;-&quot;??_-;_-@_-"/>
    <numFmt numFmtId="166" formatCode="_-[$kr-414]\ * #,##0.000_-;\-[$kr-414]\ * #,##0.000_-;_-[$kr-414]\ * &quot;-&quot;??_-;_-@_-"/>
    <numFmt numFmtId="167" formatCode="_-[$kr-414]\ * #,##0.000_-;\-[$kr-414]\ * #,##0.000_-;_-[$kr-414]\ * &quot;-&quot;???_-;_-@_-"/>
    <numFmt numFmtId="168" formatCode="_-[$kr-414]\ * #,##0.00_-;\-[$kr-414]\ * #,##0.00_-;_-[$kr-414]\ * &quot;-&quot;??_-;_-@_-"/>
    <numFmt numFmtId="169" formatCode="_-[$kr-414]\ * #,##0.0_-;\-[$kr-414]\ * #,##0.0_-;_-[$kr-414]\ * &quot;-&quot;??_-;_-@_-"/>
    <numFmt numFmtId="170" formatCode="_-&quot;kr&quot;\ * #,##0.0_-;\-&quot;kr&quot;\ * #,##0.0_-;_-&quot;kr&quot;\ * &quot;-&quot;??_-;_-@_-"/>
    <numFmt numFmtId="171" formatCode="_-[$kr-414]\ * #,##0.00_-;\-[$kr-414]\ * #,##0.00_-;_-[$kr-414]\ * &quot;-&quot;???_-;_-@_-"/>
    <numFmt numFmtId="172" formatCode="_-&quot;kr&quot;\ * #,##0.0_-;\-&quot;kr&quot;\ * #,##0.0_-;_-&quot;kr&quot;\ * &quot;-&quot;?_-;_-@_-"/>
    <numFmt numFmtId="173" formatCode="_-[$kr-414]\ * #,##0.0_-;\-[$kr-414]\ * #,##0.0_-;_-[$kr-414]\ * &quot;-&quot;???_-;_-@_-"/>
    <numFmt numFmtId="174" formatCode="_-[$kr-414]\ * #,##0.0_-;\-[$kr-414]\ * #,##0.0_-;_-[$kr-414]\ * &quot;-&quot;?_-;_-@_-"/>
  </numFmts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6880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688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4">
    <xf numFmtId="0" fontId="0" fillId="0" borderId="0" xfId="0"/>
    <xf numFmtId="166" fontId="0" fillId="0" borderId="0" xfId="0" applyNumberFormat="1"/>
    <xf numFmtId="0" fontId="0" fillId="0" borderId="0" xfId="0" applyFill="1" applyBorder="1"/>
    <xf numFmtId="0" fontId="0" fillId="2" borderId="2" xfId="0" applyFill="1" applyBorder="1"/>
    <xf numFmtId="0" fontId="0" fillId="0" borderId="2" xfId="0" applyBorder="1"/>
    <xf numFmtId="11" fontId="0" fillId="0" borderId="0" xfId="0" applyNumberFormat="1"/>
    <xf numFmtId="0" fontId="0" fillId="3" borderId="0" xfId="0" applyFill="1"/>
    <xf numFmtId="168" fontId="0" fillId="0" borderId="0" xfId="0" applyNumberFormat="1"/>
    <xf numFmtId="168" fontId="2" fillId="0" borderId="0" xfId="0" applyNumberFormat="1" applyFont="1"/>
    <xf numFmtId="9" fontId="0" fillId="0" borderId="0" xfId="0" applyNumberFormat="1"/>
    <xf numFmtId="0" fontId="0" fillId="0" borderId="6" xfId="0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3" xfId="0" applyFill="1" applyBorder="1"/>
    <xf numFmtId="14" fontId="0" fillId="4" borderId="4" xfId="0" applyNumberFormat="1" applyFill="1" applyBorder="1"/>
    <xf numFmtId="14" fontId="0" fillId="4" borderId="5" xfId="0" applyNumberFormat="1" applyFill="1" applyBorder="1"/>
    <xf numFmtId="0" fontId="0" fillId="0" borderId="10" xfId="0" applyBorder="1"/>
    <xf numFmtId="0" fontId="0" fillId="0" borderId="1" xfId="0" applyBorder="1"/>
    <xf numFmtId="0" fontId="0" fillId="0" borderId="0" xfId="0" applyBorder="1"/>
    <xf numFmtId="167" fontId="0" fillId="0" borderId="0" xfId="0" applyNumberFormat="1"/>
    <xf numFmtId="167" fontId="0" fillId="0" borderId="7" xfId="0" applyNumberFormat="1" applyBorder="1"/>
    <xf numFmtId="0" fontId="0" fillId="5" borderId="0" xfId="0" applyFill="1"/>
    <xf numFmtId="167" fontId="0" fillId="0" borderId="0" xfId="0" applyNumberFormat="1" applyBorder="1"/>
    <xf numFmtId="10" fontId="0" fillId="0" borderId="0" xfId="0" applyNumberFormat="1"/>
    <xf numFmtId="0" fontId="3" fillId="7" borderId="6" xfId="0" applyFont="1" applyFill="1" applyBorder="1"/>
    <xf numFmtId="0" fontId="3" fillId="0" borderId="0" xfId="0" applyFont="1"/>
    <xf numFmtId="0" fontId="3" fillId="7" borderId="7" xfId="0" applyFont="1" applyFill="1" applyBorder="1"/>
    <xf numFmtId="0" fontId="3" fillId="7" borderId="8" xfId="0" applyFont="1" applyFill="1" applyBorder="1"/>
    <xf numFmtId="0" fontId="3" fillId="8" borderId="11" xfId="0" applyFont="1" applyFill="1" applyBorder="1"/>
    <xf numFmtId="14" fontId="3" fillId="8" borderId="12" xfId="0" applyNumberFormat="1" applyFont="1" applyFill="1" applyBorder="1"/>
    <xf numFmtId="14" fontId="3" fillId="8" borderId="9" xfId="0" applyNumberFormat="1" applyFont="1" applyFill="1" applyBorder="1"/>
    <xf numFmtId="164" fontId="0" fillId="0" borderId="0" xfId="0" applyNumberFormat="1"/>
    <xf numFmtId="167" fontId="3" fillId="0" borderId="0" xfId="0" applyNumberFormat="1" applyFont="1"/>
    <xf numFmtId="0" fontId="3" fillId="0" borderId="10" xfId="0" applyFont="1" applyBorder="1"/>
    <xf numFmtId="0" fontId="3" fillId="0" borderId="1" xfId="0" applyFont="1" applyBorder="1"/>
    <xf numFmtId="0" fontId="3" fillId="0" borderId="6" xfId="0" applyFont="1" applyBorder="1"/>
    <xf numFmtId="167" fontId="3" fillId="0" borderId="7" xfId="0" applyNumberFormat="1" applyFont="1" applyBorder="1"/>
    <xf numFmtId="14" fontId="0" fillId="4" borderId="13" xfId="0" applyNumberFormat="1" applyFill="1" applyBorder="1"/>
    <xf numFmtId="0" fontId="0" fillId="4" borderId="11" xfId="0" applyFill="1" applyBorder="1"/>
    <xf numFmtId="14" fontId="0" fillId="4" borderId="15" xfId="0" applyNumberFormat="1" applyFill="1" applyBorder="1"/>
    <xf numFmtId="1" fontId="0" fillId="0" borderId="0" xfId="0" applyNumberFormat="1"/>
    <xf numFmtId="168" fontId="0" fillId="0" borderId="0" xfId="0" applyNumberFormat="1" applyFill="1" applyBorder="1"/>
    <xf numFmtId="169" fontId="0" fillId="0" borderId="0" xfId="0" applyNumberFormat="1" applyFill="1" applyBorder="1"/>
    <xf numFmtId="14" fontId="0" fillId="4" borderId="14" xfId="0" applyNumberFormat="1" applyFill="1" applyBorder="1"/>
    <xf numFmtId="0" fontId="3" fillId="0" borderId="0" xfId="0" applyFont="1" applyFill="1" applyBorder="1"/>
    <xf numFmtId="167" fontId="0" fillId="0" borderId="0" xfId="0" applyNumberFormat="1" applyFill="1" applyBorder="1"/>
    <xf numFmtId="165" fontId="0" fillId="0" borderId="0" xfId="0" applyNumberFormat="1"/>
    <xf numFmtId="170" fontId="0" fillId="0" borderId="0" xfId="1" applyNumberFormat="1" applyFont="1"/>
    <xf numFmtId="170" fontId="0" fillId="0" borderId="10" xfId="1" applyNumberFormat="1" applyFont="1" applyBorder="1"/>
    <xf numFmtId="170" fontId="0" fillId="0" borderId="1" xfId="1" applyNumberFormat="1" applyFont="1" applyBorder="1"/>
    <xf numFmtId="170" fontId="0" fillId="0" borderId="0" xfId="1" applyNumberFormat="1" applyFont="1" applyBorder="1"/>
    <xf numFmtId="170" fontId="0" fillId="0" borderId="7" xfId="1" applyNumberFormat="1" applyFont="1" applyBorder="1"/>
    <xf numFmtId="173" fontId="0" fillId="0" borderId="0" xfId="0" applyNumberFormat="1"/>
    <xf numFmtId="171" fontId="0" fillId="0" borderId="10" xfId="0" applyNumberFormat="1" applyBorder="1"/>
    <xf numFmtId="173" fontId="0" fillId="0" borderId="7" xfId="0" applyNumberFormat="1" applyBorder="1"/>
    <xf numFmtId="173" fontId="0" fillId="0" borderId="0" xfId="0" applyNumberFormat="1" applyBorder="1"/>
    <xf numFmtId="173" fontId="0" fillId="0" borderId="1" xfId="0" applyNumberFormat="1" applyBorder="1"/>
    <xf numFmtId="173" fontId="0" fillId="0" borderId="10" xfId="0" applyNumberFormat="1" applyBorder="1"/>
    <xf numFmtId="173" fontId="0" fillId="6" borderId="0" xfId="0" applyNumberFormat="1" applyFill="1" applyBorder="1"/>
    <xf numFmtId="173" fontId="0" fillId="10" borderId="0" xfId="0" applyNumberFormat="1" applyFill="1"/>
    <xf numFmtId="173" fontId="3" fillId="0" borderId="0" xfId="0" applyNumberFormat="1" applyFont="1"/>
    <xf numFmtId="173" fontId="3" fillId="0" borderId="10" xfId="0" applyNumberFormat="1" applyFont="1" applyBorder="1"/>
    <xf numFmtId="173" fontId="3" fillId="0" borderId="1" xfId="0" applyNumberFormat="1" applyFont="1" applyBorder="1"/>
    <xf numFmtId="173" fontId="3" fillId="0" borderId="7" xfId="0" applyNumberFormat="1" applyFont="1" applyBorder="1"/>
    <xf numFmtId="173" fontId="3" fillId="9" borderId="0" xfId="0" applyNumberFormat="1" applyFont="1" applyFill="1"/>
    <xf numFmtId="173" fontId="0" fillId="10" borderId="0" xfId="0" applyNumberFormat="1" applyFill="1" applyBorder="1"/>
    <xf numFmtId="171" fontId="0" fillId="0" borderId="0" xfId="0" applyNumberFormat="1" applyFill="1" applyBorder="1"/>
    <xf numFmtId="170" fontId="0" fillId="0" borderId="0" xfId="0" applyNumberFormat="1"/>
    <xf numFmtId="172" fontId="0" fillId="0" borderId="0" xfId="0" applyNumberFormat="1"/>
    <xf numFmtId="174" fontId="0" fillId="0" borderId="0" xfId="0" applyNumberFormat="1"/>
    <xf numFmtId="0" fontId="0" fillId="0" borderId="0" xfId="0" applyFill="1" applyAlignment="1"/>
    <xf numFmtId="10" fontId="0" fillId="11" borderId="0" xfId="0" applyNumberFormat="1" applyFill="1"/>
    <xf numFmtId="167" fontId="0" fillId="11" borderId="0" xfId="0" applyNumberFormat="1" applyFill="1"/>
    <xf numFmtId="165" fontId="0" fillId="11" borderId="0" xfId="0" applyNumberFormat="1" applyFill="1"/>
    <xf numFmtId="172" fontId="0" fillId="11" borderId="0" xfId="0" applyNumberFormat="1" applyFill="1"/>
    <xf numFmtId="9" fontId="0" fillId="12" borderId="0" xfId="0" applyNumberFormat="1" applyFill="1"/>
    <xf numFmtId="167" fontId="0" fillId="12" borderId="0" xfId="0" applyNumberFormat="1" applyFill="1"/>
    <xf numFmtId="165" fontId="0" fillId="12" borderId="0" xfId="0" applyNumberFormat="1" applyFill="1"/>
    <xf numFmtId="10" fontId="0" fillId="12" borderId="0" xfId="0" applyNumberFormat="1" applyFill="1"/>
    <xf numFmtId="0" fontId="0" fillId="12" borderId="0" xfId="0" applyFill="1"/>
    <xf numFmtId="168" fontId="0" fillId="12" borderId="0" xfId="0" applyNumberFormat="1" applyFill="1"/>
    <xf numFmtId="174" fontId="0" fillId="12" borderId="0" xfId="0" applyNumberFormat="1" applyFill="1"/>
    <xf numFmtId="0" fontId="0" fillId="12" borderId="16" xfId="0" applyFill="1" applyBorder="1"/>
    <xf numFmtId="168" fontId="0" fillId="12" borderId="16" xfId="0" applyNumberForma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/>
    <xf numFmtId="0" fontId="0" fillId="2" borderId="24" xfId="0" applyFill="1" applyBorder="1"/>
    <xf numFmtId="166" fontId="0" fillId="0" borderId="20" xfId="0" applyNumberFormat="1" applyBorder="1"/>
    <xf numFmtId="166" fontId="0" fillId="0" borderId="22" xfId="0" applyNumberFormat="1" applyBorder="1"/>
    <xf numFmtId="0" fontId="0" fillId="10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FF68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EAA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'Ark1'!$W$100</c:f>
              <c:strCache>
                <c:ptCount val="1"/>
                <c:pt idx="0">
                  <c:v>EAA PC SOM TJENESTE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'Ark1'!$V$101:$V$110</c:f>
              <c:numCache>
                <c:formatCode>0%</c:formatCode>
                <c:ptCount val="10"/>
                <c:pt idx="0" formatCode="0.00%">
                  <c:v>5.1999999999999998E-3</c:v>
                </c:pt>
                <c:pt idx="1">
                  <c:v>0.01</c:v>
                </c:pt>
                <c:pt idx="2" formatCode="0.00%">
                  <c:v>2.7699999999999999E-2</c:v>
                </c:pt>
                <c:pt idx="3">
                  <c:v>0.03</c:v>
                </c:pt>
                <c:pt idx="4" formatCode="0.00%">
                  <c:v>0.04</c:v>
                </c:pt>
                <c:pt idx="5">
                  <c:v>0.05</c:v>
                </c:pt>
                <c:pt idx="6" formatCode="0.00%">
                  <c:v>0.06</c:v>
                </c:pt>
                <c:pt idx="7">
                  <c:v>7.0000000000000007E-2</c:v>
                </c:pt>
                <c:pt idx="8" formatCode="0.00%">
                  <c:v>0.08</c:v>
                </c:pt>
                <c:pt idx="9">
                  <c:v>0.09</c:v>
                </c:pt>
              </c:numCache>
            </c:numRef>
          </c:xVal>
          <c:yVal>
            <c:numRef>
              <c:f>'Ark1'!$W$101:$W$110</c:f>
              <c:numCache>
                <c:formatCode>_-[$kr-414]\ * #,##0.000_-;\-[$kr-414]\ * #,##0.000_-;_-[$kr-414]\ * "-"???_-;_-@_-</c:formatCode>
                <c:ptCount val="10"/>
                <c:pt idx="0">
                  <c:v>22672.079134530064</c:v>
                </c:pt>
                <c:pt idx="1">
                  <c:v>22669.897553216135</c:v>
                </c:pt>
                <c:pt idx="2">
                  <c:v>22661.943150916301</c:v>
                </c:pt>
                <c:pt idx="3">
                  <c:v>22660.919856352528</c:v>
                </c:pt>
                <c:pt idx="4">
                  <c:v>22656.498083034334</c:v>
                </c:pt>
                <c:pt idx="5">
                  <c:v>22652.120412371125</c:v>
                </c:pt>
                <c:pt idx="6">
                  <c:v>22647.786385224237</c:v>
                </c:pt>
                <c:pt idx="7">
                  <c:v>22643.495543873818</c:v>
                </c:pt>
                <c:pt idx="8">
                  <c:v>22639.247432232612</c:v>
                </c:pt>
                <c:pt idx="9">
                  <c:v>22635.041596046478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EE-7A45-AC42-D077101C1443}"/>
            </c:ext>
          </c:extLst>
        </c:ser>
        <c:ser>
          <c:idx val="1"/>
          <c:order val="1"/>
          <c:tx>
            <c:strRef>
              <c:f>'Ark1'!$X$100</c:f>
              <c:strCache>
                <c:ptCount val="1"/>
                <c:pt idx="0">
                  <c:v>EAA INVESTERING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'Ark1'!$V$101:$V$110</c:f>
              <c:numCache>
                <c:formatCode>0%</c:formatCode>
                <c:ptCount val="10"/>
                <c:pt idx="0" formatCode="0.00%">
                  <c:v>5.1999999999999998E-3</c:v>
                </c:pt>
                <c:pt idx="1">
                  <c:v>0.01</c:v>
                </c:pt>
                <c:pt idx="2" formatCode="0.00%">
                  <c:v>2.7699999999999999E-2</c:v>
                </c:pt>
                <c:pt idx="3">
                  <c:v>0.03</c:v>
                </c:pt>
                <c:pt idx="4" formatCode="0.00%">
                  <c:v>0.04</c:v>
                </c:pt>
                <c:pt idx="5">
                  <c:v>0.05</c:v>
                </c:pt>
                <c:pt idx="6" formatCode="0.00%">
                  <c:v>0.06</c:v>
                </c:pt>
                <c:pt idx="7">
                  <c:v>7.0000000000000007E-2</c:v>
                </c:pt>
                <c:pt idx="8" formatCode="0.00%">
                  <c:v>0.08</c:v>
                </c:pt>
                <c:pt idx="9">
                  <c:v>0.09</c:v>
                </c:pt>
              </c:numCache>
            </c:numRef>
          </c:xVal>
          <c:yVal>
            <c:numRef>
              <c:f>'Ark1'!$X$101:$X$110</c:f>
              <c:numCache>
                <c:formatCode>_-"kr"\ * #,##0.00_-;\-"kr"\ * #,##0.00_-;_-"kr"\ * "-"??_-;_-@_-</c:formatCode>
                <c:ptCount val="10"/>
                <c:pt idx="0">
                  <c:v>23648.360013119735</c:v>
                </c:pt>
                <c:pt idx="1">
                  <c:v>23568.220643107059</c:v>
                </c:pt>
                <c:pt idx="2">
                  <c:v>23268.901087231592</c:v>
                </c:pt>
                <c:pt idx="3">
                  <c:v>23229.572649310521</c:v>
                </c:pt>
                <c:pt idx="4">
                  <c:v>23057.438180745896</c:v>
                </c:pt>
                <c:pt idx="5">
                  <c:v>22883.470657769758</c:v>
                </c:pt>
                <c:pt idx="6">
                  <c:v>22707.700579526911</c:v>
                </c:pt>
                <c:pt idx="7">
                  <c:v>22530.158443852193</c:v>
                </c:pt>
                <c:pt idx="8">
                  <c:v>22350.874712470475</c:v>
                </c:pt>
                <c:pt idx="9">
                  <c:v>22169.8797781869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EE-7A45-AC42-D077101C1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93984"/>
        <c:axId val="108371936"/>
      </c:scatterChart>
      <c:valAx>
        <c:axId val="10869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71936"/>
        <c:crosses val="autoZero"/>
        <c:crossBetween val="midCat"/>
      </c:valAx>
      <c:valAx>
        <c:axId val="10837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kr-414]\ * #,##0.000_-;\-[$kr-414]\ * #,##0.000_-;_-[$kr-414]\ * &quot;-&quot;?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93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478072</xdr:colOff>
      <xdr:row>85</xdr:row>
      <xdr:rowOff>97167</xdr:rowOff>
    </xdr:from>
    <xdr:to>
      <xdr:col>24</xdr:col>
      <xdr:colOff>613042</xdr:colOff>
      <xdr:row>98</xdr:row>
      <xdr:rowOff>121545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B37D2C8-20C3-5F47-909B-190CC82B0B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ilertsen, Sindre" id="{7D20D9D9-A367-EC4D-B347-138C8195D60B}" userId="S::s1811385@nbsstd.no::8bdac6a6-638c-4c30-9c20-5e53ae49cf2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9" dT="2021-04-13T10:04:55.22" personId="{7D20D9D9-A367-EC4D-B347-138C8195D60B}" id="{C4FEEB8E-C745-5E44-BCB8-1056A42898DA}" done="1">
    <text xml:space="preserve">Dell lattiude 7xxx serie, E3 lisens. i7,16gb minne, minimum 256gb ssd, trenger ikke 4g (150stk) (Skjermkort MÅ være NVidia) DELL Docking WD19-130W(75 stk) Logitech M705 Wireless Mouse (150 stk) Logitech MK540 Advanced Combo trådløs (150stk) Dell Docking WD19-180W (75stk) Lenovo eller lignende 27", 1920*1200. 2 stk per stasjon.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25CC-D55C-D04D-8944-C046562A223C}">
  <dimension ref="A3:X174"/>
  <sheetViews>
    <sheetView tabSelected="1" zoomScale="50" zoomScaleNormal="93" workbookViewId="0">
      <selection activeCell="O16" sqref="O16"/>
    </sheetView>
  </sheetViews>
  <sheetFormatPr defaultColWidth="11" defaultRowHeight="15.95"/>
  <cols>
    <col min="1" max="1" width="65.625" customWidth="1"/>
    <col min="2" max="2" width="17.875" customWidth="1"/>
    <col min="3" max="3" width="26.625" customWidth="1"/>
    <col min="4" max="4" width="18" customWidth="1"/>
    <col min="5" max="5" width="20.125" customWidth="1"/>
    <col min="6" max="6" width="21.375" customWidth="1"/>
    <col min="7" max="7" width="24.875" customWidth="1"/>
    <col min="8" max="8" width="18.625" customWidth="1"/>
    <col min="9" max="9" width="16.5" customWidth="1"/>
    <col min="10" max="10" width="30.5" customWidth="1"/>
    <col min="11" max="11" width="16.125" bestFit="1" customWidth="1"/>
    <col min="12" max="12" width="18.875" customWidth="1"/>
    <col min="13" max="13" width="17.875" customWidth="1"/>
    <col min="14" max="14" width="16.625" customWidth="1"/>
    <col min="15" max="15" width="18.375" bestFit="1" customWidth="1"/>
    <col min="16" max="16" width="20" bestFit="1" customWidth="1"/>
    <col min="17" max="17" width="17" customWidth="1"/>
    <col min="23" max="23" width="20.125" bestFit="1" customWidth="1"/>
    <col min="24" max="24" width="16.5" bestFit="1" customWidth="1"/>
  </cols>
  <sheetData>
    <row r="3" spans="1:20">
      <c r="A3" t="s">
        <v>0</v>
      </c>
    </row>
    <row r="8" spans="1:20">
      <c r="A8" s="91" t="s">
        <v>1</v>
      </c>
      <c r="B8" s="92" t="s">
        <v>2</v>
      </c>
      <c r="C8" s="2"/>
      <c r="D8" s="2"/>
      <c r="E8" s="2"/>
      <c r="F8" s="6" t="s">
        <v>3</v>
      </c>
      <c r="G8" s="6" t="s">
        <v>4</v>
      </c>
      <c r="H8" s="6" t="s">
        <v>5</v>
      </c>
      <c r="J8" s="6" t="s">
        <v>6</v>
      </c>
      <c r="K8" s="6" t="s">
        <v>4</v>
      </c>
      <c r="L8" s="6" t="s">
        <v>5</v>
      </c>
    </row>
    <row r="9" spans="1:20" ht="17.100000000000001">
      <c r="A9" s="87"/>
      <c r="B9" s="88"/>
      <c r="F9" t="s">
        <v>7</v>
      </c>
      <c r="G9" s="7">
        <v>918</v>
      </c>
      <c r="H9" s="8">
        <f>G9*12</f>
        <v>11016</v>
      </c>
      <c r="J9" t="s">
        <v>7</v>
      </c>
      <c r="K9" s="47">
        <f>P25</f>
        <v>583</v>
      </c>
      <c r="L9" s="47">
        <f>K9*12</f>
        <v>6996</v>
      </c>
      <c r="N9" s="85">
        <f>P25*12</f>
        <v>6996</v>
      </c>
      <c r="O9" s="86">
        <f>N9*3</f>
        <v>20988</v>
      </c>
    </row>
    <row r="10" spans="1:20">
      <c r="A10" s="87" t="s">
        <v>8</v>
      </c>
      <c r="B10" s="93">
        <v>20589.935000000001</v>
      </c>
      <c r="F10" t="s">
        <v>9</v>
      </c>
      <c r="G10" s="7">
        <f>106*2</f>
        <v>212</v>
      </c>
      <c r="H10" s="7">
        <f>G10*12</f>
        <v>2544</v>
      </c>
      <c r="I10" s="5"/>
      <c r="J10" t="s">
        <v>9</v>
      </c>
      <c r="K10" s="47">
        <f>106*2</f>
        <v>212</v>
      </c>
      <c r="L10" s="47">
        <f>K10*12</f>
        <v>2544</v>
      </c>
      <c r="N10" s="89">
        <f>P24*12</f>
        <v>7296</v>
      </c>
      <c r="O10" s="90">
        <f>N10*3</f>
        <v>21888</v>
      </c>
    </row>
    <row r="11" spans="1:20">
      <c r="A11" s="87" t="s">
        <v>10</v>
      </c>
      <c r="B11" s="93">
        <v>1710.6355000000001</v>
      </c>
      <c r="F11" t="s">
        <v>11</v>
      </c>
      <c r="G11" s="7">
        <v>69</v>
      </c>
      <c r="H11" s="7">
        <f>G11*12</f>
        <v>828</v>
      </c>
      <c r="J11" t="s">
        <v>11</v>
      </c>
      <c r="K11" s="47">
        <v>69</v>
      </c>
      <c r="L11" s="47">
        <f>K11*12</f>
        <v>828</v>
      </c>
    </row>
    <row r="12" spans="1:20">
      <c r="A12" s="87" t="s">
        <v>12</v>
      </c>
      <c r="B12" s="93">
        <v>329.9</v>
      </c>
      <c r="F12" t="s">
        <v>13</v>
      </c>
      <c r="G12" s="7">
        <v>69</v>
      </c>
      <c r="H12" s="7">
        <f>G12*12</f>
        <v>828</v>
      </c>
      <c r="J12" t="s">
        <v>13</v>
      </c>
      <c r="K12" s="47">
        <v>69</v>
      </c>
      <c r="L12" s="47">
        <f>K12*12</f>
        <v>828</v>
      </c>
    </row>
    <row r="13" spans="1:20">
      <c r="A13" s="87" t="s">
        <v>14</v>
      </c>
      <c r="B13" s="93">
        <v>111.974</v>
      </c>
      <c r="F13" t="s">
        <v>15</v>
      </c>
      <c r="G13" s="7">
        <v>16</v>
      </c>
      <c r="H13" s="7">
        <f>G13*12</f>
        <v>192</v>
      </c>
      <c r="J13" t="s">
        <v>15</v>
      </c>
      <c r="K13" s="47">
        <v>16</v>
      </c>
      <c r="L13" s="47">
        <f>K13*12</f>
        <v>192</v>
      </c>
    </row>
    <row r="14" spans="1:20">
      <c r="A14" s="87" t="s">
        <v>16</v>
      </c>
      <c r="B14" s="93">
        <v>1788.3219999999999</v>
      </c>
      <c r="C14" s="98" t="s">
        <v>17</v>
      </c>
      <c r="D14" s="99"/>
      <c r="E14" s="100"/>
      <c r="G14" s="7"/>
      <c r="H14" s="7"/>
    </row>
    <row r="15" spans="1:20">
      <c r="A15" s="87" t="s">
        <v>18</v>
      </c>
      <c r="B15" s="93">
        <v>1649</v>
      </c>
      <c r="C15" s="101" t="s">
        <v>19</v>
      </c>
      <c r="D15" s="102"/>
      <c r="E15" s="103"/>
      <c r="F15" t="s">
        <v>20</v>
      </c>
      <c r="G15" s="7">
        <f>SUM(G9:G13)</f>
        <v>1284</v>
      </c>
      <c r="H15" s="7">
        <f>SUM(H9:H13)</f>
        <v>15408</v>
      </c>
      <c r="J15" t="s">
        <v>21</v>
      </c>
      <c r="K15" s="47">
        <f>SUM(K9:K13)</f>
        <v>949</v>
      </c>
      <c r="L15" s="47">
        <f>SUM(L9:L13)</f>
        <v>11388</v>
      </c>
    </row>
    <row r="16" spans="1:20">
      <c r="A16" s="87" t="s">
        <v>22</v>
      </c>
      <c r="B16" s="93">
        <f>D17</f>
        <v>6400</v>
      </c>
      <c r="C16" s="87" t="s">
        <v>23</v>
      </c>
      <c r="D16" s="19">
        <f>80000*12</f>
        <v>960000</v>
      </c>
      <c r="E16" s="88"/>
    </row>
    <row r="17" spans="1:16">
      <c r="A17" s="87"/>
      <c r="B17" s="93"/>
      <c r="C17" s="87" t="s">
        <v>24</v>
      </c>
      <c r="D17" s="19">
        <f>D16/150</f>
        <v>6400</v>
      </c>
      <c r="E17" s="88"/>
    </row>
    <row r="18" spans="1:16">
      <c r="A18" s="87" t="s">
        <v>25</v>
      </c>
      <c r="B18" s="93">
        <f>SUM(B10:B15)</f>
        <v>26179.766500000002</v>
      </c>
      <c r="C18" s="89"/>
      <c r="D18" s="18"/>
      <c r="E18" s="90"/>
    </row>
    <row r="19" spans="1:16">
      <c r="A19" s="89" t="s">
        <v>26</v>
      </c>
      <c r="B19" s="94">
        <f>B18*150</f>
        <v>3926964.9750000001</v>
      </c>
    </row>
    <row r="20" spans="1:16">
      <c r="B20" s="1"/>
      <c r="E20" s="96" t="s">
        <v>27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>
      <c r="B21" s="1"/>
    </row>
    <row r="22" spans="1:16">
      <c r="B22" s="1"/>
      <c r="E22" s="3"/>
      <c r="F22" s="3"/>
      <c r="G22" s="3"/>
      <c r="H22" s="3" t="s">
        <v>28</v>
      </c>
      <c r="I22" s="3" t="s">
        <v>29</v>
      </c>
      <c r="J22" s="3" t="s">
        <v>30</v>
      </c>
      <c r="K22" s="3" t="s">
        <v>31</v>
      </c>
      <c r="L22" s="3" t="s">
        <v>32</v>
      </c>
      <c r="M22" s="3" t="s">
        <v>33</v>
      </c>
      <c r="N22" s="3" t="s">
        <v>34</v>
      </c>
      <c r="O22" s="3" t="s">
        <v>35</v>
      </c>
      <c r="P22" s="3" t="s">
        <v>7</v>
      </c>
    </row>
    <row r="23" spans="1:16">
      <c r="B23" s="1"/>
      <c r="E23" s="4">
        <v>1</v>
      </c>
      <c r="F23" s="4" t="s">
        <v>36</v>
      </c>
      <c r="G23" s="4"/>
      <c r="H23" s="4">
        <v>9196</v>
      </c>
      <c r="I23" s="4">
        <v>7920.0000000000009</v>
      </c>
      <c r="J23" s="4">
        <v>10560</v>
      </c>
      <c r="K23" s="4">
        <v>13177</v>
      </c>
      <c r="L23" s="4">
        <v>15889</v>
      </c>
      <c r="M23" s="4">
        <v>29824</v>
      </c>
      <c r="N23" s="4">
        <v>18632</v>
      </c>
      <c r="O23" s="4">
        <v>8987</v>
      </c>
      <c r="P23" s="4">
        <v>19999</v>
      </c>
    </row>
    <row r="24" spans="1:16">
      <c r="B24" s="1"/>
      <c r="E24" s="4">
        <v>2</v>
      </c>
      <c r="F24" s="4" t="s">
        <v>37</v>
      </c>
      <c r="G24" s="4"/>
      <c r="H24" s="4">
        <v>285</v>
      </c>
      <c r="I24" s="4">
        <v>245</v>
      </c>
      <c r="J24" s="4">
        <v>325</v>
      </c>
      <c r="K24" s="4">
        <v>395</v>
      </c>
      <c r="L24" s="4">
        <v>485</v>
      </c>
      <c r="M24" s="4">
        <v>905</v>
      </c>
      <c r="N24" s="4">
        <v>570</v>
      </c>
      <c r="O24" s="4">
        <v>276</v>
      </c>
      <c r="P24" s="4">
        <v>608</v>
      </c>
    </row>
    <row r="25" spans="1:16">
      <c r="A25" t="s">
        <v>38</v>
      </c>
      <c r="B25" s="1"/>
      <c r="E25" s="4">
        <v>3</v>
      </c>
      <c r="F25" s="4" t="s">
        <v>39</v>
      </c>
      <c r="G25" s="4"/>
      <c r="H25" s="4">
        <v>270</v>
      </c>
      <c r="I25" s="4">
        <v>233</v>
      </c>
      <c r="J25" s="4">
        <v>310</v>
      </c>
      <c r="K25" s="4">
        <v>380</v>
      </c>
      <c r="L25" s="4">
        <v>470</v>
      </c>
      <c r="M25" s="4">
        <v>870</v>
      </c>
      <c r="N25" s="4">
        <v>545</v>
      </c>
      <c r="O25" s="4">
        <v>265</v>
      </c>
      <c r="P25" s="4">
        <v>583</v>
      </c>
    </row>
    <row r="26" spans="1:16">
      <c r="A26" t="s">
        <v>40</v>
      </c>
      <c r="B26" s="1"/>
      <c r="E26" s="4">
        <v>4</v>
      </c>
      <c r="F26" s="4" t="s">
        <v>41</v>
      </c>
      <c r="G26" s="4" t="s">
        <v>42</v>
      </c>
      <c r="H26" s="4" t="s">
        <v>43</v>
      </c>
      <c r="I26" s="4" t="s">
        <v>43</v>
      </c>
      <c r="J26" s="4" t="s">
        <v>43</v>
      </c>
      <c r="K26" s="4">
        <v>415</v>
      </c>
      <c r="L26" s="4">
        <v>500</v>
      </c>
      <c r="M26" s="4">
        <v>939</v>
      </c>
      <c r="N26" s="4">
        <v>587</v>
      </c>
      <c r="O26" s="4">
        <v>283</v>
      </c>
      <c r="P26" s="4">
        <v>630</v>
      </c>
    </row>
    <row r="27" spans="1:16">
      <c r="A27" t="s">
        <v>12</v>
      </c>
      <c r="B27" s="1"/>
      <c r="E27" s="4">
        <v>5</v>
      </c>
      <c r="F27" s="4" t="s">
        <v>41</v>
      </c>
      <c r="G27" s="4" t="s">
        <v>44</v>
      </c>
      <c r="H27" s="4" t="s">
        <v>43</v>
      </c>
      <c r="I27" s="4" t="s">
        <v>43</v>
      </c>
      <c r="J27" s="4" t="s">
        <v>43</v>
      </c>
      <c r="K27" s="4">
        <v>702</v>
      </c>
      <c r="L27" s="4">
        <v>788</v>
      </c>
      <c r="M27" s="4">
        <v>1227</v>
      </c>
      <c r="N27" s="4">
        <v>962</v>
      </c>
      <c r="O27" s="4">
        <v>571</v>
      </c>
      <c r="P27" s="4">
        <v>918</v>
      </c>
    </row>
    <row r="28" spans="1:16">
      <c r="A28" t="s">
        <v>14</v>
      </c>
      <c r="B28" s="1"/>
      <c r="E28" s="4">
        <v>6</v>
      </c>
      <c r="F28" s="4" t="s">
        <v>41</v>
      </c>
      <c r="G28" s="4" t="s">
        <v>45</v>
      </c>
      <c r="H28" s="4" t="s">
        <v>43</v>
      </c>
      <c r="I28" s="4" t="s">
        <v>43</v>
      </c>
      <c r="J28" s="4" t="s">
        <v>43</v>
      </c>
      <c r="K28" s="4" t="s">
        <v>43</v>
      </c>
      <c r="L28" s="4" t="s">
        <v>43</v>
      </c>
      <c r="M28" s="4" t="s">
        <v>43</v>
      </c>
      <c r="N28" s="4" t="s">
        <v>43</v>
      </c>
      <c r="O28" s="4" t="s">
        <v>43</v>
      </c>
      <c r="P28" s="4" t="s">
        <v>43</v>
      </c>
    </row>
    <row r="29" spans="1:16">
      <c r="A29" t="s">
        <v>16</v>
      </c>
      <c r="B29" s="1"/>
    </row>
    <row r="30" spans="1:16">
      <c r="A30" t="s">
        <v>18</v>
      </c>
      <c r="B30" s="1"/>
    </row>
    <row r="31" spans="1:16">
      <c r="B31" s="1"/>
    </row>
    <row r="32" spans="1:16">
      <c r="B32" s="1"/>
    </row>
    <row r="35" spans="1:4">
      <c r="A35" s="85"/>
      <c r="B35" s="17"/>
      <c r="C35" s="17"/>
      <c r="D35" s="86"/>
    </row>
    <row r="36" spans="1:4">
      <c r="A36" s="87" t="s">
        <v>46</v>
      </c>
      <c r="B36" s="19"/>
      <c r="C36" s="19">
        <f>B38/140</f>
        <v>16.228571428571428</v>
      </c>
      <c r="D36" s="88">
        <f>B38/141</f>
        <v>16.113475177304963</v>
      </c>
    </row>
    <row r="37" spans="1:4">
      <c r="A37" s="87"/>
      <c r="B37" s="19"/>
      <c r="C37" s="19">
        <f>B39/60</f>
        <v>48.68333333333333</v>
      </c>
      <c r="D37" s="88"/>
    </row>
    <row r="38" spans="1:4">
      <c r="A38" s="87" t="s">
        <v>47</v>
      </c>
      <c r="B38" s="19">
        <v>2272</v>
      </c>
      <c r="C38" s="19">
        <f>B40/151</f>
        <v>90.708609271523173</v>
      </c>
      <c r="D38" s="88"/>
    </row>
    <row r="39" spans="1:4">
      <c r="A39" s="87" t="s">
        <v>48</v>
      </c>
      <c r="B39" s="19">
        <v>2921</v>
      </c>
      <c r="C39" s="19">
        <f>B41/118</f>
        <v>60.881355932203391</v>
      </c>
      <c r="D39" s="88"/>
    </row>
    <row r="40" spans="1:4">
      <c r="A40" s="87" t="s">
        <v>49</v>
      </c>
      <c r="B40" s="19">
        <v>13697</v>
      </c>
      <c r="C40" s="19"/>
      <c r="D40" s="88"/>
    </row>
    <row r="41" spans="1:4">
      <c r="A41" s="87" t="s">
        <v>50</v>
      </c>
      <c r="B41" s="19">
        <v>7184</v>
      </c>
      <c r="C41" s="19">
        <f>SUM(C36:C39)</f>
        <v>216.50186996563133</v>
      </c>
      <c r="D41" s="88">
        <f>C41*12</f>
        <v>2598.0224395875757</v>
      </c>
    </row>
    <row r="42" spans="1:4">
      <c r="A42" s="87"/>
      <c r="B42" s="19"/>
      <c r="C42" s="19"/>
      <c r="D42" s="88"/>
    </row>
    <row r="43" spans="1:4">
      <c r="A43" s="89" t="s">
        <v>51</v>
      </c>
      <c r="B43" s="18"/>
      <c r="C43" s="18"/>
      <c r="D43" s="90"/>
    </row>
    <row r="49" spans="1:8">
      <c r="A49" t="s">
        <v>52</v>
      </c>
    </row>
    <row r="51" spans="1:8">
      <c r="A51" t="s">
        <v>8</v>
      </c>
      <c r="B51" s="1">
        <v>20589.935000000001</v>
      </c>
    </row>
    <row r="52" spans="1:8">
      <c r="A52" t="s">
        <v>10</v>
      </c>
      <c r="B52" s="1">
        <v>1710.6355000000001</v>
      </c>
    </row>
    <row r="53" spans="1:8">
      <c r="A53" t="s">
        <v>12</v>
      </c>
      <c r="B53" s="1">
        <v>329.9</v>
      </c>
    </row>
    <row r="54" spans="1:8">
      <c r="A54" t="s">
        <v>14</v>
      </c>
      <c r="B54" s="1">
        <v>111.974</v>
      </c>
    </row>
    <row r="55" spans="1:8">
      <c r="A55" t="s">
        <v>16</v>
      </c>
      <c r="B55" s="1">
        <v>1788.3219999999999</v>
      </c>
    </row>
    <row r="56" spans="1:8">
      <c r="A56" t="s">
        <v>18</v>
      </c>
      <c r="B56" s="1">
        <v>1649</v>
      </c>
    </row>
    <row r="57" spans="1:8">
      <c r="A57" t="s">
        <v>53</v>
      </c>
      <c r="B57" s="1">
        <f>B16</f>
        <v>6400</v>
      </c>
      <c r="E57" s="20"/>
    </row>
    <row r="58" spans="1:8">
      <c r="A58" t="s">
        <v>54</v>
      </c>
      <c r="B58" s="1">
        <f>1400000/150</f>
        <v>9333.3333333333339</v>
      </c>
    </row>
    <row r="59" spans="1:8">
      <c r="A59" t="s">
        <v>55</v>
      </c>
      <c r="B59" s="1">
        <f>SUM(B51:B56)</f>
        <v>26179.766500000002</v>
      </c>
      <c r="E59" s="1"/>
      <c r="F59" s="20"/>
      <c r="G59" s="9"/>
      <c r="H59" s="47"/>
    </row>
    <row r="60" spans="1:8">
      <c r="B60" s="1"/>
      <c r="H60" s="47"/>
    </row>
    <row r="61" spans="1:8">
      <c r="A61" t="s">
        <v>56</v>
      </c>
      <c r="B61" s="41">
        <v>3</v>
      </c>
      <c r="H61" s="47"/>
    </row>
    <row r="62" spans="1:8">
      <c r="A62" t="s">
        <v>57</v>
      </c>
      <c r="B62">
        <v>5</v>
      </c>
      <c r="H62" s="47"/>
    </row>
    <row r="63" spans="1:8">
      <c r="A63" t="s">
        <v>58</v>
      </c>
      <c r="B63" s="9">
        <v>0.02</v>
      </c>
      <c r="H63" s="47"/>
    </row>
    <row r="64" spans="1:8">
      <c r="A64" t="s">
        <v>59</v>
      </c>
      <c r="B64" s="9">
        <v>0.22</v>
      </c>
    </row>
    <row r="65" spans="1:9">
      <c r="A65" t="s">
        <v>60</v>
      </c>
      <c r="B65" s="9">
        <v>0.25</v>
      </c>
    </row>
    <row r="66" spans="1:9">
      <c r="A66" t="s">
        <v>61</v>
      </c>
      <c r="B66" s="9">
        <v>0.3</v>
      </c>
    </row>
    <row r="67" spans="1:9">
      <c r="A67" t="s">
        <v>62</v>
      </c>
      <c r="B67" s="24">
        <v>2.7699999999999999E-2</v>
      </c>
    </row>
    <row r="68" spans="1:9">
      <c r="B68" s="9"/>
    </row>
    <row r="69" spans="1:9" ht="17.100000000000001" thickBot="1">
      <c r="A69" t="s">
        <v>63</v>
      </c>
      <c r="B69" s="24">
        <v>5.1999999999999998E-3</v>
      </c>
    </row>
    <row r="70" spans="1:9" ht="17.100000000000001" thickBot="1">
      <c r="A70" s="11" t="s">
        <v>64</v>
      </c>
      <c r="B70" s="12"/>
      <c r="C70" s="12"/>
      <c r="D70" s="12"/>
      <c r="E70" s="12"/>
      <c r="F70" s="12"/>
      <c r="G70" s="12"/>
    </row>
    <row r="71" spans="1:9" ht="17.100000000000001" thickBot="1">
      <c r="A71" s="39" t="s">
        <v>65</v>
      </c>
      <c r="B71" s="40">
        <v>44562</v>
      </c>
      <c r="C71" s="40">
        <v>44926</v>
      </c>
      <c r="D71" s="40">
        <v>45291</v>
      </c>
      <c r="E71" s="38">
        <v>45657</v>
      </c>
      <c r="F71" s="44">
        <v>46022</v>
      </c>
      <c r="G71" s="44">
        <v>46387</v>
      </c>
    </row>
    <row r="72" spans="1:9">
      <c r="A72" s="2" t="s">
        <v>66</v>
      </c>
      <c r="B72" s="42"/>
      <c r="C72" s="42">
        <f>50000</f>
        <v>50000</v>
      </c>
      <c r="D72" s="42">
        <f>C72*(1+$B$63)</f>
        <v>51000</v>
      </c>
      <c r="E72" s="42">
        <f t="shared" ref="E72:G72" si="0">D72*(1+$B$63)</f>
        <v>52020</v>
      </c>
      <c r="F72" s="42">
        <f t="shared" si="0"/>
        <v>53060.4</v>
      </c>
      <c r="G72" s="42">
        <f t="shared" si="0"/>
        <v>54121.608</v>
      </c>
    </row>
    <row r="73" spans="1:9">
      <c r="A73" t="s">
        <v>67</v>
      </c>
      <c r="B73" s="48"/>
      <c r="C73" s="48">
        <f>B94*B66*(-1)</f>
        <v>-7853.9299499999997</v>
      </c>
      <c r="D73" s="48">
        <f>D95*(-1)</f>
        <v>-5497.7509650000002</v>
      </c>
      <c r="E73" s="48">
        <f>E95*(-1)</f>
        <v>-3848.4256755000001</v>
      </c>
      <c r="F73" s="48">
        <f>F95*(-1)</f>
        <v>-2693.8979728499999</v>
      </c>
      <c r="G73" s="48">
        <f>G95*(-1)</f>
        <v>-6285.7619366500003</v>
      </c>
      <c r="I73" s="20"/>
    </row>
    <row r="74" spans="1:9">
      <c r="A74" t="s">
        <v>68</v>
      </c>
      <c r="B74" s="48"/>
      <c r="C74" s="48">
        <f>B57*(-1)</f>
        <v>-6400</v>
      </c>
      <c r="D74" s="48">
        <f>C74*(1+$B$63)</f>
        <v>-6528</v>
      </c>
      <c r="E74" s="48">
        <f t="shared" ref="E74:G74" si="1">D74*(1+$B$63)</f>
        <v>-6658.56</v>
      </c>
      <c r="F74" s="48">
        <f t="shared" si="1"/>
        <v>-6791.7312000000002</v>
      </c>
      <c r="G74" s="48">
        <f t="shared" si="1"/>
        <v>-6927.5658240000002</v>
      </c>
    </row>
    <row r="75" spans="1:9">
      <c r="A75" t="s">
        <v>69</v>
      </c>
      <c r="B75" s="48"/>
      <c r="C75" s="48">
        <f>B58*(-1)</f>
        <v>-9333.3333333333339</v>
      </c>
      <c r="D75" s="48">
        <f>C75*(1+$B$63)</f>
        <v>-9520</v>
      </c>
      <c r="E75" s="48">
        <f t="shared" ref="E75:G75" si="2">D75*(1+$B$63)</f>
        <v>-9710.4</v>
      </c>
      <c r="F75" s="48">
        <f t="shared" si="2"/>
        <v>-9904.6080000000002</v>
      </c>
      <c r="G75" s="48">
        <f t="shared" si="2"/>
        <v>-10102.70016</v>
      </c>
    </row>
    <row r="76" spans="1:9">
      <c r="A76" s="17" t="s">
        <v>70</v>
      </c>
      <c r="B76" s="49"/>
      <c r="C76" s="49">
        <f>SUM(C72:C75)</f>
        <v>26412.736716666666</v>
      </c>
      <c r="D76" s="49">
        <f t="shared" ref="D76" si="3">SUM(D72:D75)</f>
        <v>29454.249035000001</v>
      </c>
      <c r="E76" s="49">
        <f>SUM(E72:E75)</f>
        <v>31802.614324499998</v>
      </c>
      <c r="F76" s="49">
        <f>SUM(F72:F75)</f>
        <v>33670.162827150001</v>
      </c>
      <c r="G76" s="49">
        <f t="shared" ref="G76" si="4">SUM(G72:G75)</f>
        <v>30805.580079350002</v>
      </c>
    </row>
    <row r="77" spans="1:9">
      <c r="A77" s="18" t="s">
        <v>71</v>
      </c>
      <c r="B77" s="50"/>
      <c r="C77" s="50">
        <f>C76*B64*(-1)</f>
        <v>-5810.8020776666663</v>
      </c>
      <c r="D77" s="50">
        <f>D76*B64*(-1)</f>
        <v>-6479.9347877</v>
      </c>
      <c r="E77" s="50">
        <f>E76*B64*(-1)</f>
        <v>-6996.5751513899995</v>
      </c>
      <c r="F77" s="50">
        <f>F76*$B$64*(-1)</f>
        <v>-7407.4358219730002</v>
      </c>
      <c r="G77" s="50">
        <f>G76*$B$64*(-1)</f>
        <v>-6777.2276174570006</v>
      </c>
      <c r="I77" s="20"/>
    </row>
    <row r="78" spans="1:9">
      <c r="A78" s="19" t="s">
        <v>72</v>
      </c>
      <c r="B78" s="51"/>
      <c r="C78" s="51">
        <f>C76+C77</f>
        <v>20601.934638999999</v>
      </c>
      <c r="D78" s="51">
        <f t="shared" ref="D78:E78" si="5">D76+D77</f>
        <v>22974.314247300001</v>
      </c>
      <c r="E78" s="51">
        <f t="shared" si="5"/>
        <v>24806.039173109999</v>
      </c>
      <c r="F78" s="48">
        <f>SUM(F76+F77)</f>
        <v>26262.727005177003</v>
      </c>
      <c r="G78" s="48">
        <f>SUM(G76+G77)</f>
        <v>24028.352461893002</v>
      </c>
    </row>
    <row r="79" spans="1:9">
      <c r="A79" s="19" t="s">
        <v>67</v>
      </c>
      <c r="B79" s="51"/>
      <c r="C79" s="51">
        <f>C95</f>
        <v>7853.9299499999997</v>
      </c>
      <c r="D79" s="51">
        <f>D95</f>
        <v>5497.7509650000002</v>
      </c>
      <c r="E79" s="51">
        <f>E95</f>
        <v>3848.4256755000001</v>
      </c>
      <c r="F79" s="48">
        <f>F95</f>
        <v>2693.8979728499999</v>
      </c>
      <c r="G79" s="48">
        <f>G95</f>
        <v>6285.7619366500003</v>
      </c>
    </row>
    <row r="80" spans="1:9">
      <c r="A80" t="s">
        <v>73</v>
      </c>
      <c r="B80" s="48">
        <f>-B59</f>
        <v>-26179.766500000002</v>
      </c>
      <c r="C80" s="48"/>
      <c r="D80" s="48"/>
      <c r="E80" s="48"/>
      <c r="F80" s="48"/>
      <c r="G80" s="48"/>
    </row>
    <row r="81" spans="1:16" ht="17.100000000000001" thickBot="1">
      <c r="A81" t="s">
        <v>74</v>
      </c>
      <c r="B81" s="48"/>
      <c r="C81" s="48"/>
      <c r="D81" s="48"/>
      <c r="E81" s="48"/>
      <c r="F81" s="48"/>
      <c r="G81" s="48"/>
    </row>
    <row r="82" spans="1:16" ht="17.100000000000001" thickBot="1">
      <c r="A82" s="10" t="s">
        <v>75</v>
      </c>
      <c r="B82" s="52">
        <f>B80</f>
        <v>-26179.766500000002</v>
      </c>
      <c r="C82" s="52">
        <f>SUM(C78:C79)</f>
        <v>28455.864588999997</v>
      </c>
      <c r="D82" s="52">
        <f t="shared" ref="D82:G82" si="6">SUM(D78:D79)</f>
        <v>28472.0652123</v>
      </c>
      <c r="E82" s="52">
        <f t="shared" si="6"/>
        <v>28654.464848609998</v>
      </c>
      <c r="F82" s="52">
        <f>SUM(F78:F79)</f>
        <v>28956.624978027001</v>
      </c>
      <c r="G82" s="52">
        <f t="shared" si="6"/>
        <v>30314.114398543003</v>
      </c>
      <c r="J82" t="s">
        <v>76</v>
      </c>
      <c r="K82" s="68">
        <f t="shared" ref="K82:P82" si="7">B82</f>
        <v>-26179.766500000002</v>
      </c>
      <c r="L82" s="68">
        <f t="shared" si="7"/>
        <v>28455.864588999997</v>
      </c>
      <c r="M82" s="68">
        <f t="shared" si="7"/>
        <v>28472.0652123</v>
      </c>
      <c r="N82" s="68">
        <f t="shared" si="7"/>
        <v>28654.464848609998</v>
      </c>
      <c r="O82" s="68">
        <f t="shared" si="7"/>
        <v>28956.624978027001</v>
      </c>
      <c r="P82" s="68">
        <f t="shared" si="7"/>
        <v>30314.114398543003</v>
      </c>
    </row>
    <row r="83" spans="1:16">
      <c r="A83" s="19"/>
      <c r="B83" s="23"/>
      <c r="C83" s="23"/>
      <c r="D83" s="23"/>
      <c r="E83" s="23"/>
      <c r="J83" s="7"/>
    </row>
    <row r="84" spans="1:16">
      <c r="A84" s="2" t="s">
        <v>77</v>
      </c>
      <c r="B84" s="59">
        <f>NPV(B67,C82:G82)+B82</f>
        <v>107268.19770703893</v>
      </c>
      <c r="C84" s="23"/>
      <c r="D84" s="23"/>
      <c r="E84" s="23"/>
    </row>
    <row r="85" spans="1:16">
      <c r="A85" s="2" t="s">
        <v>78</v>
      </c>
      <c r="B85" s="66">
        <f>B84*(((1+B67)^5)*B67/(((1+B67)^5)-1))</f>
        <v>23268.901087231585</v>
      </c>
      <c r="C85" s="23"/>
      <c r="D85" s="23"/>
      <c r="E85" s="23"/>
      <c r="K85" s="9">
        <v>0</v>
      </c>
      <c r="L85" s="9">
        <v>0.02</v>
      </c>
      <c r="M85" s="9">
        <v>0.04</v>
      </c>
      <c r="N85" s="9">
        <v>0.06</v>
      </c>
      <c r="O85" s="9">
        <v>0.08</v>
      </c>
      <c r="P85" s="9">
        <v>0.1</v>
      </c>
    </row>
    <row r="86" spans="1:16">
      <c r="A86" s="2" t="s">
        <v>79</v>
      </c>
      <c r="B86" s="67">
        <f>(B67*B84)/(1-(1+B67)^-5)</f>
        <v>23268.901087231592</v>
      </c>
      <c r="C86" s="23"/>
      <c r="D86" s="23"/>
      <c r="E86" s="23"/>
      <c r="J86" t="s">
        <v>80</v>
      </c>
      <c r="K86" s="69">
        <f>NPV(K85,L82:P82)+K82</f>
        <v>118673.36752648</v>
      </c>
      <c r="L86" s="69">
        <f>NPV(L85,M82:Q82)+L82</f>
        <v>139203.46144942479</v>
      </c>
      <c r="M86" s="69">
        <f t="shared" ref="M86:P86" si="8">NPV(M85,N82:R82)+M82</f>
        <v>109745.60010713853</v>
      </c>
      <c r="N86" s="69">
        <f t="shared" si="8"/>
        <v>82951.489479485404</v>
      </c>
      <c r="O86" s="69">
        <f t="shared" si="8"/>
        <v>57025.249421122367</v>
      </c>
      <c r="P86" s="69">
        <f t="shared" si="8"/>
        <v>30314.114398543003</v>
      </c>
    </row>
    <row r="87" spans="1:16">
      <c r="A87" s="2"/>
      <c r="B87" s="46"/>
      <c r="C87" s="23"/>
      <c r="D87" s="23"/>
      <c r="E87" s="23"/>
    </row>
    <row r="88" spans="1:16">
      <c r="A88" s="2"/>
      <c r="B88" s="46"/>
      <c r="C88" s="23"/>
      <c r="D88" s="23"/>
      <c r="E88" s="23"/>
    </row>
    <row r="89" spans="1:16">
      <c r="A89" s="2"/>
      <c r="B89" s="46"/>
      <c r="C89" s="23"/>
      <c r="D89" s="23"/>
      <c r="E89" s="23"/>
      <c r="J89" t="s">
        <v>76</v>
      </c>
      <c r="K89">
        <v>0</v>
      </c>
      <c r="L89" s="53">
        <f>C132</f>
        <v>21989.760000000002</v>
      </c>
      <c r="M89" s="53">
        <f>D132</f>
        <v>22669.919999999998</v>
      </c>
      <c r="N89" s="53">
        <f>E132</f>
        <v>23363.683199999999</v>
      </c>
    </row>
    <row r="90" spans="1:16">
      <c r="F90" s="20"/>
      <c r="O90" t="s">
        <v>81</v>
      </c>
    </row>
    <row r="91" spans="1:16">
      <c r="K91" s="9">
        <v>0</v>
      </c>
      <c r="L91" s="9">
        <v>0.02</v>
      </c>
      <c r="M91" s="9">
        <v>0.04</v>
      </c>
      <c r="N91" s="9">
        <v>0.06</v>
      </c>
      <c r="O91" s="9"/>
    </row>
    <row r="92" spans="1:16" ht="17.100000000000001" thickBot="1">
      <c r="A92" s="22" t="s">
        <v>82</v>
      </c>
      <c r="B92" s="22"/>
      <c r="C92" s="22"/>
      <c r="D92" s="22"/>
      <c r="E92" s="22"/>
      <c r="F92" s="22"/>
      <c r="G92" s="22"/>
      <c r="H92" s="22"/>
      <c r="J92" t="s">
        <v>83</v>
      </c>
      <c r="K92" s="32">
        <f>NPV(K91,L89:N89)+K89</f>
        <v>68023.363199999993</v>
      </c>
      <c r="L92" s="32">
        <f>NPV(L91,M89:O89)+L89</f>
        <v>66671.614671280273</v>
      </c>
      <c r="M92" s="32">
        <f t="shared" ref="M92:N92" si="9">NPV(M91,N89:P89)+M89</f>
        <v>45135</v>
      </c>
      <c r="N92" s="32">
        <f t="shared" si="9"/>
        <v>23363.683199999999</v>
      </c>
    </row>
    <row r="93" spans="1:16" ht="17.100000000000001" thickBot="1">
      <c r="A93" t="s">
        <v>65</v>
      </c>
      <c r="B93" s="15">
        <v>44562</v>
      </c>
      <c r="C93" s="15">
        <v>44926</v>
      </c>
      <c r="D93" s="15">
        <v>45291</v>
      </c>
      <c r="E93" s="16">
        <v>45657</v>
      </c>
      <c r="F93" s="16">
        <v>46022</v>
      </c>
      <c r="G93" s="16">
        <v>46387</v>
      </c>
      <c r="H93" s="20"/>
    </row>
    <row r="94" spans="1:16">
      <c r="A94" t="s">
        <v>84</v>
      </c>
      <c r="B94" s="1">
        <f>B59</f>
        <v>26179.766500000002</v>
      </c>
      <c r="C94" s="1">
        <f>B94</f>
        <v>26179.766500000002</v>
      </c>
      <c r="D94" s="20">
        <f>C94-C95</f>
        <v>18325.83655</v>
      </c>
      <c r="E94" s="20">
        <f>D94-D95</f>
        <v>12828.085585000001</v>
      </c>
      <c r="F94" s="20">
        <f>E94-E95</f>
        <v>8979.6599095000001</v>
      </c>
      <c r="G94" s="20">
        <f>F94-F95</f>
        <v>6285.7619366500003</v>
      </c>
      <c r="H94">
        <v>0</v>
      </c>
    </row>
    <row r="95" spans="1:16">
      <c r="A95" t="s">
        <v>85</v>
      </c>
      <c r="C95" s="20">
        <f>C94*B66</f>
        <v>7853.9299499999997</v>
      </c>
      <c r="D95" s="20">
        <f>D94*B66</f>
        <v>5497.7509650000002</v>
      </c>
      <c r="E95" s="20">
        <f>E94*B66</f>
        <v>3848.4256755000001</v>
      </c>
      <c r="F95" s="20">
        <f>F94*B66</f>
        <v>2693.8979728499999</v>
      </c>
      <c r="G95" s="20">
        <f>G94</f>
        <v>6285.7619366500003</v>
      </c>
      <c r="H95" s="20">
        <f>SUM(C95:G95)</f>
        <v>26179.766499999998</v>
      </c>
    </row>
    <row r="96" spans="1:16">
      <c r="H96" s="20"/>
    </row>
    <row r="97" spans="1:24">
      <c r="B97" s="1"/>
      <c r="C97" s="1"/>
      <c r="D97" s="20"/>
      <c r="E97" s="20"/>
      <c r="F97" s="20"/>
      <c r="G97" s="20"/>
      <c r="M97" t="s">
        <v>86</v>
      </c>
      <c r="N97" t="s">
        <v>87</v>
      </c>
      <c r="O97" t="s">
        <v>88</v>
      </c>
      <c r="P97" t="s">
        <v>89</v>
      </c>
    </row>
    <row r="98" spans="1:24">
      <c r="C98" s="20"/>
      <c r="D98" s="20"/>
      <c r="E98" s="20"/>
      <c r="F98" s="20"/>
      <c r="G98" s="20"/>
      <c r="J98" s="80" t="s">
        <v>90</v>
      </c>
      <c r="K98" s="81">
        <f>69806.7</f>
        <v>69806.7</v>
      </c>
      <c r="M98" s="9">
        <v>0.01</v>
      </c>
      <c r="N98" s="7">
        <f>23568.22</f>
        <v>23568.22</v>
      </c>
      <c r="O98">
        <f>26809.7</f>
        <v>26809.7</v>
      </c>
    </row>
    <row r="99" spans="1:24">
      <c r="J99" s="80" t="s">
        <v>91</v>
      </c>
      <c r="K99" s="82">
        <f>68016.2</f>
        <v>68016.2</v>
      </c>
      <c r="M99" s="9">
        <v>0.02</v>
      </c>
      <c r="N99" s="7">
        <f>23399.84</f>
        <v>23399.84</v>
      </c>
      <c r="O99">
        <v>26284</v>
      </c>
    </row>
    <row r="100" spans="1:24" ht="17.100000000000001" thickBot="1">
      <c r="F100" s="20"/>
      <c r="J100" s="80" t="s">
        <v>92</v>
      </c>
      <c r="K100" s="81">
        <f>K98-K99</f>
        <v>1790.5</v>
      </c>
      <c r="M100" s="9">
        <v>0.03</v>
      </c>
      <c r="N100" s="7">
        <v>23229.57</v>
      </c>
      <c r="O100">
        <f>25755.1</f>
        <v>25755.1</v>
      </c>
      <c r="V100" t="s">
        <v>86</v>
      </c>
      <c r="W100" t="s">
        <v>93</v>
      </c>
      <c r="X100" t="s">
        <v>94</v>
      </c>
    </row>
    <row r="101" spans="1:24" ht="17.100000000000001" thickBot="1">
      <c r="A101" s="11" t="s">
        <v>95</v>
      </c>
      <c r="B101" s="12"/>
      <c r="C101" s="12"/>
      <c r="D101" s="12"/>
      <c r="E101" s="13"/>
      <c r="J101" s="83" t="s">
        <v>96</v>
      </c>
      <c r="K101" s="84">
        <f>K100*150</f>
        <v>268575</v>
      </c>
      <c r="M101" s="9">
        <v>0.04</v>
      </c>
      <c r="N101" s="7">
        <v>23057.439999999999</v>
      </c>
      <c r="O101">
        <f>25282.5</f>
        <v>25282.5</v>
      </c>
      <c r="V101" s="72">
        <v>5.1999999999999998E-3</v>
      </c>
      <c r="W101" s="20">
        <f t="shared" ref="W101:W110" si="10">M112</f>
        <v>22672.079134530064</v>
      </c>
      <c r="X101" s="47">
        <f t="shared" ref="X101:X110" si="11">O112</f>
        <v>23648.360013119735</v>
      </c>
    </row>
    <row r="102" spans="1:24" ht="17.100000000000001" thickBot="1">
      <c r="A102" s="14" t="s">
        <v>65</v>
      </c>
      <c r="B102" s="15">
        <v>44562</v>
      </c>
      <c r="C102" s="15">
        <v>44926</v>
      </c>
      <c r="D102" s="15">
        <v>45291</v>
      </c>
      <c r="E102" s="16">
        <v>45657</v>
      </c>
      <c r="M102" s="9">
        <v>0.05</v>
      </c>
      <c r="N102" s="7">
        <v>22833.47</v>
      </c>
      <c r="O102">
        <f>24805.4</f>
        <v>24805.4</v>
      </c>
      <c r="V102" s="9">
        <v>0.01</v>
      </c>
      <c r="W102" s="20">
        <f t="shared" si="10"/>
        <v>22669.897553216135</v>
      </c>
      <c r="X102" s="47">
        <f t="shared" si="11"/>
        <v>23568.220643107059</v>
      </c>
    </row>
    <row r="103" spans="1:24">
      <c r="A103" t="s">
        <v>66</v>
      </c>
      <c r="C103" s="53">
        <f>C72</f>
        <v>50000</v>
      </c>
      <c r="D103" s="53">
        <f>D72</f>
        <v>51000</v>
      </c>
      <c r="E103" s="53">
        <f>E72</f>
        <v>52020</v>
      </c>
      <c r="M103" s="9">
        <v>0.06</v>
      </c>
      <c r="N103" s="7">
        <v>22707.7</v>
      </c>
      <c r="O103">
        <v>24343.1</v>
      </c>
      <c r="V103" s="72">
        <v>2.7699999999999999E-2</v>
      </c>
      <c r="W103" s="20">
        <f t="shared" si="10"/>
        <v>22661.943150916301</v>
      </c>
      <c r="X103" s="47">
        <f t="shared" si="11"/>
        <v>23268.901087231592</v>
      </c>
    </row>
    <row r="104" spans="1:24">
      <c r="A104" t="s">
        <v>97</v>
      </c>
      <c r="C104" s="53">
        <f>-L15</f>
        <v>-11388</v>
      </c>
      <c r="D104" s="53">
        <f>C104</f>
        <v>-11388</v>
      </c>
      <c r="E104" s="53">
        <f>D104</f>
        <v>-11388</v>
      </c>
      <c r="M104" s="9">
        <v>7.0000000000000007E-2</v>
      </c>
      <c r="N104" s="7">
        <v>22530.16</v>
      </c>
      <c r="O104">
        <v>23895.1</v>
      </c>
      <c r="V104" s="9">
        <v>0.03</v>
      </c>
      <c r="W104" s="20">
        <f t="shared" si="10"/>
        <v>22660.919856352528</v>
      </c>
      <c r="X104" s="47">
        <f t="shared" si="11"/>
        <v>23229.572649310521</v>
      </c>
    </row>
    <row r="105" spans="1:24">
      <c r="A105" t="s">
        <v>98</v>
      </c>
      <c r="C105" s="53">
        <f>C75</f>
        <v>-9333.3333333333339</v>
      </c>
      <c r="D105" s="53">
        <f>D75</f>
        <v>-9520</v>
      </c>
      <c r="E105" s="53">
        <f>E75</f>
        <v>-9710.4</v>
      </c>
      <c r="H105" s="20"/>
      <c r="M105" s="9">
        <v>0.08</v>
      </c>
      <c r="N105" s="7">
        <v>22350.87</v>
      </c>
      <c r="O105">
        <f>23460.8</f>
        <v>23460.799999999999</v>
      </c>
      <c r="V105" s="24">
        <v>0.04</v>
      </c>
      <c r="W105" s="20">
        <f t="shared" si="10"/>
        <v>22656.498083034334</v>
      </c>
      <c r="X105" s="47">
        <f t="shared" si="11"/>
        <v>23057.438180745896</v>
      </c>
    </row>
    <row r="106" spans="1:24">
      <c r="A106" t="s">
        <v>99</v>
      </c>
      <c r="C106" s="53">
        <f>C125</f>
        <v>-6400</v>
      </c>
      <c r="D106" s="53">
        <f>D125</f>
        <v>-6528</v>
      </c>
      <c r="E106" s="53">
        <f>E125</f>
        <v>-6658.56</v>
      </c>
      <c r="M106" s="9">
        <v>0.09</v>
      </c>
      <c r="N106" s="7">
        <f>22169.88</f>
        <v>22169.88</v>
      </c>
      <c r="O106">
        <f>22635</f>
        <v>22635</v>
      </c>
      <c r="V106" s="9">
        <v>0.05</v>
      </c>
      <c r="W106" s="20">
        <f t="shared" si="10"/>
        <v>22652.120412371125</v>
      </c>
      <c r="X106" s="47">
        <f t="shared" si="11"/>
        <v>22883.470657769758</v>
      </c>
    </row>
    <row r="107" spans="1:24">
      <c r="A107" s="17" t="s">
        <v>70</v>
      </c>
      <c r="B107" s="17"/>
      <c r="C107" s="58">
        <f>SUM(C103:C106)</f>
        <v>22878.666666666664</v>
      </c>
      <c r="D107" s="54">
        <f>SUM(D103:D106)</f>
        <v>23564</v>
      </c>
      <c r="E107" s="54">
        <f>SUM(E103:E106)</f>
        <v>24263.039999999997</v>
      </c>
      <c r="M107" s="9">
        <v>0.1</v>
      </c>
      <c r="N107" s="7">
        <v>21987.200000000001</v>
      </c>
      <c r="O107">
        <v>22630.9</v>
      </c>
      <c r="V107" s="24">
        <v>0.06</v>
      </c>
      <c r="W107" s="20">
        <f t="shared" si="10"/>
        <v>22647.786385224237</v>
      </c>
      <c r="X107" s="47">
        <f t="shared" si="11"/>
        <v>22707.700579526911</v>
      </c>
    </row>
    <row r="108" spans="1:24">
      <c r="A108" s="18" t="s">
        <v>71</v>
      </c>
      <c r="B108" s="18"/>
      <c r="C108" s="57">
        <f>C107*B64*(-1)</f>
        <v>-5033.3066666666664</v>
      </c>
      <c r="D108" s="57">
        <f>D107*B64*(-1)</f>
        <v>-5184.08</v>
      </c>
      <c r="E108" s="57">
        <f>E107*B64*(-1)</f>
        <v>-5337.8687999999993</v>
      </c>
      <c r="H108" s="20"/>
      <c r="I108" s="20"/>
      <c r="V108" s="76">
        <v>7.0000000000000007E-2</v>
      </c>
      <c r="W108" s="20">
        <f t="shared" si="10"/>
        <v>22643.495543873818</v>
      </c>
      <c r="X108" s="47">
        <f t="shared" si="11"/>
        <v>22530.158443852193</v>
      </c>
    </row>
    <row r="109" spans="1:24">
      <c r="A109" s="19" t="s">
        <v>72</v>
      </c>
      <c r="B109" s="19"/>
      <c r="C109" s="56">
        <f>C107+C108</f>
        <v>17845.359999999997</v>
      </c>
      <c r="D109" s="56">
        <f t="shared" ref="D109" si="12">D107+D108</f>
        <v>18379.919999999998</v>
      </c>
      <c r="E109" s="56">
        <f t="shared" ref="E109" si="13">E107+E108</f>
        <v>18925.171199999997</v>
      </c>
      <c r="V109" s="24">
        <v>0.08</v>
      </c>
      <c r="W109" s="20">
        <f t="shared" si="10"/>
        <v>22639.247432232612</v>
      </c>
      <c r="X109" s="47">
        <f t="shared" si="11"/>
        <v>22350.874712470475</v>
      </c>
    </row>
    <row r="110" spans="1:24">
      <c r="A110" s="19" t="s">
        <v>67</v>
      </c>
      <c r="B110" s="19"/>
      <c r="C110" s="23"/>
      <c r="D110" s="23"/>
      <c r="E110" s="23"/>
      <c r="K110" s="71"/>
      <c r="L110" s="95" t="s">
        <v>100</v>
      </c>
      <c r="M110" s="95"/>
      <c r="N110" s="95" t="s">
        <v>101</v>
      </c>
      <c r="O110" s="95"/>
      <c r="P110" s="95" t="s">
        <v>102</v>
      </c>
      <c r="Q110" s="95"/>
      <c r="V110" s="9">
        <v>0.09</v>
      </c>
      <c r="W110" s="20">
        <f t="shared" si="10"/>
        <v>22635.041596046478</v>
      </c>
      <c r="X110" s="47">
        <f t="shared" si="11"/>
        <v>22169.8797781869</v>
      </c>
    </row>
    <row r="111" spans="1:24">
      <c r="A111" t="s">
        <v>73</v>
      </c>
      <c r="B111" s="20">
        <f>(B92-B90)*(-1)</f>
        <v>0</v>
      </c>
      <c r="K111" t="s">
        <v>86</v>
      </c>
      <c r="L111" t="s">
        <v>77</v>
      </c>
      <c r="M111" t="s">
        <v>103</v>
      </c>
      <c r="N111" t="s">
        <v>77</v>
      </c>
      <c r="O111" t="s">
        <v>103</v>
      </c>
      <c r="P111" t="s">
        <v>77</v>
      </c>
      <c r="Q111" t="s">
        <v>103</v>
      </c>
    </row>
    <row r="112" spans="1:24" ht="17.100000000000001" thickBot="1">
      <c r="A112" t="s">
        <v>74</v>
      </c>
      <c r="K112" s="72">
        <v>5.1999999999999998E-3</v>
      </c>
      <c r="L112" s="73">
        <f>NPV(K112,C132:E132)+B132</f>
        <v>67314.951592375437</v>
      </c>
      <c r="M112" s="73">
        <f t="shared" ref="M112:M117" si="14">(K112*L112)/(1-(1+K112)^-3)</f>
        <v>22672.079134530064</v>
      </c>
      <c r="N112" s="74">
        <f>L125</f>
        <v>116419.37819200021</v>
      </c>
      <c r="O112" s="74">
        <f>M125</f>
        <v>23648.360013119735</v>
      </c>
      <c r="P112" s="75">
        <f>L138</f>
        <v>54576.27625555679</v>
      </c>
      <c r="Q112" s="74">
        <f>M138</f>
        <v>18381.616934477741</v>
      </c>
    </row>
    <row r="113" spans="1:17" ht="17.100000000000001" thickBot="1">
      <c r="A113" s="10" t="s">
        <v>75</v>
      </c>
      <c r="B113" s="21">
        <f>B111</f>
        <v>0</v>
      </c>
      <c r="C113" s="55">
        <f>SUM(C109:C110)</f>
        <v>17845.359999999997</v>
      </c>
      <c r="D113" s="55">
        <f t="shared" ref="D113:E113" si="15">SUM(D109:D110)</f>
        <v>18379.919999999998</v>
      </c>
      <c r="E113" s="55">
        <f t="shared" si="15"/>
        <v>18925.171199999997</v>
      </c>
      <c r="K113" s="9">
        <v>0.01</v>
      </c>
      <c r="L113" s="20">
        <f>NPV(K113,C132:E132)+B132</f>
        <v>66671.833353553971</v>
      </c>
      <c r="M113" s="20">
        <f t="shared" si="14"/>
        <v>22669.897553216135</v>
      </c>
      <c r="N113" s="47">
        <f>L126</f>
        <v>114386.73832456279</v>
      </c>
      <c r="O113" s="47">
        <f t="shared" ref="O113:O120" si="16">M126</f>
        <v>23568.220643107059</v>
      </c>
      <c r="P113" s="69">
        <f t="shared" ref="P113:P120" si="17">L139</f>
        <v>54055.02094630598</v>
      </c>
      <c r="Q113" s="47">
        <f t="shared" ref="Q113:Q120" si="18">M139</f>
        <v>18379.902358338062</v>
      </c>
    </row>
    <row r="114" spans="1:17">
      <c r="A114" s="19"/>
      <c r="B114" s="23"/>
      <c r="C114" s="23"/>
      <c r="D114" s="23"/>
      <c r="E114" s="23"/>
      <c r="K114" s="72">
        <v>2.7699999999999999E-2</v>
      </c>
      <c r="L114" s="73">
        <f>NPV(K114,C132:E132)+B132</f>
        <v>64386.342680556598</v>
      </c>
      <c r="M114" s="73">
        <f t="shared" si="14"/>
        <v>22661.943150916301</v>
      </c>
      <c r="N114" s="74">
        <f t="shared" ref="N114:N120" si="19">L127</f>
        <v>107268.19770703893</v>
      </c>
      <c r="O114" s="74">
        <f>M127</f>
        <v>23268.901087231592</v>
      </c>
      <c r="P114" s="75">
        <f>L140</f>
        <v>52202.592007586492</v>
      </c>
      <c r="Q114" s="74">
        <f t="shared" si="18"/>
        <v>18373.65073328896</v>
      </c>
    </row>
    <row r="115" spans="1:17">
      <c r="A115" s="2" t="s">
        <v>77</v>
      </c>
      <c r="B115" s="59">
        <f>NPV(B69,C113:E113)+B113</f>
        <v>54576.27625555679</v>
      </c>
      <c r="C115" s="23"/>
      <c r="D115" s="23"/>
      <c r="E115" s="23"/>
      <c r="K115" s="9">
        <v>0.03</v>
      </c>
      <c r="L115" s="20">
        <f>NPV(K115,C132:E132)+B132</f>
        <v>64098.935218037077</v>
      </c>
      <c r="M115" s="20">
        <f t="shared" si="14"/>
        <v>22660.919856352528</v>
      </c>
      <c r="N115" s="47">
        <f t="shared" si="19"/>
        <v>106384.64081750487</v>
      </c>
      <c r="O115" s="47">
        <f t="shared" si="16"/>
        <v>23229.572649310521</v>
      </c>
      <c r="P115" s="69">
        <f t="shared" si="17"/>
        <v>51969.642210726</v>
      </c>
      <c r="Q115" s="47">
        <f t="shared" si="18"/>
        <v>18372.846492607336</v>
      </c>
    </row>
    <row r="116" spans="1:17">
      <c r="A116" s="2" t="s">
        <v>78</v>
      </c>
      <c r="B116" s="60">
        <f>B115*(((1+B69)^3)*B69/(((1+B69)^3)-1))</f>
        <v>18381.616934477803</v>
      </c>
      <c r="C116" s="97" t="s">
        <v>104</v>
      </c>
      <c r="D116" s="97"/>
      <c r="E116" s="97"/>
      <c r="K116" s="24">
        <v>0.04</v>
      </c>
      <c r="L116" s="20">
        <f>NPV(K116,C132:E132)+B132</f>
        <v>62873.844674556196</v>
      </c>
      <c r="M116" s="20">
        <f t="shared" si="14"/>
        <v>22656.498083034334</v>
      </c>
      <c r="N116" s="47">
        <f t="shared" si="19"/>
        <v>102647.61818907037</v>
      </c>
      <c r="O116" s="47">
        <f t="shared" si="16"/>
        <v>23057.438180745896</v>
      </c>
      <c r="P116" s="69">
        <f t="shared" si="17"/>
        <v>50976.677514792886</v>
      </c>
      <c r="Q116" s="47">
        <f t="shared" si="18"/>
        <v>18369.371276268572</v>
      </c>
    </row>
    <row r="117" spans="1:17">
      <c r="A117" s="2" t="s">
        <v>79</v>
      </c>
      <c r="B117" s="53">
        <f>B116</f>
        <v>18381.616934477803</v>
      </c>
      <c r="K117" s="9">
        <v>0.05</v>
      </c>
      <c r="L117" s="20">
        <f>NPV(K117,C132:E132)+B132</f>
        <v>61687.342274052484</v>
      </c>
      <c r="M117" s="20">
        <f t="shared" si="14"/>
        <v>22652.120412371125</v>
      </c>
      <c r="N117" s="47">
        <f t="shared" si="19"/>
        <v>99073.452355879082</v>
      </c>
      <c r="O117" s="47">
        <f t="shared" si="16"/>
        <v>22883.470657769758</v>
      </c>
      <c r="P117" s="69">
        <f t="shared" si="17"/>
        <v>50014.98464528667</v>
      </c>
      <c r="Q117" s="47">
        <f t="shared" si="18"/>
        <v>18365.930721649471</v>
      </c>
    </row>
    <row r="118" spans="1:17">
      <c r="K118" s="24">
        <v>0.06</v>
      </c>
      <c r="L118" s="20">
        <f>NPV(K118,C132:E132)+B132</f>
        <v>60537.803636559031</v>
      </c>
      <c r="M118" s="20">
        <f t="shared" ref="M118:M119" si="20">(K118*L118)/(1-(1+K118)^-3)</f>
        <v>22647.786385224237</v>
      </c>
      <c r="N118" s="47">
        <f t="shared" si="19"/>
        <v>95653.095574668841</v>
      </c>
      <c r="O118" s="47">
        <f t="shared" si="16"/>
        <v>22707.700579526911</v>
      </c>
      <c r="P118" s="69">
        <f t="shared" si="17"/>
        <v>49083.247324972952</v>
      </c>
      <c r="Q118" s="47">
        <f t="shared" si="18"/>
        <v>18362.524467897947</v>
      </c>
    </row>
    <row r="119" spans="1:17" ht="17.100000000000001" thickBot="1">
      <c r="K119" s="79">
        <v>7.0000000000000007E-2</v>
      </c>
      <c r="L119" s="77">
        <f>NPV(K119,C132:E132)+B132</f>
        <v>59423.688657459359</v>
      </c>
      <c r="M119" s="77">
        <f t="shared" si="20"/>
        <v>22643.495543873818</v>
      </c>
      <c r="N119" s="78">
        <f t="shared" si="19"/>
        <v>92378.097882975795</v>
      </c>
      <c r="O119" s="78">
        <f>M132</f>
        <v>22530.158443852193</v>
      </c>
      <c r="P119" s="69">
        <f t="shared" si="17"/>
        <v>48180.217562975326</v>
      </c>
      <c r="Q119" s="47">
        <f t="shared" si="18"/>
        <v>18359.152155276974</v>
      </c>
    </row>
    <row r="120" spans="1:17" ht="17.100000000000001" thickBot="1">
      <c r="A120" s="25" t="s">
        <v>105</v>
      </c>
      <c r="B120" s="27"/>
      <c r="C120" s="27"/>
      <c r="D120" s="27"/>
      <c r="E120" s="28"/>
      <c r="G120" s="70"/>
      <c r="K120" s="24">
        <v>0.08</v>
      </c>
      <c r="L120" s="20">
        <f>NPV(K120,C132:E132)+B132</f>
        <v>58343.536351165974</v>
      </c>
      <c r="M120" s="20">
        <f>(K120*L120)/(1-(1+K120)^-3)</f>
        <v>22639.247432232612</v>
      </c>
      <c r="N120" s="47">
        <f t="shared" si="19"/>
        <v>89240.561801955671</v>
      </c>
      <c r="O120" s="47">
        <f t="shared" si="16"/>
        <v>22350.874712470475</v>
      </c>
      <c r="P120" s="69">
        <f t="shared" si="17"/>
        <v>47304.711476908997</v>
      </c>
      <c r="Q120" s="47">
        <f t="shared" si="18"/>
        <v>18355.813425332664</v>
      </c>
    </row>
    <row r="121" spans="1:17" ht="17.100000000000001" thickBot="1">
      <c r="A121" s="29" t="s">
        <v>65</v>
      </c>
      <c r="B121" s="30">
        <v>44197</v>
      </c>
      <c r="C121" s="30">
        <v>44926</v>
      </c>
      <c r="D121" s="30">
        <v>45291</v>
      </c>
      <c r="E121" s="31">
        <v>45657</v>
      </c>
      <c r="G121" s="7"/>
      <c r="K121" s="9">
        <v>0.09</v>
      </c>
      <c r="L121" s="20">
        <f>NPV(K121,C132:E132)+B132</f>
        <v>57295.960056492935</v>
      </c>
      <c r="M121" s="20">
        <f>(K121*L121)/(1-(1+K121)^-3)</f>
        <v>22635.041596046478</v>
      </c>
      <c r="N121" s="69">
        <f>NPV(K121,C82:G82)+B82</f>
        <v>86233.100887580425</v>
      </c>
      <c r="O121" s="47">
        <f>(K121*N121)/(1-(1+K121)^-5)</f>
        <v>22169.8797781869</v>
      </c>
      <c r="P121" s="69"/>
    </row>
    <row r="122" spans="1:17">
      <c r="A122" s="45" t="s">
        <v>106</v>
      </c>
      <c r="B122" s="42"/>
      <c r="C122" s="43">
        <v>50000</v>
      </c>
      <c r="D122" s="43">
        <f>C122*(1+$B$63)</f>
        <v>51000</v>
      </c>
      <c r="E122" s="43">
        <f>D122*(1+$B$63)</f>
        <v>52020</v>
      </c>
      <c r="G122" s="7"/>
    </row>
    <row r="123" spans="1:17">
      <c r="A123" s="26" t="s">
        <v>67</v>
      </c>
      <c r="B123" s="26"/>
      <c r="C123" s="33"/>
      <c r="D123" s="33"/>
      <c r="E123" s="33"/>
      <c r="G123" s="7"/>
      <c r="K123" s="95" t="s">
        <v>107</v>
      </c>
      <c r="L123" s="95"/>
      <c r="M123" s="95"/>
    </row>
    <row r="124" spans="1:17">
      <c r="A124" s="26" t="s">
        <v>108</v>
      </c>
      <c r="B124" s="26"/>
      <c r="C124" s="61">
        <f>-H15</f>
        <v>-15408</v>
      </c>
      <c r="D124" s="61">
        <f>C124</f>
        <v>-15408</v>
      </c>
      <c r="E124" s="61">
        <f>D124</f>
        <v>-15408</v>
      </c>
      <c r="K124" t="s">
        <v>86</v>
      </c>
      <c r="L124" t="s">
        <v>77</v>
      </c>
      <c r="M124" t="s">
        <v>103</v>
      </c>
    </row>
    <row r="125" spans="1:17">
      <c r="A125" s="26" t="s">
        <v>109</v>
      </c>
      <c r="B125" s="26"/>
      <c r="C125" s="61">
        <f>$B$57*(-1)</f>
        <v>-6400</v>
      </c>
      <c r="D125" s="61">
        <f>$B$57*(1+$B$63)*(-1)</f>
        <v>-6528</v>
      </c>
      <c r="E125" s="61">
        <f>D125*(1+$B$63)</f>
        <v>-6658.56</v>
      </c>
      <c r="K125" s="72">
        <v>5.1999999999999998E-3</v>
      </c>
      <c r="L125" s="47">
        <f>NPV(K125,C82:G82)+B82</f>
        <v>116419.37819200021</v>
      </c>
      <c r="M125" s="47">
        <f t="shared" ref="M125:M131" si="21">(K125*L125)/(1-(1+K125)^-5)</f>
        <v>23648.360013119735</v>
      </c>
    </row>
    <row r="126" spans="1:17">
      <c r="A126" s="34" t="s">
        <v>70</v>
      </c>
      <c r="B126" s="34"/>
      <c r="C126" s="62">
        <f>SUM(C122:C125)</f>
        <v>28192</v>
      </c>
      <c r="D126" s="62">
        <f t="shared" ref="D126:E126" si="22">SUM(D122:D125)</f>
        <v>29064</v>
      </c>
      <c r="E126" s="62">
        <f t="shared" si="22"/>
        <v>29953.439999999999</v>
      </c>
      <c r="K126" s="9">
        <v>0.01</v>
      </c>
      <c r="L126" s="47">
        <f>NPV(K126,C82:G82)+B82</f>
        <v>114386.73832456279</v>
      </c>
      <c r="M126" s="47">
        <f t="shared" si="21"/>
        <v>23568.220643107059</v>
      </c>
    </row>
    <row r="127" spans="1:17">
      <c r="A127" s="35" t="s">
        <v>71</v>
      </c>
      <c r="B127" s="35"/>
      <c r="C127" s="63">
        <f>C126*$B$64*(-1)</f>
        <v>-6202.24</v>
      </c>
      <c r="D127" s="63">
        <f t="shared" ref="D127:E127" si="23">D126*$B$64*(-1)</f>
        <v>-6394.08</v>
      </c>
      <c r="E127" s="63">
        <f t="shared" si="23"/>
        <v>-6589.7568000000001</v>
      </c>
      <c r="K127" s="24">
        <v>2.7699999999999999E-2</v>
      </c>
      <c r="L127" s="47">
        <f>NPV(K127,C82:G82)+B82</f>
        <v>107268.19770703893</v>
      </c>
      <c r="M127" s="47">
        <f t="shared" si="21"/>
        <v>23268.901087231592</v>
      </c>
    </row>
    <row r="128" spans="1:17">
      <c r="A128" s="26" t="s">
        <v>72</v>
      </c>
      <c r="B128" s="26"/>
      <c r="C128" s="61">
        <f>SUM(C126:C127)</f>
        <v>21989.760000000002</v>
      </c>
      <c r="D128" s="61">
        <f t="shared" ref="D128:E128" si="24">SUM(D126:D127)</f>
        <v>22669.919999999998</v>
      </c>
      <c r="E128" s="61">
        <f t="shared" si="24"/>
        <v>23363.683199999999</v>
      </c>
      <c r="K128" s="9">
        <v>0.03</v>
      </c>
      <c r="L128" s="47">
        <f>NPV(K128,C82:G82)+B82</f>
        <v>106384.64081750487</v>
      </c>
      <c r="M128" s="47">
        <f t="shared" si="21"/>
        <v>23229.572649310521</v>
      </c>
    </row>
    <row r="129" spans="1:13">
      <c r="A129" s="26" t="s">
        <v>67</v>
      </c>
      <c r="B129" s="26"/>
      <c r="C129" s="33"/>
      <c r="D129" s="33"/>
      <c r="E129" s="33"/>
      <c r="K129" s="24">
        <v>0.04</v>
      </c>
      <c r="L129" s="47">
        <f>NPV(K129,C82:G82)+B82</f>
        <v>102647.61818907037</v>
      </c>
      <c r="M129" s="47">
        <f t="shared" si="21"/>
        <v>23057.438180745896</v>
      </c>
    </row>
    <row r="130" spans="1:13">
      <c r="A130" s="26" t="s">
        <v>73</v>
      </c>
      <c r="B130" s="33"/>
      <c r="C130" s="26"/>
      <c r="D130" s="26"/>
      <c r="E130" s="26"/>
      <c r="K130" s="9">
        <v>0.05</v>
      </c>
      <c r="L130" s="47">
        <f>NPV(K130,C82:G82)+B82</f>
        <v>99073.452355879082</v>
      </c>
      <c r="M130" s="47">
        <f t="shared" si="21"/>
        <v>22883.470657769758</v>
      </c>
    </row>
    <row r="131" spans="1:13" ht="17.100000000000001" thickBot="1">
      <c r="A131" s="26" t="s">
        <v>74</v>
      </c>
      <c r="B131" s="26"/>
      <c r="C131" s="26"/>
      <c r="D131" s="26"/>
      <c r="E131" s="26"/>
      <c r="K131" s="24">
        <v>0.06</v>
      </c>
      <c r="L131" s="47">
        <f>NPV(K131,C82:G82)+B82</f>
        <v>95653.095574668841</v>
      </c>
      <c r="M131" s="47">
        <f t="shared" si="21"/>
        <v>22707.700579526911</v>
      </c>
    </row>
    <row r="132" spans="1:13" ht="17.100000000000001" thickBot="1">
      <c r="A132" s="36" t="s">
        <v>75</v>
      </c>
      <c r="B132" s="37"/>
      <c r="C132" s="64">
        <f>SUM(C128:C131)</f>
        <v>21989.760000000002</v>
      </c>
      <c r="D132" s="64">
        <f t="shared" ref="D132:E132" si="25">SUM(D128:D131)</f>
        <v>22669.919999999998</v>
      </c>
      <c r="E132" s="64">
        <f t="shared" si="25"/>
        <v>23363.683199999999</v>
      </c>
      <c r="K132" s="9">
        <v>7.0000000000000007E-2</v>
      </c>
      <c r="L132" s="47">
        <f>NPV(K132,C82:G82)+B82</f>
        <v>92378.097882975795</v>
      </c>
      <c r="M132" s="47">
        <f t="shared" ref="M132" si="26">(K132*L132)/(1-(1+K132)^-5)</f>
        <v>22530.158443852193</v>
      </c>
    </row>
    <row r="133" spans="1:13">
      <c r="A133" s="26"/>
      <c r="B133" s="33"/>
      <c r="C133" s="33"/>
      <c r="D133" s="33"/>
      <c r="E133" s="33"/>
      <c r="K133" s="24">
        <v>0.08</v>
      </c>
      <c r="L133" s="47">
        <f>NPV(K133,C82:G82)+B82</f>
        <v>89240.561801955671</v>
      </c>
      <c r="M133" s="47">
        <f>(K133*L133)/(1-(1+K133)^-5)</f>
        <v>22350.874712470475</v>
      </c>
    </row>
    <row r="134" spans="1:13">
      <c r="A134" s="26" t="s">
        <v>77</v>
      </c>
      <c r="B134" s="65">
        <f>NPV(B69,C132:E132)</f>
        <v>67314.951592375437</v>
      </c>
      <c r="C134" s="33"/>
      <c r="D134" s="33"/>
      <c r="E134" s="33"/>
      <c r="K134" s="9"/>
      <c r="L134" s="69"/>
      <c r="M134" s="47"/>
    </row>
    <row r="135" spans="1:13">
      <c r="A135" s="2" t="s">
        <v>78</v>
      </c>
      <c r="B135" s="66"/>
      <c r="K135" s="9"/>
      <c r="L135" s="69"/>
      <c r="M135" s="47"/>
    </row>
    <row r="136" spans="1:13">
      <c r="A136" s="2" t="s">
        <v>79</v>
      </c>
      <c r="B136" s="53">
        <f>(B69*B134)/(1-(1+B69)^-3)</f>
        <v>22672.079134530064</v>
      </c>
      <c r="H136" s="7"/>
      <c r="K136" s="95" t="s">
        <v>110</v>
      </c>
      <c r="L136" s="95"/>
      <c r="M136" s="95"/>
    </row>
    <row r="137" spans="1:13">
      <c r="K137" t="s">
        <v>86</v>
      </c>
      <c r="L137" t="s">
        <v>77</v>
      </c>
      <c r="M137" t="s">
        <v>103</v>
      </c>
    </row>
    <row r="138" spans="1:13">
      <c r="H138" s="70"/>
      <c r="K138" s="72">
        <v>5.1999999999999998E-3</v>
      </c>
      <c r="L138" s="69">
        <f>NPV($K138,$C$113:$E$113)+$B$113</f>
        <v>54576.27625555679</v>
      </c>
      <c r="M138" s="47">
        <f>(K138*L138)/(1-(1+K138)^-3)</f>
        <v>18381.616934477741</v>
      </c>
    </row>
    <row r="139" spans="1:13">
      <c r="B139" s="20"/>
      <c r="K139" s="9">
        <v>0.01</v>
      </c>
      <c r="L139" s="69">
        <f t="shared" ref="L139:L146" si="27">NPV($K139,$C$113:$E$113)+$B$113</f>
        <v>54055.02094630598</v>
      </c>
      <c r="M139" s="47">
        <f t="shared" ref="M139:M146" si="28">(K139*L139)/(1-(1+K139)^-3)</f>
        <v>18379.902358338062</v>
      </c>
    </row>
    <row r="140" spans="1:13">
      <c r="H140" s="7"/>
      <c r="K140" s="24">
        <v>2.7699999999999999E-2</v>
      </c>
      <c r="L140" s="69">
        <f t="shared" si="27"/>
        <v>52202.592007586492</v>
      </c>
      <c r="M140" s="47">
        <f t="shared" si="28"/>
        <v>18373.65073328896</v>
      </c>
    </row>
    <row r="141" spans="1:13">
      <c r="K141" s="9">
        <v>0.03</v>
      </c>
      <c r="L141" s="69">
        <f t="shared" si="27"/>
        <v>51969.642210726</v>
      </c>
      <c r="M141" s="47">
        <f t="shared" si="28"/>
        <v>18372.846492607336</v>
      </c>
    </row>
    <row r="142" spans="1:13">
      <c r="H142" s="7"/>
      <c r="K142" s="24">
        <v>0.04</v>
      </c>
      <c r="L142" s="69">
        <f t="shared" si="27"/>
        <v>50976.677514792886</v>
      </c>
      <c r="M142" s="47">
        <f t="shared" si="28"/>
        <v>18369.371276268572</v>
      </c>
    </row>
    <row r="143" spans="1:13">
      <c r="A143" s="24"/>
      <c r="K143" s="9">
        <v>0.05</v>
      </c>
      <c r="L143" s="69">
        <f t="shared" si="27"/>
        <v>50014.98464528667</v>
      </c>
      <c r="M143" s="47">
        <f t="shared" si="28"/>
        <v>18365.930721649471</v>
      </c>
    </row>
    <row r="144" spans="1:13">
      <c r="K144" s="24">
        <v>0.06</v>
      </c>
      <c r="L144" s="69">
        <f t="shared" si="27"/>
        <v>49083.247324972952</v>
      </c>
      <c r="M144" s="47">
        <f t="shared" si="28"/>
        <v>18362.524467897947</v>
      </c>
    </row>
    <row r="145" spans="11:13">
      <c r="K145" s="9">
        <v>7.0000000000000007E-2</v>
      </c>
      <c r="L145" s="69">
        <f t="shared" si="27"/>
        <v>48180.217562975326</v>
      </c>
      <c r="M145" s="47">
        <f t="shared" si="28"/>
        <v>18359.152155276974</v>
      </c>
    </row>
    <row r="146" spans="11:13">
      <c r="K146" s="24">
        <v>0.08</v>
      </c>
      <c r="L146" s="69">
        <f t="shared" si="27"/>
        <v>47304.711476908997</v>
      </c>
      <c r="M146" s="47">
        <f t="shared" si="28"/>
        <v>18355.813425332664</v>
      </c>
    </row>
    <row r="147" spans="11:13">
      <c r="K147" s="9"/>
      <c r="L147" s="69"/>
      <c r="M147" s="47"/>
    </row>
    <row r="148" spans="11:13">
      <c r="K148" s="9"/>
      <c r="L148" s="69"/>
      <c r="M148" s="47"/>
    </row>
    <row r="149" spans="11:13">
      <c r="K149" s="9"/>
      <c r="L149" s="69"/>
      <c r="M149" s="47"/>
    </row>
    <row r="150" spans="11:13">
      <c r="K150" s="9"/>
      <c r="L150" s="69"/>
      <c r="M150" s="47"/>
    </row>
    <row r="151" spans="11:13">
      <c r="K151" s="9"/>
      <c r="L151" s="69"/>
      <c r="M151" s="47"/>
    </row>
    <row r="152" spans="11:13">
      <c r="K152" s="9"/>
      <c r="L152" s="69"/>
      <c r="M152" s="47"/>
    </row>
    <row r="153" spans="11:13">
      <c r="K153" s="9"/>
      <c r="L153" s="69"/>
      <c r="M153" s="47"/>
    </row>
    <row r="154" spans="11:13">
      <c r="K154" s="9"/>
      <c r="L154" s="69"/>
      <c r="M154" s="47"/>
    </row>
    <row r="155" spans="11:13">
      <c r="K155" s="9"/>
      <c r="L155" s="69"/>
      <c r="M155" s="47"/>
    </row>
    <row r="156" spans="11:13">
      <c r="K156" s="9"/>
      <c r="L156" s="69"/>
      <c r="M156" s="47"/>
    </row>
    <row r="157" spans="11:13">
      <c r="K157" s="9"/>
      <c r="L157" s="69"/>
      <c r="M157" s="47"/>
    </row>
    <row r="158" spans="11:13">
      <c r="K158" s="9"/>
      <c r="L158" s="69"/>
      <c r="M158" s="47"/>
    </row>
    <row r="159" spans="11:13">
      <c r="K159" s="9"/>
      <c r="L159" s="69"/>
      <c r="M159" s="47"/>
    </row>
    <row r="160" spans="11:13">
      <c r="K160" s="9"/>
      <c r="L160" s="69"/>
      <c r="M160" s="47"/>
    </row>
    <row r="161" spans="11:13">
      <c r="K161" s="9"/>
      <c r="L161" s="69"/>
      <c r="M161" s="47"/>
    </row>
    <row r="162" spans="11:13">
      <c r="K162" s="9"/>
      <c r="L162" s="69"/>
      <c r="M162" s="47"/>
    </row>
    <row r="163" spans="11:13">
      <c r="K163" s="9"/>
      <c r="L163" s="69"/>
      <c r="M163" s="47"/>
    </row>
    <row r="164" spans="11:13">
      <c r="K164" s="9"/>
      <c r="L164" s="69"/>
      <c r="M164" s="47"/>
    </row>
    <row r="165" spans="11:13">
      <c r="K165" s="9"/>
      <c r="L165" s="69"/>
      <c r="M165" s="47"/>
    </row>
    <row r="166" spans="11:13">
      <c r="K166" s="9"/>
      <c r="L166" s="69"/>
      <c r="M166" s="47"/>
    </row>
    <row r="167" spans="11:13">
      <c r="K167" s="9"/>
      <c r="L167" s="69"/>
      <c r="M167" s="47"/>
    </row>
    <row r="168" spans="11:13">
      <c r="K168" s="9"/>
      <c r="L168" s="69"/>
      <c r="M168" s="47"/>
    </row>
    <row r="169" spans="11:13">
      <c r="K169" s="9"/>
      <c r="L169" s="69"/>
      <c r="M169" s="47"/>
    </row>
    <row r="170" spans="11:13">
      <c r="K170" s="9"/>
      <c r="L170" s="69"/>
      <c r="M170" s="47"/>
    </row>
    <row r="171" spans="11:13">
      <c r="K171" s="9"/>
      <c r="L171" s="69"/>
      <c r="M171" s="47"/>
    </row>
    <row r="172" spans="11:13">
      <c r="K172" s="9"/>
      <c r="L172" s="69"/>
      <c r="M172" s="47"/>
    </row>
    <row r="173" spans="11:13">
      <c r="K173" s="9"/>
      <c r="L173" s="69"/>
      <c r="M173" s="47"/>
    </row>
    <row r="174" spans="11:13">
      <c r="K174" s="9"/>
      <c r="L174" s="69"/>
      <c r="M174" s="47"/>
    </row>
  </sheetData>
  <mergeCells count="9">
    <mergeCell ref="E20:P20"/>
    <mergeCell ref="C116:E116"/>
    <mergeCell ref="C14:E14"/>
    <mergeCell ref="C15:E15"/>
    <mergeCell ref="K123:M123"/>
    <mergeCell ref="K136:M136"/>
    <mergeCell ref="L110:M110"/>
    <mergeCell ref="N110:O110"/>
    <mergeCell ref="P110:Q110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FD612D3FDCC54AB0867F0997DA0A34" ma:contentTypeVersion="13" ma:contentTypeDescription="Create a new document." ma:contentTypeScope="" ma:versionID="918f396252e26a53156966209d05b2ac">
  <xsd:schema xmlns:xsd="http://www.w3.org/2001/XMLSchema" xmlns:xs="http://www.w3.org/2001/XMLSchema" xmlns:p="http://schemas.microsoft.com/office/2006/metadata/properties" xmlns:ns2="9e06d9b7-fa57-492d-879c-c63ae699c196" xmlns:ns3="263ca01a-a29a-4a2b-9879-77f8d21a8c38" targetNamespace="http://schemas.microsoft.com/office/2006/metadata/properties" ma:root="true" ma:fieldsID="82ee63a73e7bf7b43acf63d7e067e041" ns2:_="" ns3:_="">
    <xsd:import namespace="9e06d9b7-fa57-492d-879c-c63ae699c196"/>
    <xsd:import namespace="263ca01a-a29a-4a2b-9879-77f8d21a8c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6d9b7-fa57-492d-879c-c63ae699c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ca01a-a29a-4a2b-9879-77f8d21a8c3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03BD2D-6582-47AD-8C51-01C7ED1F9F53}"/>
</file>

<file path=customXml/itemProps2.xml><?xml version="1.0" encoding="utf-8"?>
<ds:datastoreItem xmlns:ds="http://schemas.openxmlformats.org/officeDocument/2006/customXml" ds:itemID="{9781DC03-ACBB-4BD3-85B5-B1FEE5AA708B}"/>
</file>

<file path=customXml/itemProps3.xml><?xml version="1.0" encoding="utf-8"?>
<ds:datastoreItem xmlns:ds="http://schemas.openxmlformats.org/officeDocument/2006/customXml" ds:itemID="{9D683F8E-3B0B-4F2B-97D1-7CD6FCDF18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2021-04-07T12:04:05Z</dcterms:created>
  <dcterms:modified xsi:type="dcterms:W3CDTF">2021-09-20T11:28:03Z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0x01010074FD612D3FDCC54AB0867F0997DA0A34</vt:lpwstr>
  </property>
</Properties>
</file>