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rgenueland/Desktop/"/>
    </mc:Choice>
  </mc:AlternateContent>
  <xr:revisionPtr revIDLastSave="0" documentId="8_{F2B46232-8123-4FF7-94AF-5C6F9D58DB9D}" xr6:coauthVersionLast="47" xr6:coauthVersionMax="47" xr10:uidLastSave="{00000000-0000-0000-0000-000000000000}"/>
  <bookViews>
    <workbookView xWindow="0" yWindow="0" windowWidth="30880" windowHeight="28800" firstSheet="11" activeTab="11" xr2:uid="{D99CA117-56C4-7C40-9855-C8625E3BDA3E}"/>
  </bookViews>
  <sheets>
    <sheet name="Income statement" sheetId="1" r:id="rId1"/>
    <sheet name="Balance sheet" sheetId="2" r:id="rId2"/>
    <sheet name="Cash Flow" sheetId="3" r:id="rId3"/>
    <sheet name="Profitability analysis" sheetId="4" r:id="rId4"/>
    <sheet name="Forecast" sheetId="11" r:id="rId5"/>
    <sheet name="Valuation" sheetId="12" r:id="rId6"/>
    <sheet name="Monte carlo results" sheetId="19" r:id="rId7"/>
    <sheet name="IFRS16 correction" sheetId="13" r:id="rId8"/>
    <sheet name="Rates" sheetId="15" r:id="rId9"/>
    <sheet name="Beta" sheetId="16" r:id="rId10"/>
    <sheet name="Growth analysis" sheetId="5" r:id="rId11"/>
    <sheet name="Liquidity analysis" sheetId="10" r:id="rId12"/>
  </sheets>
  <definedNames>
    <definedName name="_xlnm._FilterDatabase" localSheetId="9" hidden="1">Beta!#REF!</definedName>
    <definedName name="A9999999">'Cash Flow'!$C$35174</definedName>
    <definedName name="LSG.OL_4" localSheetId="9">Beta!#REF!</definedName>
    <definedName name="LSG_Historical_Data_2" localSheetId="9">Beta!#REF!</definedName>
    <definedName name="LSG_Historical_Data_2_1" localSheetId="9">Beta!#REF!</definedName>
    <definedName name="LSG_Historical_Data_3" localSheetId="9">Beta!#REF!</definedName>
    <definedName name="LSG_Historical_Data_3_1" localSheetId="9">Beta!$A$2:$B$130</definedName>
    <definedName name="LSG_Historical_Data_3_2" localSheetId="9">Beta!#REF!</definedName>
    <definedName name="LSG_Historical_Data_3_3" localSheetId="9">Beta!$K$2:$L$130</definedName>
    <definedName name="LSG_Historical_Data_3_4" localSheetId="9">Beta!$U$2:$V$130</definedName>
    <definedName name="OBSFX_SEAFOOD_GR_historical_price" localSheetId="9">Beta!#REF!</definedName>
    <definedName name="OSE_Benchmark_Historical_Data_4_1" localSheetId="9">Beta!#REF!</definedName>
    <definedName name="OSE_Benchmark_Historical_Data_5_1" localSheetId="9">Beta!#REF!</definedName>
    <definedName name="OSE_Benchmark_Historical_Data_6" localSheetId="9">Beta!$D$2:$D$130</definedName>
    <definedName name="OSE_Benchmark_Historical_Data_6" localSheetId="8">Rates!$B$12:$B$137</definedName>
    <definedName name="OSE_Benchmark_Historical_Data_6_1" localSheetId="9">Beta!#REF!</definedName>
    <definedName name="OSE_Benchmark_Historical_Data_6_2" localSheetId="9">Beta!$N$2:$N$130</definedName>
    <definedName name="OSE_Benchmark_Historical_Data_6_3" localSheetId="9">Beta!$X$27:$X$130</definedName>
    <definedName name="OSLO_SEAFOOD_GR_historical_price" localSheetId="9">Beta!#REF!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9" l="1"/>
  <c r="G15" i="19"/>
  <c r="L4" i="19"/>
  <c r="K4" i="19"/>
  <c r="G17" i="19"/>
  <c r="D10" i="19"/>
  <c r="D11" i="19"/>
  <c r="D12" i="19"/>
  <c r="D13" i="19"/>
  <c r="H12" i="19"/>
  <c r="G19" i="19" s="1"/>
  <c r="G12" i="19"/>
  <c r="H11" i="19"/>
  <c r="G18" i="19" s="1"/>
  <c r="G11" i="19"/>
  <c r="L3" i="19"/>
  <c r="K3" i="19"/>
  <c r="G5" i="19"/>
  <c r="G3" i="19"/>
  <c r="F3" i="19"/>
  <c r="E3" i="19"/>
  <c r="D4" i="19"/>
  <c r="D5" i="19"/>
  <c r="D6" i="19"/>
  <c r="D7" i="19"/>
  <c r="D8" i="19"/>
  <c r="D9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D103" i="19"/>
  <c r="D104" i="19"/>
  <c r="D105" i="19"/>
  <c r="D106" i="19"/>
  <c r="D107" i="19"/>
  <c r="D108" i="19"/>
  <c r="D109" i="19"/>
  <c r="D110" i="19"/>
  <c r="D111" i="19"/>
  <c r="D112" i="19"/>
  <c r="D113" i="19"/>
  <c r="D114" i="19"/>
  <c r="D115" i="19"/>
  <c r="D116" i="19"/>
  <c r="D117" i="19"/>
  <c r="D118" i="19"/>
  <c r="D119" i="19"/>
  <c r="D120" i="19"/>
  <c r="D121" i="19"/>
  <c r="D122" i="19"/>
  <c r="D123" i="19"/>
  <c r="D124" i="19"/>
  <c r="D125" i="19"/>
  <c r="D126" i="19"/>
  <c r="D127" i="19"/>
  <c r="D128" i="19"/>
  <c r="D129" i="19"/>
  <c r="D130" i="19"/>
  <c r="D131" i="19"/>
  <c r="D132" i="19"/>
  <c r="D133" i="19"/>
  <c r="D134" i="19"/>
  <c r="D135" i="19"/>
  <c r="D136" i="19"/>
  <c r="D137" i="19"/>
  <c r="D138" i="19"/>
  <c r="D139" i="19"/>
  <c r="D140" i="19"/>
  <c r="D141" i="19"/>
  <c r="D142" i="19"/>
  <c r="D143" i="19"/>
  <c r="D144" i="19"/>
  <c r="D145" i="19"/>
  <c r="D146" i="19"/>
  <c r="D147" i="19"/>
  <c r="D148" i="19"/>
  <c r="D149" i="19"/>
  <c r="D150" i="19"/>
  <c r="D151" i="19"/>
  <c r="D152" i="19"/>
  <c r="D153" i="19"/>
  <c r="D154" i="19"/>
  <c r="D155" i="19"/>
  <c r="D156" i="19"/>
  <c r="D157" i="19"/>
  <c r="D158" i="19"/>
  <c r="D159" i="19"/>
  <c r="D160" i="19"/>
  <c r="D161" i="19"/>
  <c r="D162" i="19"/>
  <c r="D163" i="19"/>
  <c r="D164" i="19"/>
  <c r="D165" i="19"/>
  <c r="D166" i="19"/>
  <c r="D167" i="19"/>
  <c r="D168" i="19"/>
  <c r="D169" i="19"/>
  <c r="D170" i="19"/>
  <c r="D171" i="19"/>
  <c r="D172" i="19"/>
  <c r="D173" i="19"/>
  <c r="D174" i="19"/>
  <c r="D175" i="19"/>
  <c r="D176" i="19"/>
  <c r="D177" i="19"/>
  <c r="D178" i="19"/>
  <c r="D179" i="19"/>
  <c r="D180" i="19"/>
  <c r="D181" i="19"/>
  <c r="D182" i="19"/>
  <c r="D183" i="19"/>
  <c r="D184" i="19"/>
  <c r="D185" i="19"/>
  <c r="D186" i="19"/>
  <c r="D187" i="19"/>
  <c r="D188" i="19"/>
  <c r="D189" i="19"/>
  <c r="D190" i="19"/>
  <c r="D191" i="19"/>
  <c r="D192" i="19"/>
  <c r="D193" i="19"/>
  <c r="D194" i="19"/>
  <c r="D195" i="19"/>
  <c r="D196" i="19"/>
  <c r="D197" i="19"/>
  <c r="D198" i="19"/>
  <c r="D199" i="19"/>
  <c r="D200" i="19"/>
  <c r="D201" i="19"/>
  <c r="D202" i="19"/>
  <c r="D203" i="19"/>
  <c r="D204" i="19"/>
  <c r="D205" i="19"/>
  <c r="D206" i="19"/>
  <c r="D207" i="19"/>
  <c r="D208" i="19"/>
  <c r="D209" i="19"/>
  <c r="D210" i="19"/>
  <c r="D211" i="19"/>
  <c r="D212" i="19"/>
  <c r="D213" i="19"/>
  <c r="D214" i="19"/>
  <c r="D215" i="19"/>
  <c r="D216" i="19"/>
  <c r="D217" i="19"/>
  <c r="D218" i="19"/>
  <c r="D219" i="19"/>
  <c r="D220" i="19"/>
  <c r="D221" i="19"/>
  <c r="D222" i="19"/>
  <c r="D223" i="19"/>
  <c r="D224" i="19"/>
  <c r="D225" i="19"/>
  <c r="D226" i="19"/>
  <c r="D227" i="19"/>
  <c r="D228" i="19"/>
  <c r="D229" i="19"/>
  <c r="D230" i="19"/>
  <c r="D231" i="19"/>
  <c r="D232" i="19"/>
  <c r="D233" i="19"/>
  <c r="D234" i="19"/>
  <c r="D235" i="19"/>
  <c r="D236" i="19"/>
  <c r="D237" i="19"/>
  <c r="D238" i="19"/>
  <c r="D239" i="19"/>
  <c r="D240" i="19"/>
  <c r="D241" i="19"/>
  <c r="D242" i="19"/>
  <c r="D243" i="19"/>
  <c r="D244" i="19"/>
  <c r="D245" i="19"/>
  <c r="D246" i="19"/>
  <c r="D247" i="19"/>
  <c r="D248" i="19"/>
  <c r="D249" i="19"/>
  <c r="D250" i="19"/>
  <c r="D251" i="19"/>
  <c r="D252" i="19"/>
  <c r="D253" i="19"/>
  <c r="D254" i="19"/>
  <c r="D255" i="19"/>
  <c r="D256" i="19"/>
  <c r="D257" i="19"/>
  <c r="D258" i="19"/>
  <c r="D259" i="19"/>
  <c r="D260" i="19"/>
  <c r="D261" i="19"/>
  <c r="D262" i="19"/>
  <c r="D263" i="19"/>
  <c r="D264" i="19"/>
  <c r="D265" i="19"/>
  <c r="D266" i="19"/>
  <c r="D267" i="19"/>
  <c r="D268" i="19"/>
  <c r="D269" i="19"/>
  <c r="D270" i="19"/>
  <c r="D271" i="19"/>
  <c r="D272" i="19"/>
  <c r="D273" i="19"/>
  <c r="D274" i="19"/>
  <c r="D275" i="19"/>
  <c r="D276" i="19"/>
  <c r="D277" i="19"/>
  <c r="D278" i="19"/>
  <c r="D279" i="19"/>
  <c r="D280" i="19"/>
  <c r="D281" i="19"/>
  <c r="D282" i="19"/>
  <c r="D283" i="19"/>
  <c r="D284" i="19"/>
  <c r="D285" i="19"/>
  <c r="D286" i="19"/>
  <c r="D287" i="19"/>
  <c r="D288" i="19"/>
  <c r="D289" i="19"/>
  <c r="D290" i="19"/>
  <c r="D291" i="19"/>
  <c r="D292" i="19"/>
  <c r="D293" i="19"/>
  <c r="D294" i="19"/>
  <c r="D295" i="19"/>
  <c r="D296" i="19"/>
  <c r="D297" i="19"/>
  <c r="D298" i="19"/>
  <c r="D299" i="19"/>
  <c r="D300" i="19"/>
  <c r="D301" i="19"/>
  <c r="D302" i="19"/>
  <c r="D303" i="19"/>
  <c r="D304" i="19"/>
  <c r="D305" i="19"/>
  <c r="D306" i="19"/>
  <c r="D307" i="19"/>
  <c r="D308" i="19"/>
  <c r="D309" i="19"/>
  <c r="D310" i="19"/>
  <c r="D311" i="19"/>
  <c r="D312" i="19"/>
  <c r="D313" i="19"/>
  <c r="D314" i="19"/>
  <c r="D315" i="19"/>
  <c r="D316" i="19"/>
  <c r="D317" i="19"/>
  <c r="D318" i="19"/>
  <c r="D319" i="19"/>
  <c r="D320" i="19"/>
  <c r="D321" i="19"/>
  <c r="D322" i="19"/>
  <c r="D323" i="19"/>
  <c r="D324" i="19"/>
  <c r="D325" i="19"/>
  <c r="D326" i="19"/>
  <c r="D327" i="19"/>
  <c r="D328" i="19"/>
  <c r="D329" i="19"/>
  <c r="D330" i="19"/>
  <c r="D331" i="19"/>
  <c r="D332" i="19"/>
  <c r="D333" i="19"/>
  <c r="D334" i="19"/>
  <c r="D335" i="19"/>
  <c r="D336" i="19"/>
  <c r="D337" i="19"/>
  <c r="D338" i="19"/>
  <c r="D339" i="19"/>
  <c r="D340" i="19"/>
  <c r="D341" i="19"/>
  <c r="D342" i="19"/>
  <c r="D343" i="19"/>
  <c r="D344" i="19"/>
  <c r="D345" i="19"/>
  <c r="D346" i="19"/>
  <c r="D347" i="19"/>
  <c r="D348" i="19"/>
  <c r="D349" i="19"/>
  <c r="D350" i="19"/>
  <c r="D351" i="19"/>
  <c r="D352" i="19"/>
  <c r="D353" i="19"/>
  <c r="D354" i="19"/>
  <c r="D355" i="19"/>
  <c r="D356" i="19"/>
  <c r="D357" i="19"/>
  <c r="D358" i="19"/>
  <c r="D359" i="19"/>
  <c r="D360" i="19"/>
  <c r="D361" i="19"/>
  <c r="D362" i="19"/>
  <c r="D363" i="19"/>
  <c r="D364" i="19"/>
  <c r="D365" i="19"/>
  <c r="D366" i="19"/>
  <c r="D367" i="19"/>
  <c r="D368" i="19"/>
  <c r="D369" i="19"/>
  <c r="D370" i="19"/>
  <c r="D371" i="19"/>
  <c r="D372" i="19"/>
  <c r="D373" i="19"/>
  <c r="D374" i="19"/>
  <c r="D375" i="19"/>
  <c r="D376" i="19"/>
  <c r="D377" i="19"/>
  <c r="D378" i="19"/>
  <c r="D379" i="19"/>
  <c r="D380" i="19"/>
  <c r="D381" i="19"/>
  <c r="D382" i="19"/>
  <c r="D383" i="19"/>
  <c r="D384" i="19"/>
  <c r="D385" i="19"/>
  <c r="D386" i="19"/>
  <c r="D387" i="19"/>
  <c r="D388" i="19"/>
  <c r="D389" i="19"/>
  <c r="D390" i="19"/>
  <c r="D391" i="19"/>
  <c r="D392" i="19"/>
  <c r="D393" i="19"/>
  <c r="D394" i="19"/>
  <c r="D395" i="19"/>
  <c r="D396" i="19"/>
  <c r="D397" i="19"/>
  <c r="D398" i="19"/>
  <c r="D399" i="19"/>
  <c r="D400" i="19"/>
  <c r="D401" i="19"/>
  <c r="D402" i="19"/>
  <c r="D403" i="19"/>
  <c r="D404" i="19"/>
  <c r="D405" i="19"/>
  <c r="D406" i="19"/>
  <c r="D407" i="19"/>
  <c r="D408" i="19"/>
  <c r="D409" i="19"/>
  <c r="D410" i="19"/>
  <c r="D411" i="19"/>
  <c r="D412" i="19"/>
  <c r="D413" i="19"/>
  <c r="D414" i="19"/>
  <c r="D415" i="19"/>
  <c r="D416" i="19"/>
  <c r="D417" i="19"/>
  <c r="D418" i="19"/>
  <c r="D419" i="19"/>
  <c r="D420" i="19"/>
  <c r="D421" i="19"/>
  <c r="D422" i="19"/>
  <c r="D423" i="19"/>
  <c r="D424" i="19"/>
  <c r="D425" i="19"/>
  <c r="D426" i="19"/>
  <c r="D427" i="19"/>
  <c r="D428" i="19"/>
  <c r="D429" i="19"/>
  <c r="D430" i="19"/>
  <c r="D431" i="19"/>
  <c r="D432" i="19"/>
  <c r="D433" i="19"/>
  <c r="D434" i="19"/>
  <c r="D435" i="19"/>
  <c r="D436" i="19"/>
  <c r="D437" i="19"/>
  <c r="D438" i="19"/>
  <c r="D439" i="19"/>
  <c r="D440" i="19"/>
  <c r="D441" i="19"/>
  <c r="D442" i="19"/>
  <c r="D443" i="19"/>
  <c r="D444" i="19"/>
  <c r="D445" i="19"/>
  <c r="D446" i="19"/>
  <c r="D447" i="19"/>
  <c r="D448" i="19"/>
  <c r="D449" i="19"/>
  <c r="D450" i="19"/>
  <c r="D451" i="19"/>
  <c r="D452" i="19"/>
  <c r="D453" i="19"/>
  <c r="D454" i="19"/>
  <c r="D455" i="19"/>
  <c r="D456" i="19"/>
  <c r="D457" i="19"/>
  <c r="D458" i="19"/>
  <c r="D459" i="19"/>
  <c r="D460" i="19"/>
  <c r="D461" i="19"/>
  <c r="D462" i="19"/>
  <c r="D463" i="19"/>
  <c r="D464" i="19"/>
  <c r="D465" i="19"/>
  <c r="D466" i="19"/>
  <c r="D467" i="19"/>
  <c r="D468" i="19"/>
  <c r="D469" i="19"/>
  <c r="D470" i="19"/>
  <c r="D471" i="19"/>
  <c r="D472" i="19"/>
  <c r="D473" i="19"/>
  <c r="D474" i="19"/>
  <c r="D475" i="19"/>
  <c r="D476" i="19"/>
  <c r="D477" i="19"/>
  <c r="D478" i="19"/>
  <c r="D479" i="19"/>
  <c r="D480" i="19"/>
  <c r="D481" i="19"/>
  <c r="D482" i="19"/>
  <c r="D483" i="19"/>
  <c r="D484" i="19"/>
  <c r="D485" i="19"/>
  <c r="D486" i="19"/>
  <c r="D487" i="19"/>
  <c r="D488" i="19"/>
  <c r="D489" i="19"/>
  <c r="D490" i="19"/>
  <c r="D491" i="19"/>
  <c r="D492" i="19"/>
  <c r="D493" i="19"/>
  <c r="D494" i="19"/>
  <c r="D495" i="19"/>
  <c r="D496" i="19"/>
  <c r="D497" i="19"/>
  <c r="D498" i="19"/>
  <c r="D499" i="19"/>
  <c r="D500" i="19"/>
  <c r="D501" i="19"/>
  <c r="D502" i="19"/>
  <c r="D3" i="19"/>
  <c r="C27" i="12"/>
  <c r="C20" i="12"/>
  <c r="C21" i="12"/>
  <c r="C6" i="11"/>
  <c r="D6" i="11" s="1"/>
  <c r="E6" i="11" s="1"/>
  <c r="F6" i="11" s="1"/>
  <c r="G6" i="11" s="1"/>
  <c r="H6" i="11" s="1"/>
  <c r="I6" i="11" s="1"/>
  <c r="C7" i="11"/>
  <c r="C8" i="11"/>
  <c r="D8" i="11" s="1"/>
  <c r="E8" i="11" s="1"/>
  <c r="F8" i="11" s="1"/>
  <c r="G8" i="11" s="1"/>
  <c r="H8" i="11" s="1"/>
  <c r="I8" i="11" s="1"/>
  <c r="C9" i="11"/>
  <c r="C10" i="11"/>
  <c r="D10" i="11" s="1"/>
  <c r="C11" i="11"/>
  <c r="C12" i="11"/>
  <c r="C13" i="11"/>
  <c r="C19" i="11" s="1"/>
  <c r="C14" i="11"/>
  <c r="D14" i="11"/>
  <c r="E14" i="11" s="1"/>
  <c r="F14" i="11" s="1"/>
  <c r="G14" i="11" s="1"/>
  <c r="H14" i="11" s="1"/>
  <c r="I14" i="11" s="1"/>
  <c r="L14" i="11"/>
  <c r="C18" i="11"/>
  <c r="C20" i="11"/>
  <c r="D20" i="11" s="1"/>
  <c r="E20" i="11" s="1"/>
  <c r="F20" i="11" s="1"/>
  <c r="G20" i="11" s="1"/>
  <c r="H20" i="11" s="1"/>
  <c r="I20" i="11" s="1"/>
  <c r="C21" i="11"/>
  <c r="B4" i="10"/>
  <c r="E10" i="11" l="1"/>
  <c r="D12" i="11"/>
  <c r="D18" i="11" s="1"/>
  <c r="I38" i="4"/>
  <c r="E13" i="15"/>
  <c r="M8" i="4"/>
  <c r="N8" i="4"/>
  <c r="O8" i="4"/>
  <c r="P8" i="4"/>
  <c r="Q8" i="4"/>
  <c r="R8" i="4"/>
  <c r="L10" i="4"/>
  <c r="L9" i="4"/>
  <c r="F10" i="11" l="1"/>
  <c r="E12" i="11"/>
  <c r="E18" i="11" s="1"/>
  <c r="C17" i="12"/>
  <c r="C18" i="12" s="1"/>
  <c r="G26" i="1"/>
  <c r="D10" i="5"/>
  <c r="E10" i="5"/>
  <c r="F10" i="5"/>
  <c r="G10" i="5"/>
  <c r="H10" i="5"/>
  <c r="C10" i="5"/>
  <c r="E23" i="5"/>
  <c r="F23" i="5"/>
  <c r="G23" i="5"/>
  <c r="I23" i="5" s="1"/>
  <c r="H23" i="5"/>
  <c r="D23" i="5"/>
  <c r="C23" i="5"/>
  <c r="E22" i="5"/>
  <c r="F22" i="5"/>
  <c r="G22" i="5"/>
  <c r="H22" i="5"/>
  <c r="D22" i="5"/>
  <c r="I22" i="5" s="1"/>
  <c r="C22" i="5"/>
  <c r="H6" i="4"/>
  <c r="H29" i="4"/>
  <c r="D23" i="13"/>
  <c r="D14" i="13"/>
  <c r="L10" i="1"/>
  <c r="M10" i="1"/>
  <c r="N10" i="1"/>
  <c r="O10" i="1"/>
  <c r="P10" i="1"/>
  <c r="L11" i="1"/>
  <c r="M11" i="1"/>
  <c r="N11" i="1"/>
  <c r="O11" i="1"/>
  <c r="P11" i="1"/>
  <c r="L16" i="1"/>
  <c r="M16" i="1"/>
  <c r="N16" i="1"/>
  <c r="O16" i="1"/>
  <c r="P16" i="1"/>
  <c r="L17" i="1"/>
  <c r="M17" i="1"/>
  <c r="N17" i="1"/>
  <c r="O17" i="1"/>
  <c r="P17" i="1"/>
  <c r="L19" i="1"/>
  <c r="M19" i="1"/>
  <c r="N19" i="1"/>
  <c r="O19" i="1"/>
  <c r="P19" i="1"/>
  <c r="K19" i="1"/>
  <c r="K17" i="1"/>
  <c r="K16" i="1"/>
  <c r="K11" i="1"/>
  <c r="P3" i="1"/>
  <c r="G10" i="1"/>
  <c r="G11" i="1" s="1"/>
  <c r="G14" i="1" s="1"/>
  <c r="P2" i="1" s="1"/>
  <c r="P4" i="1" s="1"/>
  <c r="R6" i="4"/>
  <c r="G10" i="11" l="1"/>
  <c r="F12" i="11"/>
  <c r="F18" i="11" s="1"/>
  <c r="D17" i="12"/>
  <c r="D62" i="4"/>
  <c r="E62" i="4"/>
  <c r="F62" i="4"/>
  <c r="G62" i="4"/>
  <c r="H62" i="4"/>
  <c r="C62" i="4"/>
  <c r="C65" i="4" s="1"/>
  <c r="B30" i="3"/>
  <c r="D30" i="3"/>
  <c r="D15" i="3"/>
  <c r="G42" i="3"/>
  <c r="C42" i="3"/>
  <c r="D42" i="3"/>
  <c r="E42" i="3"/>
  <c r="F42" i="3"/>
  <c r="C30" i="3"/>
  <c r="E30" i="3"/>
  <c r="G30" i="3"/>
  <c r="F30" i="3"/>
  <c r="B15" i="3"/>
  <c r="C15" i="3"/>
  <c r="E15" i="3"/>
  <c r="F15" i="3"/>
  <c r="C39" i="3"/>
  <c r="D39" i="3"/>
  <c r="E39" i="3"/>
  <c r="F39" i="3"/>
  <c r="G39" i="3"/>
  <c r="B39" i="3"/>
  <c r="D6" i="4"/>
  <c r="N6" i="4" s="1"/>
  <c r="E6" i="4"/>
  <c r="O6" i="4" s="1"/>
  <c r="F6" i="4"/>
  <c r="P6" i="4" s="1"/>
  <c r="G6" i="4"/>
  <c r="Q6" i="4" s="1"/>
  <c r="C6" i="4"/>
  <c r="M6" i="4" s="1"/>
  <c r="R2" i="16"/>
  <c r="AB2" i="16"/>
  <c r="V4" i="16"/>
  <c r="W4" i="16"/>
  <c r="V5" i="16"/>
  <c r="W5" i="16"/>
  <c r="V6" i="16"/>
  <c r="W6" i="16"/>
  <c r="V7" i="16"/>
  <c r="W7" i="16"/>
  <c r="V8" i="16"/>
  <c r="W8" i="16"/>
  <c r="V9" i="16"/>
  <c r="W9" i="16"/>
  <c r="V10" i="16"/>
  <c r="W10" i="16"/>
  <c r="V11" i="16"/>
  <c r="W11" i="16"/>
  <c r="V12" i="16"/>
  <c r="W12" i="16"/>
  <c r="V13" i="16"/>
  <c r="W13" i="16"/>
  <c r="V14" i="16"/>
  <c r="W14" i="16"/>
  <c r="V15" i="16"/>
  <c r="W15" i="16"/>
  <c r="V16" i="16"/>
  <c r="W16" i="16"/>
  <c r="V17" i="16"/>
  <c r="W17" i="16"/>
  <c r="V18" i="16"/>
  <c r="W18" i="16"/>
  <c r="V19" i="16"/>
  <c r="W19" i="16"/>
  <c r="V20" i="16"/>
  <c r="W20" i="16"/>
  <c r="V21" i="16"/>
  <c r="W21" i="16"/>
  <c r="V22" i="16"/>
  <c r="W22" i="16"/>
  <c r="V23" i="16"/>
  <c r="W23" i="16"/>
  <c r="V24" i="16"/>
  <c r="W24" i="16"/>
  <c r="V25" i="16"/>
  <c r="W25" i="16"/>
  <c r="V26" i="16"/>
  <c r="W3" i="16"/>
  <c r="V3" i="16"/>
  <c r="Y25" i="16"/>
  <c r="Y24" i="16"/>
  <c r="Y23" i="16"/>
  <c r="Y22" i="16"/>
  <c r="Y21" i="16"/>
  <c r="Y20" i="16"/>
  <c r="Y19" i="16"/>
  <c r="Y18" i="16"/>
  <c r="Y17" i="16"/>
  <c r="Y16" i="16"/>
  <c r="Y15" i="16"/>
  <c r="Y14" i="16"/>
  <c r="Y13" i="16"/>
  <c r="Y12" i="16"/>
  <c r="Y11" i="16"/>
  <c r="Y10" i="16"/>
  <c r="Y9" i="16"/>
  <c r="Y8" i="16"/>
  <c r="Y7" i="16"/>
  <c r="Y6" i="16"/>
  <c r="Y5" i="16"/>
  <c r="Y4" i="16"/>
  <c r="Y3" i="16"/>
  <c r="AB3" i="16" s="1"/>
  <c r="R3" i="16"/>
  <c r="M9" i="16"/>
  <c r="M14" i="16"/>
  <c r="O25" i="16"/>
  <c r="M25" i="16"/>
  <c r="O24" i="16"/>
  <c r="M24" i="16"/>
  <c r="O23" i="16"/>
  <c r="M23" i="16"/>
  <c r="O22" i="16"/>
  <c r="M22" i="16"/>
  <c r="O21" i="16"/>
  <c r="M21" i="16"/>
  <c r="O20" i="16"/>
  <c r="M20" i="16"/>
  <c r="O19" i="16"/>
  <c r="M19" i="16"/>
  <c r="O18" i="16"/>
  <c r="M18" i="16"/>
  <c r="O17" i="16"/>
  <c r="M17" i="16"/>
  <c r="O16" i="16"/>
  <c r="M16" i="16"/>
  <c r="O15" i="16"/>
  <c r="M15" i="16"/>
  <c r="O14" i="16"/>
  <c r="O13" i="16"/>
  <c r="O12" i="16"/>
  <c r="M12" i="16"/>
  <c r="O11" i="16"/>
  <c r="M11" i="16"/>
  <c r="O10" i="16"/>
  <c r="M10" i="16"/>
  <c r="O9" i="16"/>
  <c r="O8" i="16"/>
  <c r="M8" i="16"/>
  <c r="O7" i="16"/>
  <c r="M7" i="16"/>
  <c r="O6" i="16"/>
  <c r="M6" i="16"/>
  <c r="O5" i="16"/>
  <c r="M5" i="16"/>
  <c r="O4" i="16"/>
  <c r="M4" i="16"/>
  <c r="O3" i="16"/>
  <c r="M3" i="16"/>
  <c r="D72" i="4"/>
  <c r="E72" i="4"/>
  <c r="F72" i="4"/>
  <c r="G72" i="4"/>
  <c r="H72" i="4"/>
  <c r="C72" i="4"/>
  <c r="E130" i="16"/>
  <c r="E129" i="16"/>
  <c r="E128" i="16"/>
  <c r="E127" i="16"/>
  <c r="E126" i="16"/>
  <c r="E125" i="16"/>
  <c r="E124" i="16"/>
  <c r="E123" i="16"/>
  <c r="E122" i="16"/>
  <c r="E121" i="16"/>
  <c r="E120" i="16"/>
  <c r="E119" i="16"/>
  <c r="E118" i="16"/>
  <c r="E117" i="16"/>
  <c r="E116" i="16"/>
  <c r="E115" i="16"/>
  <c r="E114" i="16"/>
  <c r="E113" i="16"/>
  <c r="E112" i="16"/>
  <c r="E111" i="16"/>
  <c r="E110" i="16"/>
  <c r="E109" i="16"/>
  <c r="E108" i="16"/>
  <c r="E107" i="16"/>
  <c r="E106" i="16"/>
  <c r="E105" i="16"/>
  <c r="E104" i="16"/>
  <c r="E103" i="16"/>
  <c r="E102" i="16"/>
  <c r="E101" i="16"/>
  <c r="E100" i="16"/>
  <c r="E99" i="16"/>
  <c r="E98" i="16"/>
  <c r="E97" i="16"/>
  <c r="E96" i="16"/>
  <c r="E95" i="16"/>
  <c r="E94" i="16"/>
  <c r="E93" i="16"/>
  <c r="E92" i="16"/>
  <c r="E91" i="16"/>
  <c r="E90" i="16"/>
  <c r="E89" i="16"/>
  <c r="E88" i="16"/>
  <c r="E87" i="16"/>
  <c r="E86" i="16"/>
  <c r="E85" i="16"/>
  <c r="E84" i="16"/>
  <c r="E83" i="16"/>
  <c r="E82" i="16"/>
  <c r="E81" i="16"/>
  <c r="E80" i="16"/>
  <c r="E79" i="16"/>
  <c r="E78" i="16"/>
  <c r="E77" i="16"/>
  <c r="E76" i="16"/>
  <c r="E75" i="16"/>
  <c r="E74" i="16"/>
  <c r="E73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E4" i="16"/>
  <c r="E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3" i="16"/>
  <c r="E17" i="15"/>
  <c r="F16" i="15" s="1"/>
  <c r="E8" i="15" s="1"/>
  <c r="F73" i="4" s="1"/>
  <c r="E18" i="15"/>
  <c r="F18" i="15" s="1"/>
  <c r="G8" i="15" s="1"/>
  <c r="H73" i="4" s="1"/>
  <c r="E19" i="15"/>
  <c r="E16" i="15"/>
  <c r="E15" i="15"/>
  <c r="F15" i="15" s="1"/>
  <c r="D8" i="15" s="1"/>
  <c r="E73" i="4" s="1"/>
  <c r="E14" i="15"/>
  <c r="F14" i="15" s="1"/>
  <c r="C8" i="15" s="1"/>
  <c r="D73" i="4" s="1"/>
  <c r="F17" i="15" l="1"/>
  <c r="F8" i="15" s="1"/>
  <c r="G73" i="4" s="1"/>
  <c r="F13" i="15"/>
  <c r="B8" i="15" s="1"/>
  <c r="C73" i="4" s="1"/>
  <c r="G12" i="11"/>
  <c r="G18" i="11" s="1"/>
  <c r="H10" i="11"/>
  <c r="F65" i="4"/>
  <c r="D65" i="4"/>
  <c r="D66" i="4" s="1"/>
  <c r="D18" i="12"/>
  <c r="E17" i="12"/>
  <c r="G65" i="4"/>
  <c r="C66" i="4"/>
  <c r="E65" i="4"/>
  <c r="E66" i="4" s="1"/>
  <c r="H65" i="4"/>
  <c r="H66" i="4" s="1"/>
  <c r="B41" i="3"/>
  <c r="B43" i="3" s="1"/>
  <c r="C41" i="3"/>
  <c r="C43" i="3" s="1"/>
  <c r="G41" i="3"/>
  <c r="G43" i="3" s="1"/>
  <c r="F66" i="4"/>
  <c r="D41" i="3"/>
  <c r="D43" i="3" s="1"/>
  <c r="E41" i="3"/>
  <c r="E43" i="3" s="1"/>
  <c r="F41" i="3"/>
  <c r="F43" i="3" s="1"/>
  <c r="G66" i="4"/>
  <c r="AB4" i="16"/>
  <c r="R4" i="16"/>
  <c r="M13" i="16"/>
  <c r="H3" i="16"/>
  <c r="H2" i="16"/>
  <c r="D29" i="4"/>
  <c r="E29" i="4"/>
  <c r="F29" i="4"/>
  <c r="G29" i="4"/>
  <c r="C29" i="4"/>
  <c r="H20" i="4"/>
  <c r="AE3" i="2"/>
  <c r="AF3" i="2"/>
  <c r="AG3" i="2"/>
  <c r="AH3" i="2"/>
  <c r="AI3" i="2"/>
  <c r="AE4" i="2"/>
  <c r="AF4" i="2"/>
  <c r="AG4" i="2"/>
  <c r="AH4" i="2"/>
  <c r="AI4" i="2"/>
  <c r="AE5" i="2"/>
  <c r="AF5" i="2"/>
  <c r="AG5" i="2"/>
  <c r="AH5" i="2"/>
  <c r="AI5" i="2"/>
  <c r="AE6" i="2"/>
  <c r="AF6" i="2"/>
  <c r="AG6" i="2"/>
  <c r="AH6" i="2"/>
  <c r="AI6" i="2"/>
  <c r="AE7" i="2"/>
  <c r="AF7" i="2"/>
  <c r="AG7" i="2"/>
  <c r="AH7" i="2"/>
  <c r="AI7" i="2"/>
  <c r="AE8" i="2"/>
  <c r="AF8" i="2"/>
  <c r="AG8" i="2"/>
  <c r="AH8" i="2"/>
  <c r="AI8" i="2"/>
  <c r="AE9" i="2"/>
  <c r="AF9" i="2"/>
  <c r="AG9" i="2"/>
  <c r="AH9" i="2"/>
  <c r="AI9" i="2"/>
  <c r="AE10" i="2"/>
  <c r="AF10" i="2"/>
  <c r="AG10" i="2"/>
  <c r="AE13" i="2"/>
  <c r="AF13" i="2"/>
  <c r="AG13" i="2"/>
  <c r="AH13" i="2"/>
  <c r="AI13" i="2"/>
  <c r="AE14" i="2"/>
  <c r="AF14" i="2"/>
  <c r="AG14" i="2"/>
  <c r="AH14" i="2"/>
  <c r="AI14" i="2"/>
  <c r="AE15" i="2"/>
  <c r="AF15" i="2"/>
  <c r="AG15" i="2"/>
  <c r="AH15" i="2"/>
  <c r="AI15" i="2"/>
  <c r="AE16" i="2"/>
  <c r="AF16" i="2"/>
  <c r="AG16" i="2"/>
  <c r="AH16" i="2"/>
  <c r="AI16" i="2"/>
  <c r="AE17" i="2"/>
  <c r="AF17" i="2"/>
  <c r="AG17" i="2"/>
  <c r="AE18" i="2"/>
  <c r="AF18" i="2"/>
  <c r="AG18" i="2"/>
  <c r="AE19" i="2"/>
  <c r="AF19" i="2"/>
  <c r="AG19" i="2"/>
  <c r="AE20" i="2"/>
  <c r="AF20" i="2"/>
  <c r="AG20" i="2"/>
  <c r="AE21" i="2"/>
  <c r="AF21" i="2"/>
  <c r="AG21" i="2"/>
  <c r="AE27" i="2"/>
  <c r="AF27" i="2"/>
  <c r="AG27" i="2"/>
  <c r="AH27" i="2"/>
  <c r="AI27" i="2"/>
  <c r="AE28" i="2"/>
  <c r="AF28" i="2"/>
  <c r="AG28" i="2"/>
  <c r="AH28" i="2"/>
  <c r="AI28" i="2"/>
  <c r="AE29" i="2"/>
  <c r="AF29" i="2"/>
  <c r="AG29" i="2"/>
  <c r="AH29" i="2"/>
  <c r="AI29" i="2"/>
  <c r="AE30" i="2"/>
  <c r="AF30" i="2"/>
  <c r="AG30" i="2"/>
  <c r="AH30" i="2"/>
  <c r="AI30" i="2"/>
  <c r="AE31" i="2"/>
  <c r="AF31" i="2"/>
  <c r="AG31" i="2"/>
  <c r="AH31" i="2"/>
  <c r="AI31" i="2"/>
  <c r="AE34" i="2"/>
  <c r="AF34" i="2"/>
  <c r="AG34" i="2"/>
  <c r="AE35" i="2"/>
  <c r="AF35" i="2"/>
  <c r="AG35" i="2"/>
  <c r="AE36" i="2"/>
  <c r="AF36" i="2"/>
  <c r="AG36" i="2"/>
  <c r="AE37" i="2"/>
  <c r="AF37" i="2"/>
  <c r="AG37" i="2"/>
  <c r="AH37" i="2"/>
  <c r="AI37" i="2"/>
  <c r="AD37" i="2"/>
  <c r="AC37" i="2"/>
  <c r="AB37" i="2"/>
  <c r="AC34" i="2"/>
  <c r="AD34" i="2"/>
  <c r="AC35" i="2"/>
  <c r="AD35" i="2"/>
  <c r="AC36" i="2"/>
  <c r="AD36" i="2"/>
  <c r="AB36" i="2"/>
  <c r="AB35" i="2"/>
  <c r="AB34" i="2"/>
  <c r="AC27" i="2"/>
  <c r="AD27" i="2"/>
  <c r="AC28" i="2"/>
  <c r="AD28" i="2"/>
  <c r="AC29" i="2"/>
  <c r="AD29" i="2"/>
  <c r="AC30" i="2"/>
  <c r="AD30" i="2"/>
  <c r="AC31" i="2"/>
  <c r="AD31" i="2"/>
  <c r="AB28" i="2"/>
  <c r="AB29" i="2"/>
  <c r="AB30" i="2"/>
  <c r="AB31" i="2"/>
  <c r="AB27" i="2"/>
  <c r="AD18" i="2"/>
  <c r="AD19" i="2"/>
  <c r="AD20" i="2"/>
  <c r="AD21" i="2"/>
  <c r="AD17" i="2"/>
  <c r="AC17" i="2"/>
  <c r="AC18" i="2"/>
  <c r="AC19" i="2"/>
  <c r="AC20" i="2"/>
  <c r="AC21" i="2"/>
  <c r="AB18" i="2"/>
  <c r="AB19" i="2"/>
  <c r="AB20" i="2"/>
  <c r="AB21" i="2"/>
  <c r="AB17" i="2"/>
  <c r="AC13" i="2"/>
  <c r="AD13" i="2"/>
  <c r="AC14" i="2"/>
  <c r="AD14" i="2"/>
  <c r="AC15" i="2"/>
  <c r="AD15" i="2"/>
  <c r="AC16" i="2"/>
  <c r="AD16" i="2"/>
  <c r="AB14" i="2"/>
  <c r="AB15" i="2"/>
  <c r="AB16" i="2"/>
  <c r="AB13" i="2"/>
  <c r="AD3" i="2"/>
  <c r="AD10" i="2"/>
  <c r="AC10" i="2"/>
  <c r="AB10" i="2"/>
  <c r="AC3" i="2"/>
  <c r="AC4" i="2"/>
  <c r="AD4" i="2"/>
  <c r="AC5" i="2"/>
  <c r="AD5" i="2"/>
  <c r="AC6" i="2"/>
  <c r="AD6" i="2"/>
  <c r="AC7" i="2"/>
  <c r="AD7" i="2"/>
  <c r="AC8" i="2"/>
  <c r="AD8" i="2"/>
  <c r="AC9" i="2"/>
  <c r="AD9" i="2"/>
  <c r="AB4" i="2"/>
  <c r="AB5" i="2"/>
  <c r="AB6" i="2"/>
  <c r="AB7" i="2"/>
  <c r="AB8" i="2"/>
  <c r="AB9" i="2"/>
  <c r="AB3" i="2"/>
  <c r="V39" i="2"/>
  <c r="W39" i="2"/>
  <c r="X39" i="2"/>
  <c r="V40" i="2"/>
  <c r="W40" i="2"/>
  <c r="X40" i="2"/>
  <c r="V41" i="2"/>
  <c r="W41" i="2"/>
  <c r="X41" i="2"/>
  <c r="U41" i="2"/>
  <c r="U40" i="2"/>
  <c r="U39" i="2"/>
  <c r="V32" i="2"/>
  <c r="W32" i="2"/>
  <c r="X32" i="2"/>
  <c r="Y32" i="2"/>
  <c r="V33" i="2"/>
  <c r="W33" i="2"/>
  <c r="X33" i="2"/>
  <c r="Y33" i="2"/>
  <c r="V34" i="2"/>
  <c r="W34" i="2"/>
  <c r="X34" i="2"/>
  <c r="Y34" i="2"/>
  <c r="V35" i="2"/>
  <c r="W35" i="2"/>
  <c r="X35" i="2"/>
  <c r="Y35" i="2"/>
  <c r="V36" i="2"/>
  <c r="W36" i="2"/>
  <c r="X36" i="2"/>
  <c r="Y36" i="2"/>
  <c r="U33" i="2"/>
  <c r="U34" i="2"/>
  <c r="U35" i="2"/>
  <c r="U36" i="2"/>
  <c r="U32" i="2"/>
  <c r="V3" i="2"/>
  <c r="W3" i="2"/>
  <c r="X3" i="2"/>
  <c r="Y3" i="2"/>
  <c r="Z3" i="2"/>
  <c r="V4" i="2"/>
  <c r="W4" i="2"/>
  <c r="X4" i="2"/>
  <c r="Y4" i="2"/>
  <c r="Z4" i="2"/>
  <c r="V5" i="2"/>
  <c r="W5" i="2"/>
  <c r="X5" i="2"/>
  <c r="Y5" i="2"/>
  <c r="Z5" i="2"/>
  <c r="V6" i="2"/>
  <c r="W6" i="2"/>
  <c r="X6" i="2"/>
  <c r="Y6" i="2"/>
  <c r="Z6" i="2"/>
  <c r="V7" i="2"/>
  <c r="W7" i="2"/>
  <c r="X7" i="2"/>
  <c r="Y7" i="2"/>
  <c r="Z7" i="2"/>
  <c r="V8" i="2"/>
  <c r="W8" i="2"/>
  <c r="X8" i="2"/>
  <c r="Y8" i="2"/>
  <c r="Z8" i="2"/>
  <c r="V9" i="2"/>
  <c r="W9" i="2"/>
  <c r="X9" i="2"/>
  <c r="Y9" i="2"/>
  <c r="Z9" i="2"/>
  <c r="U4" i="2"/>
  <c r="U5" i="2"/>
  <c r="U6" i="2"/>
  <c r="U7" i="2"/>
  <c r="U8" i="2"/>
  <c r="U9" i="2"/>
  <c r="U3" i="2"/>
  <c r="T40" i="2"/>
  <c r="S40" i="2"/>
  <c r="V10" i="2"/>
  <c r="W10" i="2"/>
  <c r="X10" i="2"/>
  <c r="V13" i="2"/>
  <c r="W13" i="2"/>
  <c r="X13" i="2"/>
  <c r="Y13" i="2"/>
  <c r="Z13" i="2"/>
  <c r="V14" i="2"/>
  <c r="W14" i="2"/>
  <c r="X14" i="2"/>
  <c r="Y14" i="2"/>
  <c r="Z14" i="2"/>
  <c r="V15" i="2"/>
  <c r="W15" i="2"/>
  <c r="X15" i="2"/>
  <c r="Y15" i="2"/>
  <c r="Z15" i="2"/>
  <c r="V16" i="2"/>
  <c r="W16" i="2"/>
  <c r="X16" i="2"/>
  <c r="Y16" i="2"/>
  <c r="Z16" i="2"/>
  <c r="V17" i="2"/>
  <c r="W17" i="2"/>
  <c r="X17" i="2"/>
  <c r="V18" i="2"/>
  <c r="W18" i="2"/>
  <c r="X18" i="2"/>
  <c r="V19" i="2"/>
  <c r="W19" i="2"/>
  <c r="X19" i="2"/>
  <c r="V20" i="2"/>
  <c r="W20" i="2"/>
  <c r="X20" i="2"/>
  <c r="V21" i="2"/>
  <c r="W21" i="2"/>
  <c r="X21" i="2"/>
  <c r="V26" i="2"/>
  <c r="V27" i="2" s="1"/>
  <c r="W26" i="2"/>
  <c r="W27" i="2" s="1"/>
  <c r="X26" i="2"/>
  <c r="X27" i="2" s="1"/>
  <c r="Y26" i="2"/>
  <c r="Y27" i="2" s="1"/>
  <c r="Z26" i="2"/>
  <c r="Z27" i="2" s="1"/>
  <c r="T13" i="2"/>
  <c r="U13" i="2"/>
  <c r="T14" i="2"/>
  <c r="U14" i="2"/>
  <c r="T15" i="2"/>
  <c r="U15" i="2"/>
  <c r="T16" i="2"/>
  <c r="U16" i="2"/>
  <c r="S16" i="2"/>
  <c r="T26" i="2"/>
  <c r="U26" i="2"/>
  <c r="S26" i="2"/>
  <c r="U18" i="2"/>
  <c r="U19" i="2"/>
  <c r="U20" i="2"/>
  <c r="U21" i="2"/>
  <c r="U17" i="2"/>
  <c r="T17" i="2"/>
  <c r="T18" i="2"/>
  <c r="T19" i="2"/>
  <c r="T20" i="2"/>
  <c r="T21" i="2"/>
  <c r="S21" i="2"/>
  <c r="S18" i="2"/>
  <c r="S19" i="2"/>
  <c r="S20" i="2"/>
  <c r="S17" i="2"/>
  <c r="K44" i="2"/>
  <c r="L44" i="2"/>
  <c r="K43" i="2"/>
  <c r="L43" i="2"/>
  <c r="K42" i="2"/>
  <c r="L42" i="2"/>
  <c r="K41" i="2"/>
  <c r="L41" i="2"/>
  <c r="K40" i="2"/>
  <c r="L40" i="2"/>
  <c r="J44" i="2"/>
  <c r="J41" i="2"/>
  <c r="J42" i="2"/>
  <c r="J43" i="2"/>
  <c r="J40" i="2"/>
  <c r="K32" i="2"/>
  <c r="L32" i="2"/>
  <c r="L33" i="2" s="1"/>
  <c r="J32" i="2"/>
  <c r="S15" i="2"/>
  <c r="S14" i="2"/>
  <c r="S13" i="2"/>
  <c r="T10" i="2"/>
  <c r="U10" i="2"/>
  <c r="S10" i="2"/>
  <c r="I10" i="11" l="1"/>
  <c r="I12" i="11" s="1"/>
  <c r="I18" i="11" s="1"/>
  <c r="H12" i="11"/>
  <c r="H18" i="11" s="1"/>
  <c r="I66" i="4"/>
  <c r="E18" i="12"/>
  <c r="F17" i="12"/>
  <c r="H4" i="16"/>
  <c r="AG32" i="2"/>
  <c r="AF38" i="2"/>
  <c r="AF22" i="2"/>
  <c r="AE22" i="2"/>
  <c r="AG22" i="2"/>
  <c r="AE11" i="2"/>
  <c r="AE45" i="2" s="1"/>
  <c r="AF11" i="2"/>
  <c r="AF45" i="2" s="1"/>
  <c r="AG11" i="2"/>
  <c r="AG38" i="2"/>
  <c r="AE38" i="2"/>
  <c r="AI32" i="2"/>
  <c r="AE32" i="2"/>
  <c r="AF32" i="2"/>
  <c r="AH32" i="2"/>
  <c r="AD22" i="2"/>
  <c r="AD46" i="2" s="1"/>
  <c r="AD11" i="2"/>
  <c r="AD45" i="2" s="1"/>
  <c r="V37" i="2"/>
  <c r="D30" i="4" s="1"/>
  <c r="E31" i="4" s="1"/>
  <c r="W11" i="2"/>
  <c r="W42" i="2"/>
  <c r="W22" i="2"/>
  <c r="V11" i="2"/>
  <c r="X42" i="2"/>
  <c r="W37" i="2"/>
  <c r="X11" i="2"/>
  <c r="V22" i="2"/>
  <c r="X22" i="2"/>
  <c r="Y37" i="2"/>
  <c r="G30" i="4" s="1"/>
  <c r="H31" i="4" s="1"/>
  <c r="X37" i="2"/>
  <c r="F30" i="4" s="1"/>
  <c r="G31" i="4" s="1"/>
  <c r="V42" i="2"/>
  <c r="V44" i="2" s="1"/>
  <c r="L45" i="2"/>
  <c r="M13" i="1" l="1"/>
  <c r="N13" i="1"/>
  <c r="AE46" i="2"/>
  <c r="AE47" i="2" s="1"/>
  <c r="L12" i="1"/>
  <c r="AH48" i="2"/>
  <c r="G12" i="10"/>
  <c r="D11" i="10"/>
  <c r="E11" i="10"/>
  <c r="M15" i="1"/>
  <c r="AE48" i="2"/>
  <c r="D12" i="10"/>
  <c r="AF48" i="2"/>
  <c r="E12" i="10"/>
  <c r="F11" i="10"/>
  <c r="N15" i="1"/>
  <c r="AG46" i="2"/>
  <c r="N12" i="1"/>
  <c r="AG48" i="2"/>
  <c r="F12" i="10"/>
  <c r="C36" i="11"/>
  <c r="D36" i="11" s="1"/>
  <c r="E36" i="11" s="1"/>
  <c r="F36" i="11" s="1"/>
  <c r="G36" i="11" s="1"/>
  <c r="H36" i="11" s="1"/>
  <c r="I36" i="11" s="1"/>
  <c r="H12" i="10"/>
  <c r="AF46" i="2"/>
  <c r="AF47" i="2" s="1"/>
  <c r="M12" i="1"/>
  <c r="F18" i="12"/>
  <c r="G17" i="12"/>
  <c r="G18" i="12" s="1"/>
  <c r="AI48" i="2"/>
  <c r="AE49" i="2"/>
  <c r="AG40" i="2"/>
  <c r="AG49" i="2"/>
  <c r="W44" i="2"/>
  <c r="E30" i="4"/>
  <c r="G32" i="4"/>
  <c r="G9" i="5" s="1"/>
  <c r="G11" i="5" s="1"/>
  <c r="AF49" i="2"/>
  <c r="AG24" i="2"/>
  <c r="F21" i="4" s="1"/>
  <c r="AG45" i="2"/>
  <c r="D74" i="4"/>
  <c r="D75" i="4" s="1"/>
  <c r="D54" i="4" s="1"/>
  <c r="H74" i="4"/>
  <c r="H75" i="4" s="1"/>
  <c r="H54" i="4" s="1"/>
  <c r="E74" i="4"/>
  <c r="E75" i="4" s="1"/>
  <c r="E54" i="4" s="1"/>
  <c r="C74" i="4"/>
  <c r="C75" i="4" s="1"/>
  <c r="F74" i="4"/>
  <c r="F75" i="4" s="1"/>
  <c r="F54" i="4" s="1"/>
  <c r="G74" i="4"/>
  <c r="G75" i="4" s="1"/>
  <c r="G54" i="4" s="1"/>
  <c r="AF24" i="2"/>
  <c r="E21" i="4" s="1"/>
  <c r="X24" i="2"/>
  <c r="X29" i="2" s="1"/>
  <c r="AE24" i="2"/>
  <c r="D21" i="4" s="1"/>
  <c r="AF40" i="2"/>
  <c r="AE40" i="2"/>
  <c r="V24" i="2"/>
  <c r="V29" i="2" s="1"/>
  <c r="X44" i="2"/>
  <c r="W24" i="2"/>
  <c r="W29" i="2" s="1"/>
  <c r="M14" i="1" l="1"/>
  <c r="M18" i="1" s="1"/>
  <c r="M20" i="1" s="1"/>
  <c r="N14" i="1"/>
  <c r="N18" i="1" s="1"/>
  <c r="N20" i="1" s="1"/>
  <c r="AG47" i="2"/>
  <c r="AE50" i="2"/>
  <c r="AF50" i="2"/>
  <c r="AG50" i="2"/>
  <c r="AG51" i="2" s="1"/>
  <c r="F13" i="10"/>
  <c r="F4" i="10" s="1"/>
  <c r="D13" i="10"/>
  <c r="D4" i="10" s="1"/>
  <c r="E13" i="10"/>
  <c r="E4" i="10" s="1"/>
  <c r="AF51" i="2"/>
  <c r="C54" i="4"/>
  <c r="I75" i="4"/>
  <c r="H17" i="12"/>
  <c r="H18" i="12" s="1"/>
  <c r="G53" i="4"/>
  <c r="G5" i="4"/>
  <c r="F31" i="4"/>
  <c r="F32" i="4" s="1"/>
  <c r="F9" i="5" s="1"/>
  <c r="F11" i="5" s="1"/>
  <c r="E32" i="4"/>
  <c r="E9" i="5" s="1"/>
  <c r="E11" i="5" s="1"/>
  <c r="K35" i="2"/>
  <c r="T39" i="2" s="1"/>
  <c r="L35" i="2"/>
  <c r="M37" i="2"/>
  <c r="N37" i="2"/>
  <c r="O37" i="2"/>
  <c r="K36" i="2"/>
  <c r="L36" i="2"/>
  <c r="M38" i="2"/>
  <c r="N38" i="2"/>
  <c r="O38" i="2"/>
  <c r="K37" i="2"/>
  <c r="T41" i="2" s="1"/>
  <c r="L37" i="2"/>
  <c r="M39" i="2"/>
  <c r="N39" i="2"/>
  <c r="O39" i="2"/>
  <c r="M42" i="2"/>
  <c r="N42" i="2"/>
  <c r="O42" i="2"/>
  <c r="M43" i="2"/>
  <c r="N43" i="2"/>
  <c r="O43" i="2"/>
  <c r="M44" i="2"/>
  <c r="N44" i="2"/>
  <c r="O44" i="2"/>
  <c r="J37" i="2"/>
  <c r="S41" i="2" s="1"/>
  <c r="J36" i="2"/>
  <c r="J35" i="2"/>
  <c r="S39" i="2" s="1"/>
  <c r="M32" i="2"/>
  <c r="N32" i="2"/>
  <c r="O32" i="2"/>
  <c r="M33" i="2"/>
  <c r="N33" i="2"/>
  <c r="O33" i="2"/>
  <c r="M34" i="2"/>
  <c r="N34" i="2"/>
  <c r="O34" i="2"/>
  <c r="J26" i="2"/>
  <c r="S33" i="2" s="1"/>
  <c r="K26" i="2"/>
  <c r="T33" i="2" s="1"/>
  <c r="L26" i="2"/>
  <c r="M26" i="2"/>
  <c r="N26" i="2"/>
  <c r="O26" i="2"/>
  <c r="P26" i="2"/>
  <c r="Q26" i="2"/>
  <c r="Z33" i="2" s="1"/>
  <c r="J27" i="2"/>
  <c r="S34" i="2" s="1"/>
  <c r="K27" i="2"/>
  <c r="T34" i="2" s="1"/>
  <c r="L27" i="2"/>
  <c r="M27" i="2"/>
  <c r="N27" i="2"/>
  <c r="O27" i="2"/>
  <c r="P27" i="2"/>
  <c r="Q27" i="2"/>
  <c r="Z34" i="2" s="1"/>
  <c r="J28" i="2"/>
  <c r="S35" i="2" s="1"/>
  <c r="K28" i="2"/>
  <c r="T35" i="2" s="1"/>
  <c r="L28" i="2"/>
  <c r="M28" i="2"/>
  <c r="N28" i="2"/>
  <c r="O28" i="2"/>
  <c r="P28" i="2"/>
  <c r="Q28" i="2"/>
  <c r="Z35" i="2" s="1"/>
  <c r="J29" i="2"/>
  <c r="S36" i="2" s="1"/>
  <c r="K29" i="2"/>
  <c r="T36" i="2" s="1"/>
  <c r="L29" i="2"/>
  <c r="M29" i="2"/>
  <c r="N29" i="2"/>
  <c r="O29" i="2"/>
  <c r="P29" i="2"/>
  <c r="Q29" i="2"/>
  <c r="Z36" i="2" s="1"/>
  <c r="K25" i="2"/>
  <c r="T32" i="2" s="1"/>
  <c r="L25" i="2"/>
  <c r="M25" i="2"/>
  <c r="N25" i="2"/>
  <c r="O25" i="2"/>
  <c r="P25" i="2"/>
  <c r="Q25" i="2"/>
  <c r="Z32" i="2" s="1"/>
  <c r="J25" i="2"/>
  <c r="S32" i="2" s="1"/>
  <c r="K16" i="2"/>
  <c r="L16" i="2"/>
  <c r="M16" i="2"/>
  <c r="N16" i="2"/>
  <c r="O16" i="2"/>
  <c r="P16" i="2"/>
  <c r="Q16" i="2"/>
  <c r="K17" i="2"/>
  <c r="L17" i="2"/>
  <c r="M17" i="2"/>
  <c r="N17" i="2"/>
  <c r="O17" i="2"/>
  <c r="P17" i="2"/>
  <c r="Q17" i="2"/>
  <c r="K18" i="2"/>
  <c r="L18" i="2"/>
  <c r="M18" i="2"/>
  <c r="N18" i="2"/>
  <c r="O18" i="2"/>
  <c r="P18" i="2"/>
  <c r="Q18" i="2"/>
  <c r="K19" i="2"/>
  <c r="L19" i="2"/>
  <c r="M19" i="2"/>
  <c r="N19" i="2"/>
  <c r="O19" i="2"/>
  <c r="P19" i="2"/>
  <c r="Q19" i="2"/>
  <c r="J17" i="2"/>
  <c r="J18" i="2"/>
  <c r="J19" i="2"/>
  <c r="J16" i="2"/>
  <c r="K13" i="2"/>
  <c r="L13" i="2"/>
  <c r="M13" i="2"/>
  <c r="N13" i="2"/>
  <c r="O13" i="2"/>
  <c r="P13" i="2"/>
  <c r="Q13" i="2"/>
  <c r="J13" i="2"/>
  <c r="F25" i="5" l="1"/>
  <c r="Q5" i="4"/>
  <c r="E5" i="4"/>
  <c r="E53" i="4"/>
  <c r="F53" i="4"/>
  <c r="F5" i="4"/>
  <c r="Z37" i="2"/>
  <c r="H30" i="4" s="1"/>
  <c r="H32" i="4" s="1"/>
  <c r="U37" i="2"/>
  <c r="C30" i="4" s="1"/>
  <c r="U42" i="2"/>
  <c r="L30" i="2"/>
  <c r="L38" i="2"/>
  <c r="Q30" i="2"/>
  <c r="N35" i="2"/>
  <c r="P30" i="2"/>
  <c r="M30" i="2"/>
  <c r="O30" i="2"/>
  <c r="M35" i="2"/>
  <c r="N30" i="2"/>
  <c r="O35" i="2"/>
  <c r="K3" i="2"/>
  <c r="T3" i="2" s="1"/>
  <c r="L3" i="2"/>
  <c r="M3" i="2"/>
  <c r="N3" i="2"/>
  <c r="O3" i="2"/>
  <c r="P3" i="2"/>
  <c r="Q3" i="2"/>
  <c r="K4" i="2"/>
  <c r="T4" i="2" s="1"/>
  <c r="L4" i="2"/>
  <c r="M4" i="2"/>
  <c r="N4" i="2"/>
  <c r="O4" i="2"/>
  <c r="P4" i="2"/>
  <c r="Q4" i="2"/>
  <c r="K5" i="2"/>
  <c r="T5" i="2" s="1"/>
  <c r="L5" i="2"/>
  <c r="M5" i="2"/>
  <c r="N5" i="2"/>
  <c r="O5" i="2"/>
  <c r="P5" i="2"/>
  <c r="Q5" i="2"/>
  <c r="K6" i="2"/>
  <c r="T6" i="2" s="1"/>
  <c r="L6" i="2"/>
  <c r="M6" i="2"/>
  <c r="N6" i="2"/>
  <c r="O6" i="2"/>
  <c r="P6" i="2"/>
  <c r="Q6" i="2"/>
  <c r="K7" i="2"/>
  <c r="T7" i="2" s="1"/>
  <c r="L7" i="2"/>
  <c r="M7" i="2"/>
  <c r="N7" i="2"/>
  <c r="O7" i="2"/>
  <c r="P7" i="2"/>
  <c r="Q7" i="2"/>
  <c r="K8" i="2"/>
  <c r="T8" i="2" s="1"/>
  <c r="L8" i="2"/>
  <c r="M8" i="2"/>
  <c r="N8" i="2"/>
  <c r="O8" i="2"/>
  <c r="P8" i="2"/>
  <c r="Q8" i="2"/>
  <c r="K9" i="2"/>
  <c r="T9" i="2" s="1"/>
  <c r="L9" i="2"/>
  <c r="M9" i="2"/>
  <c r="N9" i="2"/>
  <c r="O9" i="2"/>
  <c r="P9" i="2"/>
  <c r="Q9" i="2"/>
  <c r="J4" i="2"/>
  <c r="S4" i="2" s="1"/>
  <c r="J5" i="2"/>
  <c r="S5" i="2" s="1"/>
  <c r="J6" i="2"/>
  <c r="S6" i="2" s="1"/>
  <c r="J7" i="2"/>
  <c r="S7" i="2" s="1"/>
  <c r="J8" i="2"/>
  <c r="S8" i="2" s="1"/>
  <c r="J9" i="2"/>
  <c r="S9" i="2" s="1"/>
  <c r="J3" i="2"/>
  <c r="S3" i="2" s="1"/>
  <c r="N14" i="2"/>
  <c r="O14" i="2"/>
  <c r="P14" i="2"/>
  <c r="Q14" i="2"/>
  <c r="N20" i="2"/>
  <c r="O20" i="2"/>
  <c r="P20" i="2"/>
  <c r="Q20" i="2"/>
  <c r="N45" i="2"/>
  <c r="O45" i="2"/>
  <c r="B30" i="13"/>
  <c r="G3" i="2"/>
  <c r="C12" i="2"/>
  <c r="C17" i="10" s="1"/>
  <c r="D12" i="2"/>
  <c r="D17" i="10" s="1"/>
  <c r="E12" i="2"/>
  <c r="E17" i="10" s="1"/>
  <c r="F12" i="2"/>
  <c r="F17" i="10" s="1"/>
  <c r="G12" i="2"/>
  <c r="G17" i="10" s="1"/>
  <c r="D3" i="2"/>
  <c r="D18" i="2" s="1"/>
  <c r="E3" i="2"/>
  <c r="F3" i="2"/>
  <c r="F18" i="2" s="1"/>
  <c r="C3" i="2"/>
  <c r="C18" i="2" s="1"/>
  <c r="H3" i="2"/>
  <c r="H12" i="2"/>
  <c r="H17" i="10" s="1"/>
  <c r="C21" i="2"/>
  <c r="C24" i="5" s="1"/>
  <c r="D21" i="2"/>
  <c r="E21" i="2"/>
  <c r="F21" i="2"/>
  <c r="G21" i="2"/>
  <c r="H21" i="2"/>
  <c r="C28" i="2"/>
  <c r="D28" i="2"/>
  <c r="E28" i="2"/>
  <c r="F28" i="2"/>
  <c r="C34" i="2"/>
  <c r="C18" i="10" s="1"/>
  <c r="D34" i="2"/>
  <c r="D18" i="10" s="1"/>
  <c r="E34" i="2"/>
  <c r="E18" i="10" s="1"/>
  <c r="F34" i="2"/>
  <c r="F18" i="10" s="1"/>
  <c r="G36" i="2"/>
  <c r="AH18" i="2" s="1"/>
  <c r="G37" i="2"/>
  <c r="AH19" i="2" s="1"/>
  <c r="G38" i="2"/>
  <c r="AH20" i="2" s="1"/>
  <c r="G39" i="2"/>
  <c r="AH21" i="2" s="1"/>
  <c r="G35" i="2"/>
  <c r="AH17" i="2" s="1"/>
  <c r="H30" i="2"/>
  <c r="AI10" i="2" s="1"/>
  <c r="AI11" i="2" s="1"/>
  <c r="C29" i="11" s="1"/>
  <c r="G30" i="2"/>
  <c r="AH10" i="2" s="1"/>
  <c r="AH11" i="2" s="1"/>
  <c r="AH45" i="2" s="1"/>
  <c r="G31" i="2"/>
  <c r="AH35" i="2" s="1"/>
  <c r="G32" i="2"/>
  <c r="AH36" i="2" s="1"/>
  <c r="G29" i="2"/>
  <c r="AH34" i="2" s="1"/>
  <c r="C30" i="13"/>
  <c r="D30" i="13"/>
  <c r="H29" i="2" s="1"/>
  <c r="AI34" i="2" s="1"/>
  <c r="C31" i="13"/>
  <c r="D31" i="13"/>
  <c r="C32" i="13"/>
  <c r="D32" i="13"/>
  <c r="H31" i="2" s="1"/>
  <c r="AI35" i="2" s="1"/>
  <c r="C33" i="13"/>
  <c r="D33" i="13"/>
  <c r="H32" i="2" s="1"/>
  <c r="AI36" i="2" s="1"/>
  <c r="C34" i="13"/>
  <c r="C37" i="13"/>
  <c r="D37" i="13"/>
  <c r="H35" i="2" s="1"/>
  <c r="AI17" i="2" s="1"/>
  <c r="C38" i="13"/>
  <c r="D38" i="13"/>
  <c r="H36" i="2" s="1"/>
  <c r="AI18" i="2" s="1"/>
  <c r="C39" i="13"/>
  <c r="D39" i="13"/>
  <c r="H37" i="2" s="1"/>
  <c r="AI19" i="2" s="1"/>
  <c r="C40" i="13"/>
  <c r="D40" i="13"/>
  <c r="H38" i="2" s="1"/>
  <c r="AI20" i="2" s="1"/>
  <c r="C41" i="13"/>
  <c r="D41" i="13"/>
  <c r="H39" i="2" s="1"/>
  <c r="AI21" i="2" s="1"/>
  <c r="C42" i="13"/>
  <c r="B41" i="13"/>
  <c r="B40" i="13"/>
  <c r="B39" i="13"/>
  <c r="B38" i="13"/>
  <c r="B37" i="13"/>
  <c r="B33" i="13"/>
  <c r="B32" i="13"/>
  <c r="B31" i="13"/>
  <c r="E59" i="13"/>
  <c r="E62" i="13"/>
  <c r="E67" i="13"/>
  <c r="E71" i="13" s="1"/>
  <c r="B72" i="13"/>
  <c r="B63" i="13"/>
  <c r="B14" i="13"/>
  <c r="C14" i="13"/>
  <c r="B23" i="13"/>
  <c r="C23" i="13"/>
  <c r="K3" i="1"/>
  <c r="L3" i="1"/>
  <c r="M3" i="1"/>
  <c r="N3" i="1"/>
  <c r="O3" i="1"/>
  <c r="K2" i="1"/>
  <c r="L2" i="1"/>
  <c r="M2" i="1"/>
  <c r="N2" i="1"/>
  <c r="O2" i="1"/>
  <c r="F26" i="1"/>
  <c r="C26" i="1"/>
  <c r="D26" i="1"/>
  <c r="E26" i="1"/>
  <c r="B26" i="1"/>
  <c r="E18" i="2" l="1"/>
  <c r="F19" i="10"/>
  <c r="F5" i="10" s="1"/>
  <c r="D29" i="11"/>
  <c r="E24" i="5"/>
  <c r="E55" i="4"/>
  <c r="H55" i="4"/>
  <c r="H24" i="5"/>
  <c r="D24" i="5"/>
  <c r="E56" i="4"/>
  <c r="E8" i="4" s="1"/>
  <c r="O10" i="4" s="1"/>
  <c r="G24" i="5"/>
  <c r="G55" i="4"/>
  <c r="G56" i="4" s="1"/>
  <c r="G8" i="4" s="1"/>
  <c r="Q10" i="4" s="1"/>
  <c r="F24" i="5"/>
  <c r="F55" i="4"/>
  <c r="F56" i="4" s="1"/>
  <c r="F8" i="4" s="1"/>
  <c r="P10" i="4" s="1"/>
  <c r="E19" i="10"/>
  <c r="E5" i="10" s="1"/>
  <c r="D19" i="10"/>
  <c r="D5" i="10" s="1"/>
  <c r="H5" i="4"/>
  <c r="H9" i="5"/>
  <c r="H11" i="5" s="1"/>
  <c r="H26" i="5" s="1"/>
  <c r="D42" i="13"/>
  <c r="AI45" i="2"/>
  <c r="P13" i="1"/>
  <c r="D34" i="13"/>
  <c r="O5" i="4"/>
  <c r="P5" i="4"/>
  <c r="H53" i="4"/>
  <c r="H56" i="4" s="1"/>
  <c r="H8" i="4" s="1"/>
  <c r="R10" i="4" s="1"/>
  <c r="D31" i="4"/>
  <c r="D32" i="4" s="1"/>
  <c r="D9" i="5" s="1"/>
  <c r="D11" i="5" s="1"/>
  <c r="C32" i="4"/>
  <c r="C9" i="5" s="1"/>
  <c r="C11" i="5" s="1"/>
  <c r="AI38" i="2"/>
  <c r="AI22" i="2"/>
  <c r="C31" i="11" s="1"/>
  <c r="D31" i="11" s="1"/>
  <c r="E31" i="11" s="1"/>
  <c r="F31" i="11" s="1"/>
  <c r="G31" i="11" s="1"/>
  <c r="H31" i="11" s="1"/>
  <c r="I31" i="11" s="1"/>
  <c r="AH38" i="2"/>
  <c r="AH22" i="2"/>
  <c r="O12" i="1" s="1"/>
  <c r="P37" i="2"/>
  <c r="Y39" i="2"/>
  <c r="Q39" i="2"/>
  <c r="Z41" i="2"/>
  <c r="P32" i="2"/>
  <c r="Y17" i="2"/>
  <c r="P44" i="2"/>
  <c r="Y18" i="2"/>
  <c r="Q44" i="2"/>
  <c r="Z18" i="2"/>
  <c r="P39" i="2"/>
  <c r="Y41" i="2"/>
  <c r="Q38" i="2"/>
  <c r="Z40" i="2"/>
  <c r="P43" i="2"/>
  <c r="Y21" i="2"/>
  <c r="Q43" i="2"/>
  <c r="Z21" i="2"/>
  <c r="Q32" i="2"/>
  <c r="Z17" i="2"/>
  <c r="P38" i="2"/>
  <c r="Y40" i="2"/>
  <c r="Q42" i="2"/>
  <c r="Z10" i="2"/>
  <c r="Z11" i="2" s="1"/>
  <c r="P34" i="2"/>
  <c r="Y20" i="2"/>
  <c r="Q34" i="2"/>
  <c r="Z20" i="2"/>
  <c r="P42" i="2"/>
  <c r="Y10" i="2"/>
  <c r="Y11" i="2" s="1"/>
  <c r="O13" i="1" s="1"/>
  <c r="Q37" i="2"/>
  <c r="Z39" i="2"/>
  <c r="P33" i="2"/>
  <c r="Y19" i="2"/>
  <c r="Q33" i="2"/>
  <c r="Q35" i="2" s="1"/>
  <c r="Z19" i="2"/>
  <c r="Q11" i="2"/>
  <c r="Q22" i="2" s="1"/>
  <c r="L11" i="2"/>
  <c r="N11" i="2"/>
  <c r="N22" i="2" s="1"/>
  <c r="O11" i="2"/>
  <c r="O22" i="2" s="1"/>
  <c r="P11" i="2"/>
  <c r="P22" i="2" s="1"/>
  <c r="O47" i="2"/>
  <c r="N47" i="2"/>
  <c r="G28" i="2"/>
  <c r="G34" i="2"/>
  <c r="G18" i="10" s="1"/>
  <c r="G19" i="10" s="1"/>
  <c r="G5" i="10" s="1"/>
  <c r="D40" i="2"/>
  <c r="F40" i="2"/>
  <c r="H18" i="2"/>
  <c r="H28" i="2"/>
  <c r="H34" i="2"/>
  <c r="H18" i="10" s="1"/>
  <c r="H19" i="10" s="1"/>
  <c r="H5" i="10" s="1"/>
  <c r="E40" i="2"/>
  <c r="C40" i="2"/>
  <c r="G18" i="2"/>
  <c r="B42" i="13"/>
  <c r="B34" i="13"/>
  <c r="E63" i="13"/>
  <c r="O4" i="1"/>
  <c r="K4" i="1"/>
  <c r="K10" i="1" s="1"/>
  <c r="M4" i="1"/>
  <c r="N4" i="1"/>
  <c r="L4" i="1"/>
  <c r="I24" i="5" l="1"/>
  <c r="O14" i="1"/>
  <c r="G25" i="5" s="1"/>
  <c r="G11" i="10"/>
  <c r="G13" i="10" s="1"/>
  <c r="G4" i="10" s="1"/>
  <c r="O15" i="1"/>
  <c r="E29" i="11"/>
  <c r="D33" i="11"/>
  <c r="C33" i="11"/>
  <c r="H11" i="10"/>
  <c r="H13" i="10" s="1"/>
  <c r="H4" i="10" s="1"/>
  <c r="C38" i="11"/>
  <c r="C25" i="12"/>
  <c r="I11" i="5"/>
  <c r="P12" i="1"/>
  <c r="P14" i="1" s="1"/>
  <c r="P15" i="1"/>
  <c r="E20" i="4"/>
  <c r="E22" i="4" s="1"/>
  <c r="C20" i="4"/>
  <c r="F20" i="4"/>
  <c r="F22" i="4" s="1"/>
  <c r="D20" i="4"/>
  <c r="D22" i="4" s="1"/>
  <c r="G20" i="4"/>
  <c r="R5" i="4"/>
  <c r="C5" i="4"/>
  <c r="C53" i="4"/>
  <c r="D5" i="4"/>
  <c r="D53" i="4"/>
  <c r="AH40" i="2"/>
  <c r="AH49" i="2"/>
  <c r="AH50" i="2" s="1"/>
  <c r="AH51" i="2" s="1"/>
  <c r="AI40" i="2"/>
  <c r="AI49" i="2"/>
  <c r="AI50" i="2" s="1"/>
  <c r="AH24" i="2"/>
  <c r="G21" i="4" s="1"/>
  <c r="AH46" i="2"/>
  <c r="AH47" i="2" s="1"/>
  <c r="AI24" i="2"/>
  <c r="AI46" i="2"/>
  <c r="AI47" i="2" s="1"/>
  <c r="P35" i="2"/>
  <c r="Z42" i="2"/>
  <c r="Z44" i="2" s="1"/>
  <c r="Q45" i="2"/>
  <c r="Q47" i="2" s="1"/>
  <c r="P45" i="2"/>
  <c r="Y42" i="2"/>
  <c r="Y44" i="2" s="1"/>
  <c r="Z22" i="2"/>
  <c r="Z24" i="2" s="1"/>
  <c r="Z29" i="2" s="1"/>
  <c r="Y22" i="2"/>
  <c r="Y24" i="2" s="1"/>
  <c r="Y29" i="2" s="1"/>
  <c r="G40" i="2"/>
  <c r="H40" i="2"/>
  <c r="O18" i="1" l="1"/>
  <c r="O20" i="1" s="1"/>
  <c r="C40" i="11"/>
  <c r="D38" i="11"/>
  <c r="E33" i="11"/>
  <c r="F29" i="11"/>
  <c r="C22" i="11"/>
  <c r="C23" i="11"/>
  <c r="H25" i="5"/>
  <c r="P18" i="1"/>
  <c r="P20" i="1" s="1"/>
  <c r="H21" i="4"/>
  <c r="H22" i="4" s="1"/>
  <c r="H7" i="4" s="1"/>
  <c r="R9" i="4" s="1"/>
  <c r="G22" i="4"/>
  <c r="G4" i="4" s="1"/>
  <c r="N5" i="4"/>
  <c r="D4" i="4"/>
  <c r="M5" i="4"/>
  <c r="F4" i="4"/>
  <c r="F7" i="4"/>
  <c r="P9" i="4" s="1"/>
  <c r="E7" i="4"/>
  <c r="O9" i="4" s="1"/>
  <c r="E4" i="4"/>
  <c r="AI51" i="2"/>
  <c r="P47" i="2"/>
  <c r="E38" i="11" l="1"/>
  <c r="D40" i="11"/>
  <c r="F33" i="11"/>
  <c r="G29" i="11"/>
  <c r="D22" i="11"/>
  <c r="E22" i="11" s="1"/>
  <c r="F22" i="11" s="1"/>
  <c r="G22" i="11" s="1"/>
  <c r="H22" i="11" s="1"/>
  <c r="I22" i="11" s="1"/>
  <c r="C16" i="12"/>
  <c r="H4" i="4"/>
  <c r="R4" i="4" s="1"/>
  <c r="G7" i="4"/>
  <c r="Q9" i="4" s="1"/>
  <c r="P4" i="4"/>
  <c r="N4" i="4"/>
  <c r="O4" i="4"/>
  <c r="Q4" i="4"/>
  <c r="D55" i="4"/>
  <c r="C55" i="4"/>
  <c r="H29" i="11" l="1"/>
  <c r="G33" i="11"/>
  <c r="F38" i="11"/>
  <c r="E40" i="11"/>
  <c r="D16" i="12"/>
  <c r="C19" i="12"/>
  <c r="C26" i="5"/>
  <c r="F26" i="5"/>
  <c r="E26" i="5"/>
  <c r="D26" i="5"/>
  <c r="G26" i="5"/>
  <c r="G38" i="11" l="1"/>
  <c r="F40" i="11"/>
  <c r="I29" i="11"/>
  <c r="I33" i="11" s="1"/>
  <c r="H33" i="11"/>
  <c r="I26" i="5"/>
  <c r="D19" i="12"/>
  <c r="E16" i="12"/>
  <c r="AD38" i="2"/>
  <c r="C11" i="10" l="1"/>
  <c r="K15" i="1"/>
  <c r="L15" i="1"/>
  <c r="H38" i="11"/>
  <c r="G40" i="11"/>
  <c r="F16" i="12"/>
  <c r="E19" i="12"/>
  <c r="AD49" i="2"/>
  <c r="C19" i="10"/>
  <c r="C5" i="10" s="1"/>
  <c r="AD32" i="2"/>
  <c r="U27" i="2"/>
  <c r="U22" i="2"/>
  <c r="U11" i="2"/>
  <c r="L13" i="1" s="1"/>
  <c r="L14" i="1" s="1"/>
  <c r="M45" i="2"/>
  <c r="H40" i="11" l="1"/>
  <c r="I38" i="11"/>
  <c r="I40" i="11" s="1"/>
  <c r="AD48" i="2"/>
  <c r="AD50" i="2" s="1"/>
  <c r="AE51" i="2" s="1"/>
  <c r="C12" i="10"/>
  <c r="C13" i="10" s="1"/>
  <c r="C4" i="10" s="1"/>
  <c r="L18" i="1"/>
  <c r="L20" i="1" s="1"/>
  <c r="E25" i="5"/>
  <c r="I25" i="5" s="1"/>
  <c r="G16" i="12"/>
  <c r="F19" i="12"/>
  <c r="AD24" i="2"/>
  <c r="C21" i="4" s="1"/>
  <c r="AD40" i="2"/>
  <c r="M47" i="2"/>
  <c r="U44" i="2"/>
  <c r="U24" i="2"/>
  <c r="U29" i="2" s="1"/>
  <c r="H16" i="12" l="1"/>
  <c r="H19" i="12" s="1"/>
  <c r="C23" i="12" s="1"/>
  <c r="G19" i="12"/>
  <c r="AD47" i="2"/>
  <c r="C56" i="4"/>
  <c r="C8" i="4" s="1"/>
  <c r="M10" i="4" s="1"/>
  <c r="M14" i="2"/>
  <c r="L14" i="2"/>
  <c r="D56" i="4" l="1"/>
  <c r="D8" i="4" s="1"/>
  <c r="N10" i="4" s="1"/>
  <c r="M20" i="2"/>
  <c r="L20" i="2"/>
  <c r="M11" i="2"/>
  <c r="D7" i="4" l="1"/>
  <c r="N9" i="4" s="1"/>
  <c r="L22" i="2"/>
  <c r="M22" i="2"/>
  <c r="C22" i="4" l="1"/>
  <c r="C4" i="4" l="1"/>
  <c r="C7" i="4"/>
  <c r="M9" i="4" s="1"/>
  <c r="M4" i="4" l="1"/>
  <c r="L47" i="2" l="1"/>
  <c r="C22" i="12" l="1"/>
  <c r="C24" i="12" s="1"/>
  <c r="C26" i="12" s="1"/>
  <c r="C28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Jørgen Ueland</author>
  </authors>
  <commentList>
    <comment ref="B72" authorId="0" shapeId="0" xr:uid="{3581FAB8-FBD4-E64C-9188-933D600EDD12}">
      <text>
        <r>
          <rPr>
            <sz val="10"/>
            <color rgb="FF000000"/>
            <rFont val="Tahoma"/>
            <family val="2"/>
          </rPr>
          <t>https://www.statista.com/statistics/885813/average-risk-free-rate-spain/</t>
        </r>
      </text>
    </comment>
    <comment ref="B73" authorId="0" shapeId="0" xr:uid="{8198B7CC-E2C2-E24F-ABA2-D45449F1C864}">
      <text>
        <r>
          <rPr>
            <sz val="10"/>
            <color rgb="FF000000"/>
            <rFont val="Tahoma"/>
            <family val="2"/>
          </rPr>
          <t xml:space="preserve">Used average rate of return for apparel industry from the textbook
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Jørgen Ueland</author>
  </authors>
  <commentList>
    <comment ref="C2" authorId="0" shapeId="0" xr:uid="{A27C36C8-39FE-3D41-9837-11F51C495410}">
      <text>
        <r>
          <rPr>
            <b/>
            <sz val="10"/>
            <color rgb="FF000000"/>
            <rFont val="Tahoma"/>
            <family val="2"/>
          </rPr>
          <t>Jørgen Ueland: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<sst xmlns="http://schemas.openxmlformats.org/spreadsheetml/2006/main" count="443" uniqueCount="272">
  <si>
    <t>Operating revenue</t>
  </si>
  <si>
    <t>EBIT</t>
  </si>
  <si>
    <t>Other gains and losses</t>
  </si>
  <si>
    <t>Taxation</t>
  </si>
  <si>
    <t>Cost of materials</t>
  </si>
  <si>
    <t>NOPAT</t>
  </si>
  <si>
    <t>Change in inventories</t>
  </si>
  <si>
    <t>Salaries and other personell costs</t>
  </si>
  <si>
    <t>Other operating expenses</t>
  </si>
  <si>
    <t>EBITDA before fair value adjustments related to biological assets</t>
  </si>
  <si>
    <t xml:space="preserve">Amortisation and depreciation </t>
  </si>
  <si>
    <t>Operating profit before fair value adjustments related to biological assets</t>
  </si>
  <si>
    <t>+</t>
  </si>
  <si>
    <t>Depriciation</t>
  </si>
  <si>
    <t>-</t>
  </si>
  <si>
    <t>delta NOWC</t>
  </si>
  <si>
    <t>N/A</t>
  </si>
  <si>
    <t>Fair value adjustments related to biological assets</t>
  </si>
  <si>
    <t>delta NONCA</t>
  </si>
  <si>
    <t>Net operating profit (EBIT)</t>
  </si>
  <si>
    <t>=</t>
  </si>
  <si>
    <t>FCFF</t>
  </si>
  <si>
    <t>delta NIBD without cash</t>
  </si>
  <si>
    <t>Income from associates</t>
  </si>
  <si>
    <t>financial income</t>
  </si>
  <si>
    <t>Net financial items</t>
  </si>
  <si>
    <t>financial cost</t>
  </si>
  <si>
    <t>Profit before tax</t>
  </si>
  <si>
    <t>FCFE</t>
  </si>
  <si>
    <t>Total dividends</t>
  </si>
  <si>
    <t>Annual profit</t>
  </si>
  <si>
    <t>cash surplus</t>
  </si>
  <si>
    <t>Of which controlling assets</t>
  </si>
  <si>
    <t>Of which non-controlling assets</t>
  </si>
  <si>
    <t>Earnings per share</t>
  </si>
  <si>
    <t>Tax</t>
  </si>
  <si>
    <t xml:space="preserve"> </t>
  </si>
  <si>
    <t>TA-format</t>
  </si>
  <si>
    <t>CE-format</t>
  </si>
  <si>
    <t>NOA</t>
  </si>
  <si>
    <t>NOA last three years compressed</t>
  </si>
  <si>
    <t>ASSETS</t>
  </si>
  <si>
    <t>Non-current assets</t>
  </si>
  <si>
    <t>Deferred tax assets</t>
  </si>
  <si>
    <t>O</t>
  </si>
  <si>
    <t>NONCA</t>
  </si>
  <si>
    <t>Intangibles</t>
  </si>
  <si>
    <t>NOWC</t>
  </si>
  <si>
    <t>Right-of-use assets</t>
  </si>
  <si>
    <t>NOA (NONCA+NOWC)</t>
  </si>
  <si>
    <t>Fixed assets</t>
  </si>
  <si>
    <t>Shares in associates</t>
  </si>
  <si>
    <t>EQUITY AND LIABILITIES</t>
  </si>
  <si>
    <t>Other investments</t>
  </si>
  <si>
    <t>Equity</t>
  </si>
  <si>
    <t>Long term receivables</t>
  </si>
  <si>
    <t>NIBD</t>
  </si>
  <si>
    <t>ONCA</t>
  </si>
  <si>
    <t>TOTAL E + NIBD</t>
  </si>
  <si>
    <t>Current assets</t>
  </si>
  <si>
    <t>Biological assets</t>
  </si>
  <si>
    <t>Other inventories</t>
  </si>
  <si>
    <t>FA</t>
  </si>
  <si>
    <t>Trade receivables</t>
  </si>
  <si>
    <t>Other receivables</t>
  </si>
  <si>
    <t>Cash and cash equivalents</t>
  </si>
  <si>
    <t>F</t>
  </si>
  <si>
    <t>Total assets</t>
  </si>
  <si>
    <t>OCA</t>
  </si>
  <si>
    <t>Share capital</t>
  </si>
  <si>
    <t>TOTAL ASSETS (ONCA+FA+OCA)</t>
  </si>
  <si>
    <t>Treasury shares</t>
  </si>
  <si>
    <t>Share premium reserve</t>
  </si>
  <si>
    <t>Retained earnings</t>
  </si>
  <si>
    <t>Non-controlling interests</t>
  </si>
  <si>
    <t>Long-term liabilities</t>
  </si>
  <si>
    <t>Long-term interest-bearing debt</t>
  </si>
  <si>
    <t>TOTAL CE (NOA+FA)</t>
  </si>
  <si>
    <t>Deferred tax</t>
  </si>
  <si>
    <t>Pension liabilities</t>
  </si>
  <si>
    <t>Other long term liabilities</t>
  </si>
  <si>
    <t xml:space="preserve">Provisions </t>
  </si>
  <si>
    <t>Short-term liabilities</t>
  </si>
  <si>
    <t>Trade payables</t>
  </si>
  <si>
    <t>Short-term loans</t>
  </si>
  <si>
    <t>Public duties payable</t>
  </si>
  <si>
    <t>Tax payable</t>
  </si>
  <si>
    <t>Interest-bearing debt</t>
  </si>
  <si>
    <t>Other short-term liabilities</t>
  </si>
  <si>
    <t>Total equity and liabilities</t>
  </si>
  <si>
    <t>IBD</t>
  </si>
  <si>
    <t>TOTAL E + IBD</t>
  </si>
  <si>
    <t>Operating liabilities</t>
  </si>
  <si>
    <t>TOTAL</t>
  </si>
  <si>
    <t>Total NOA</t>
  </si>
  <si>
    <t>Total Equity + NIBD</t>
  </si>
  <si>
    <t>Total Equity + NIBD Growth</t>
  </si>
  <si>
    <t>Statement of cash flows</t>
  </si>
  <si>
    <t>Cashflows from operating activitiues</t>
  </si>
  <si>
    <t>Taxes paid during the period</t>
  </si>
  <si>
    <t>Depreciation</t>
  </si>
  <si>
    <t>Profit impact associates</t>
  </si>
  <si>
    <t>Change in fair value adjustments related to biological assets</t>
  </si>
  <si>
    <t>Change in inventories/biological assets</t>
  </si>
  <si>
    <t>Change in trade receivables</t>
  </si>
  <si>
    <t>Change in trade payables</t>
  </si>
  <si>
    <t>Change in net pension liabilities</t>
  </si>
  <si>
    <t>Net financial items classified as financing activities</t>
  </si>
  <si>
    <t>Change in other accruals</t>
  </si>
  <si>
    <t>Net cashflow from operating activities</t>
  </si>
  <si>
    <t>Cash flows from investing activities</t>
  </si>
  <si>
    <t>Proceeds from sale of fixed assets</t>
  </si>
  <si>
    <t>Payments for aquisitions of fixed assets</t>
  </si>
  <si>
    <t>Proceeds from sale of intangible assets</t>
  </si>
  <si>
    <t>Payments for aquisitions of intangible assets</t>
  </si>
  <si>
    <t>Proceeds from sale of shares in associates and other businesses</t>
  </si>
  <si>
    <t>Payments for aquisitions of shares in associates and other businesses</t>
  </si>
  <si>
    <t>Dividend payments received from associates</t>
  </si>
  <si>
    <t>Proceeds from sale of subsidaries</t>
  </si>
  <si>
    <t>Payments for aquisitions of Group companies and redemption of minorities</t>
  </si>
  <si>
    <t>Cash and cash equivilants from business combinations</t>
  </si>
  <si>
    <t>Interest payments received</t>
  </si>
  <si>
    <t>Proceeds/payments on other loans(short- and long-term)</t>
  </si>
  <si>
    <t>Net cash flows from investing activities</t>
  </si>
  <si>
    <t>Cash flows from financing activities</t>
  </si>
  <si>
    <t>Movements in short-term interestbearing debt</t>
  </si>
  <si>
    <t>Proceeds from establishing new long-term debt</t>
  </si>
  <si>
    <t>Downpayments of long-term debt</t>
  </si>
  <si>
    <t>Interest paid and other financial expenses</t>
  </si>
  <si>
    <t>Equity contributions</t>
  </si>
  <si>
    <t>Dividends paid</t>
  </si>
  <si>
    <t>Net cash flows from financing activities</t>
  </si>
  <si>
    <t>Net cash flows in the accounting period</t>
  </si>
  <si>
    <t>Cash and cash equivilants at start of period</t>
  </si>
  <si>
    <t>Cash and cash equivilants at end of period</t>
  </si>
  <si>
    <t>Financial key figures</t>
  </si>
  <si>
    <t>Selected numbers graph</t>
  </si>
  <si>
    <t>ROIC</t>
  </si>
  <si>
    <t>ROE</t>
  </si>
  <si>
    <t>WACC</t>
  </si>
  <si>
    <t>EVA</t>
  </si>
  <si>
    <t>RI</t>
  </si>
  <si>
    <t>ROIC - Return on invested capital</t>
  </si>
  <si>
    <t>ROIC after tax</t>
  </si>
  <si>
    <t>ROE - Return on equity</t>
  </si>
  <si>
    <t>Net income</t>
  </si>
  <si>
    <r>
      <t>BVE</t>
    </r>
    <r>
      <rPr>
        <vertAlign val="subscript"/>
        <sz val="12"/>
        <color theme="1"/>
        <rFont val="Calibri (Body)"/>
      </rPr>
      <t>t</t>
    </r>
  </si>
  <si>
    <r>
      <t>BVE</t>
    </r>
    <r>
      <rPr>
        <vertAlign val="subscript"/>
        <sz val="12"/>
        <color theme="1"/>
        <rFont val="Calibri (Body)"/>
      </rPr>
      <t>t-1</t>
    </r>
  </si>
  <si>
    <t>ROE after tax</t>
  </si>
  <si>
    <t>Weighted average cost of capital</t>
  </si>
  <si>
    <t>Average</t>
  </si>
  <si>
    <t>WACC after tax</t>
  </si>
  <si>
    <t>EVA - Economic value added</t>
  </si>
  <si>
    <t>Invested capital</t>
  </si>
  <si>
    <t>RI - Residual income</t>
  </si>
  <si>
    <r>
      <t>r</t>
    </r>
    <r>
      <rPr>
        <vertAlign val="subscript"/>
        <sz val="12"/>
        <color theme="1"/>
        <rFont val="Calibri (Body)"/>
      </rPr>
      <t>e</t>
    </r>
  </si>
  <si>
    <t>BVE</t>
  </si>
  <si>
    <t>Cost of equity</t>
  </si>
  <si>
    <t>Dividends</t>
  </si>
  <si>
    <t>Outstanding shares</t>
  </si>
  <si>
    <t>Market value of stock at last trading day</t>
  </si>
  <si>
    <t>Growth rate div.</t>
  </si>
  <si>
    <t>COE</t>
  </si>
  <si>
    <t xml:space="preserve">Required rate of return - CAPM </t>
  </si>
  <si>
    <t>Kjell jørgensen</t>
  </si>
  <si>
    <r>
      <t>r</t>
    </r>
    <r>
      <rPr>
        <vertAlign val="subscript"/>
        <sz val="12"/>
        <color theme="1"/>
        <rFont val="Calibri (Body)"/>
      </rPr>
      <t>f</t>
    </r>
  </si>
  <si>
    <r>
      <t>r</t>
    </r>
    <r>
      <rPr>
        <vertAlign val="subscript"/>
        <sz val="12"/>
        <color theme="1"/>
        <rFont val="Calibri (Body)"/>
      </rPr>
      <t>m</t>
    </r>
  </si>
  <si>
    <t>β</t>
  </si>
  <si>
    <t>Oppgir wacc i årsrapport</t>
  </si>
  <si>
    <t>Compressed income statement forecast</t>
  </si>
  <si>
    <t>Historical</t>
  </si>
  <si>
    <t>Forecast</t>
  </si>
  <si>
    <t>EBITDA</t>
  </si>
  <si>
    <t>EBITDA profit growth</t>
  </si>
  <si>
    <t>EBIT growth</t>
  </si>
  <si>
    <t>Profit before taxes</t>
  </si>
  <si>
    <t>Vekst assets</t>
  </si>
  <si>
    <t>Profit before taxes growth</t>
  </si>
  <si>
    <t>vekst eq</t>
  </si>
  <si>
    <t>Annual Profit</t>
  </si>
  <si>
    <t>vekst nibd</t>
  </si>
  <si>
    <t>Annual profit growth</t>
  </si>
  <si>
    <t>Compressed Net profit and NOPAT forecast</t>
  </si>
  <si>
    <t xml:space="preserve">Net Profit </t>
  </si>
  <si>
    <t>Net Profit Growth</t>
  </si>
  <si>
    <t>NOPAT Growth</t>
  </si>
  <si>
    <t xml:space="preserve"> Compressed NOA-format balance sheet</t>
  </si>
  <si>
    <t>NONCA growth</t>
  </si>
  <si>
    <t>NOWC growth</t>
  </si>
  <si>
    <t>Equity growth</t>
  </si>
  <si>
    <t>E+NIBD growth</t>
  </si>
  <si>
    <t>Variables Monte Carlo</t>
  </si>
  <si>
    <t>Variable</t>
  </si>
  <si>
    <t>Set value</t>
  </si>
  <si>
    <t>Range(+/-)</t>
  </si>
  <si>
    <t>Forecast growth</t>
  </si>
  <si>
    <t>Future growth</t>
  </si>
  <si>
    <t>Market value by DCF-model</t>
  </si>
  <si>
    <t>Discount-factor</t>
  </si>
  <si>
    <t>Present value of FCFF</t>
  </si>
  <si>
    <t>Present value of FCFF in forecast period</t>
  </si>
  <si>
    <t>Present value of FCFF in continuing period</t>
  </si>
  <si>
    <t>estimated enterprise value 01/01/2021</t>
  </si>
  <si>
    <t>NIBD 01/01/2021</t>
  </si>
  <si>
    <t>MV (equity) per 01/01/2021</t>
  </si>
  <si>
    <t>Stock value per 01/01/2021</t>
  </si>
  <si>
    <t>Percentile</t>
  </si>
  <si>
    <t>Stock value(X)</t>
  </si>
  <si>
    <t>Frequency(Y)</t>
  </si>
  <si>
    <t>Median</t>
  </si>
  <si>
    <t>min</t>
  </si>
  <si>
    <t>Stock value</t>
  </si>
  <si>
    <t>max</t>
  </si>
  <si>
    <t>Return</t>
  </si>
  <si>
    <t>Probability</t>
  </si>
  <si>
    <t>X</t>
  </si>
  <si>
    <t>NPV stock</t>
  </si>
  <si>
    <t>Pr(x)</t>
  </si>
  <si>
    <t>Calculated</t>
  </si>
  <si>
    <t>Up 7,5%</t>
  </si>
  <si>
    <t>Down 7,5%</t>
  </si>
  <si>
    <t>Return 5th percentile</t>
  </si>
  <si>
    <t>Return 95th percentile</t>
  </si>
  <si>
    <t xml:space="preserve">Weightet Mean </t>
  </si>
  <si>
    <t>Pr(&gt;7,5%)</t>
  </si>
  <si>
    <t>Pr(&lt;7,5%)</t>
  </si>
  <si>
    <t>From new to former format o help with comparability</t>
  </si>
  <si>
    <t>Long-term liabilites</t>
  </si>
  <si>
    <t>pension liabilities</t>
  </si>
  <si>
    <t>Lease liabilities to credit institutions</t>
  </si>
  <si>
    <t>lease liabilities to others</t>
  </si>
  <si>
    <t>Loans from credit insitutions</t>
  </si>
  <si>
    <t>other long-term loans</t>
  </si>
  <si>
    <t>other long-term liabilities</t>
  </si>
  <si>
    <t>Total long term liabilities</t>
  </si>
  <si>
    <t>Short term liabilities</t>
  </si>
  <si>
    <t>Short term part of loans from credit institutions</t>
  </si>
  <si>
    <t>Overdrafts and other short term loans</t>
  </si>
  <si>
    <t>trade payables</t>
  </si>
  <si>
    <t>public duties payable</t>
  </si>
  <si>
    <t>tax payable</t>
  </si>
  <si>
    <t>total short-term liabilities</t>
  </si>
  <si>
    <t>long-term interst bearing debt</t>
  </si>
  <si>
    <t>Other long-term liabilities</t>
  </si>
  <si>
    <t>Total long-term liabilities</t>
  </si>
  <si>
    <t>short-term loans</t>
  </si>
  <si>
    <t>other short-term liabilities</t>
  </si>
  <si>
    <t>Total short-term liabilities</t>
  </si>
  <si>
    <t>From IFRS16 to IAS17 to help with comparability</t>
  </si>
  <si>
    <t>Risk free rate</t>
  </si>
  <si>
    <t>Market rate</t>
  </si>
  <si>
    <t>^OSEBX</t>
  </si>
  <si>
    <t>OSEBX</t>
  </si>
  <si>
    <t>Date</t>
  </si>
  <si>
    <t>Price</t>
  </si>
  <si>
    <t>LSG</t>
  </si>
  <si>
    <t>OBSFX</t>
  </si>
  <si>
    <t>COV</t>
  </si>
  <si>
    <t>VAR</t>
  </si>
  <si>
    <t>BETA</t>
  </si>
  <si>
    <t>Calculating sustainable growth</t>
  </si>
  <si>
    <t>Payout Ratio</t>
  </si>
  <si>
    <t>g%</t>
  </si>
  <si>
    <t xml:space="preserve">Growth </t>
  </si>
  <si>
    <t>Net sales growth</t>
  </si>
  <si>
    <t>FCFF growth</t>
  </si>
  <si>
    <t>g</t>
  </si>
  <si>
    <t>Current Ratio</t>
  </si>
  <si>
    <t>Financial leverage</t>
  </si>
  <si>
    <t>Net interest bearing debt</t>
  </si>
  <si>
    <t>Book value of Equity</t>
  </si>
  <si>
    <t>Current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</si>
</sst>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&quot;NOK&quot;\ #,##0;[Red]\-&quot;NOK&quot;\ #,##0"/>
    <numFmt numFmtId="165" formatCode="&quot;NOK&quot;\ #,##0.00;[Red]\-&quot;NOK&quot;\ #,##0.00"/>
    <numFmt numFmtId="166" formatCode="_-* #,##0.00_-;\-* #,##0.00_-;_-* &quot;-&quot;??_-;_-@_-"/>
    <numFmt numFmtId="167" formatCode="0.0"/>
    <numFmt numFmtId="168" formatCode="0.0\ %"/>
    <numFmt numFmtId="169" formatCode="#,##0.000"/>
    <numFmt numFmtId="170" formatCode="0.000"/>
    <numFmt numFmtId="171" formatCode="0.0000"/>
    <numFmt numFmtId="172" formatCode="0.00000"/>
    <numFmt numFmtId="173" formatCode="0.0000\ %"/>
    <numFmt numFmtId="174" formatCode="#,##0.00000"/>
    <numFmt numFmtId="175" formatCode="_-* #,##0_-;\-* #,##0_-;_-* &quot;-&quot;??_-;_-@_-"/>
    <numFmt numFmtId="176" formatCode="0.000%"/>
    <numFmt numFmtId="177" formatCode="0.00\ %"/>
    <numFmt numFmtId="178" formatCode="_-* #,##0.0000_-;\-* #,##0.0000_-;_-* &quot;-&quot;??_-;_-@_-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vertAlign val="subscript"/>
      <sz val="12"/>
      <color theme="1"/>
      <name val="Calibri (Body)"/>
    </font>
    <font>
      <sz val="10"/>
      <color rgb="FF000000"/>
      <name val="Tahoma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0"/>
      <color rgb="FF000000"/>
      <name val="Tahoma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/>
    <xf numFmtId="3" fontId="0" fillId="0" borderId="0" xfId="0" applyNumberFormat="1"/>
    <xf numFmtId="1" fontId="0" fillId="0" borderId="0" xfId="0" applyNumberFormat="1"/>
    <xf numFmtId="3" fontId="0" fillId="0" borderId="0" xfId="0" applyNumberFormat="1" applyBorder="1"/>
    <xf numFmtId="0" fontId="0" fillId="0" borderId="0" xfId="0" applyBorder="1"/>
    <xf numFmtId="0" fontId="3" fillId="0" borderId="0" xfId="0" applyFont="1" applyBorder="1"/>
    <xf numFmtId="0" fontId="0" fillId="0" borderId="0" xfId="0" applyFill="1" applyBorder="1"/>
    <xf numFmtId="3" fontId="0" fillId="0" borderId="0" xfId="0" applyNumberFormat="1" applyFont="1" applyBorder="1"/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ill="1" applyBorder="1"/>
    <xf numFmtId="3" fontId="0" fillId="3" borderId="2" xfId="0" applyNumberFormat="1" applyFont="1" applyFill="1" applyBorder="1"/>
    <xf numFmtId="1" fontId="2" fillId="0" borderId="3" xfId="0" applyNumberFormat="1" applyFont="1" applyBorder="1" applyAlignment="1">
      <alignment horizontal="center"/>
    </xf>
    <xf numFmtId="1" fontId="0" fillId="0" borderId="0" xfId="0" applyNumberFormat="1" applyFill="1" applyBorder="1"/>
    <xf numFmtId="1" fontId="0" fillId="0" borderId="0" xfId="0" applyNumberFormat="1" applyFont="1" applyFill="1" applyBorder="1"/>
    <xf numFmtId="10" fontId="0" fillId="0" borderId="0" xfId="2" applyNumberFormat="1" applyFont="1"/>
    <xf numFmtId="10" fontId="0" fillId="0" borderId="0" xfId="2" applyNumberFormat="1" applyFont="1" applyBorder="1"/>
    <xf numFmtId="3" fontId="0" fillId="0" borderId="0" xfId="0" applyNumberFormat="1" applyFont="1"/>
    <xf numFmtId="10" fontId="0" fillId="0" borderId="0" xfId="0" applyNumberFormat="1"/>
    <xf numFmtId="168" fontId="0" fillId="0" borderId="0" xfId="2" applyNumberFormat="1" applyFont="1"/>
    <xf numFmtId="9" fontId="0" fillId="0" borderId="0" xfId="0" applyNumberFormat="1"/>
    <xf numFmtId="0" fontId="2" fillId="0" borderId="0" xfId="0" applyFont="1" applyBorder="1" applyAlignment="1"/>
    <xf numFmtId="0" fontId="0" fillId="0" borderId="5" xfId="0" applyBorder="1"/>
    <xf numFmtId="1" fontId="0" fillId="0" borderId="0" xfId="0" applyNumberFormat="1" applyBorder="1"/>
    <xf numFmtId="10" fontId="0" fillId="0" borderId="0" xfId="0" applyNumberFormat="1" applyBorder="1"/>
    <xf numFmtId="170" fontId="0" fillId="0" borderId="0" xfId="0" applyNumberFormat="1" applyBorder="1"/>
    <xf numFmtId="2" fontId="0" fillId="0" borderId="0" xfId="0" applyNumberFormat="1" applyBorder="1"/>
    <xf numFmtId="171" fontId="0" fillId="0" borderId="0" xfId="0" applyNumberFormat="1" applyBorder="1"/>
    <xf numFmtId="173" fontId="0" fillId="0" borderId="0" xfId="0" applyNumberFormat="1"/>
    <xf numFmtId="0" fontId="0" fillId="0" borderId="0" xfId="0" applyFill="1"/>
    <xf numFmtId="3" fontId="0" fillId="3" borderId="0" xfId="0" applyNumberFormat="1" applyFont="1" applyFill="1" applyBorder="1"/>
    <xf numFmtId="3" fontId="2" fillId="0" borderId="0" xfId="0" applyNumberFormat="1" applyFont="1" applyBorder="1"/>
    <xf numFmtId="1" fontId="0" fillId="0" borderId="0" xfId="0" applyNumberFormat="1" applyFont="1" applyBorder="1"/>
    <xf numFmtId="3" fontId="0" fillId="0" borderId="0" xfId="0" applyNumberFormat="1" applyFont="1" applyFill="1" applyBorder="1"/>
    <xf numFmtId="3" fontId="0" fillId="0" borderId="3" xfId="0" applyNumberFormat="1" applyBorder="1"/>
    <xf numFmtId="1" fontId="0" fillId="0" borderId="3" xfId="0" applyNumberFormat="1" applyFont="1" applyBorder="1"/>
    <xf numFmtId="3" fontId="2" fillId="0" borderId="0" xfId="0" applyNumberFormat="1" applyFont="1"/>
    <xf numFmtId="3" fontId="2" fillId="3" borderId="2" xfId="0" applyNumberFormat="1" applyFont="1" applyFill="1" applyBorder="1"/>
    <xf numFmtId="3" fontId="0" fillId="0" borderId="0" xfId="1" applyNumberFormat="1" applyFont="1"/>
    <xf numFmtId="3" fontId="2" fillId="0" borderId="0" xfId="0" applyNumberFormat="1" applyFont="1" applyFill="1" applyBorder="1"/>
    <xf numFmtId="3" fontId="0" fillId="2" borderId="2" xfId="0" applyNumberFormat="1" applyFont="1" applyFill="1" applyBorder="1"/>
    <xf numFmtId="3" fontId="2" fillId="3" borderId="0" xfId="0" applyNumberFormat="1" applyFont="1" applyFill="1" applyBorder="1"/>
    <xf numFmtId="2" fontId="0" fillId="0" borderId="0" xfId="2" applyNumberFormat="1" applyFont="1" applyBorder="1"/>
    <xf numFmtId="3" fontId="0" fillId="0" borderId="0" xfId="1" applyNumberFormat="1" applyFont="1" applyFill="1" applyBorder="1"/>
    <xf numFmtId="3" fontId="0" fillId="0" borderId="0" xfId="1" applyNumberFormat="1" applyFont="1" applyFill="1" applyBorder="1" applyAlignment="1"/>
    <xf numFmtId="173" fontId="0" fillId="0" borderId="0" xfId="2" applyNumberFormat="1" applyFont="1" applyBorder="1"/>
    <xf numFmtId="10" fontId="0" fillId="3" borderId="0" xfId="2" applyNumberFormat="1" applyFont="1" applyFill="1" applyBorder="1"/>
    <xf numFmtId="0" fontId="0" fillId="3" borderId="0" xfId="0" applyFill="1" applyBorder="1"/>
    <xf numFmtId="0" fontId="0" fillId="0" borderId="0" xfId="0" applyFont="1"/>
    <xf numFmtId="0" fontId="0" fillId="3" borderId="0" xfId="0" applyFont="1" applyFill="1"/>
    <xf numFmtId="0" fontId="0" fillId="0" borderId="0" xfId="0" applyFont="1" applyAlignment="1"/>
    <xf numFmtId="172" fontId="0" fillId="0" borderId="0" xfId="0" applyNumberFormat="1" applyBorder="1"/>
    <xf numFmtId="171" fontId="0" fillId="0" borderId="0" xfId="2" applyNumberFormat="1" applyFont="1" applyBorder="1"/>
    <xf numFmtId="3" fontId="0" fillId="0" borderId="0" xfId="0" applyNumberFormat="1" applyFont="1" applyFill="1"/>
    <xf numFmtId="3" fontId="0" fillId="0" borderId="0" xfId="1" applyNumberFormat="1" applyFont="1" applyFill="1"/>
    <xf numFmtId="3" fontId="0" fillId="0" borderId="0" xfId="1" applyNumberFormat="1" applyFont="1" applyFill="1" applyAlignment="1"/>
    <xf numFmtId="10" fontId="0" fillId="0" borderId="0" xfId="2" applyNumberFormat="1" applyFont="1" applyFill="1" applyBorder="1"/>
    <xf numFmtId="10" fontId="0" fillId="0" borderId="0" xfId="0" applyNumberFormat="1" applyAlignment="1">
      <alignment horizontal="center"/>
    </xf>
    <xf numFmtId="0" fontId="0" fillId="0" borderId="3" xfId="0" applyFont="1" applyBorder="1"/>
    <xf numFmtId="2" fontId="0" fillId="0" borderId="0" xfId="2" applyNumberFormat="1" applyFont="1" applyFill="1" applyBorder="1"/>
    <xf numFmtId="1" fontId="0" fillId="0" borderId="0" xfId="2" applyNumberFormat="1" applyFont="1" applyFill="1" applyBorder="1"/>
    <xf numFmtId="10" fontId="0" fillId="0" borderId="0" xfId="0" applyNumberFormat="1" applyAlignment="1">
      <alignment horizontal="right"/>
    </xf>
    <xf numFmtId="10" fontId="0" fillId="3" borderId="0" xfId="0" applyNumberFormat="1" applyFill="1" applyBorder="1"/>
    <xf numFmtId="0" fontId="2" fillId="3" borderId="1" xfId="0" applyFont="1" applyFill="1" applyBorder="1"/>
    <xf numFmtId="0" fontId="2" fillId="3" borderId="0" xfId="0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3" fontId="0" fillId="0" borderId="0" xfId="0" applyNumberFormat="1" applyFont="1" applyFill="1" applyBorder="1" applyAlignment="1">
      <alignment horizontal="right" vertical="center"/>
    </xf>
    <xf numFmtId="10" fontId="0" fillId="0" borderId="0" xfId="2" applyNumberFormat="1" applyFont="1" applyBorder="1" applyAlignment="1">
      <alignment horizontal="right" vertical="center"/>
    </xf>
    <xf numFmtId="0" fontId="0" fillId="3" borderId="0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4" fontId="0" fillId="0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/>
    <xf numFmtId="3" fontId="0" fillId="2" borderId="0" xfId="0" applyNumberFormat="1" applyFont="1" applyFill="1" applyBorder="1"/>
    <xf numFmtId="9" fontId="0" fillId="0" borderId="0" xfId="0" applyNumberFormat="1" applyFont="1"/>
    <xf numFmtId="10" fontId="0" fillId="0" borderId="0" xfId="0" applyNumberFormat="1" applyFont="1"/>
    <xf numFmtId="0" fontId="0" fillId="0" borderId="0" xfId="0" applyFont="1" applyFill="1"/>
    <xf numFmtId="3" fontId="0" fillId="0" borderId="3" xfId="0" applyNumberFormat="1" applyFont="1" applyBorder="1"/>
    <xf numFmtId="1" fontId="0" fillId="0" borderId="0" xfId="0" applyNumberFormat="1" applyFont="1"/>
    <xf numFmtId="171" fontId="0" fillId="0" borderId="0" xfId="0" applyNumberFormat="1" applyBorder="1" applyAlignment="1">
      <alignment horizontal="center"/>
    </xf>
    <xf numFmtId="169" fontId="0" fillId="0" borderId="0" xfId="0" applyNumberFormat="1" applyFont="1" applyFill="1" applyBorder="1" applyAlignment="1">
      <alignment horizontal="right" vertical="center"/>
    </xf>
    <xf numFmtId="0" fontId="2" fillId="0" borderId="0" xfId="0" applyFont="1"/>
    <xf numFmtId="0" fontId="2" fillId="0" borderId="0" xfId="0" applyFont="1" applyBorder="1"/>
    <xf numFmtId="3" fontId="0" fillId="3" borderId="0" xfId="0" applyNumberFormat="1" applyFont="1" applyFill="1"/>
    <xf numFmtId="167" fontId="0" fillId="0" borderId="0" xfId="0" applyNumberFormat="1" applyFont="1"/>
    <xf numFmtId="3" fontId="0" fillId="0" borderId="0" xfId="2" applyNumberFormat="1" applyFont="1"/>
    <xf numFmtId="0" fontId="0" fillId="0" borderId="4" xfId="0" applyFont="1" applyFill="1" applyBorder="1"/>
    <xf numFmtId="3" fontId="0" fillId="0" borderId="4" xfId="0" applyNumberFormat="1" applyFont="1" applyFill="1" applyBorder="1" applyAlignment="1">
      <alignment horizontal="right" vertical="center"/>
    </xf>
    <xf numFmtId="164" fontId="0" fillId="0" borderId="3" xfId="0" applyNumberFormat="1" applyFont="1" applyBorder="1"/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175" fontId="0" fillId="0" borderId="0" xfId="1" applyNumberFormat="1" applyFont="1" applyBorder="1"/>
    <xf numFmtId="175" fontId="0" fillId="0" borderId="0" xfId="1" applyNumberFormat="1" applyFont="1"/>
    <xf numFmtId="175" fontId="0" fillId="0" borderId="0" xfId="1" applyNumberFormat="1" applyFont="1" applyBorder="1" applyAlignment="1">
      <alignment horizontal="center"/>
    </xf>
    <xf numFmtId="175" fontId="2" fillId="0" borderId="0" xfId="1" applyNumberFormat="1" applyFont="1" applyBorder="1"/>
    <xf numFmtId="0" fontId="0" fillId="0" borderId="4" xfId="0" applyFont="1" applyBorder="1" applyAlignment="1">
      <alignment horizontal="left"/>
    </xf>
    <xf numFmtId="175" fontId="0" fillId="0" borderId="4" xfId="1" applyNumberFormat="1" applyFont="1" applyBorder="1" applyAlignment="1"/>
    <xf numFmtId="3" fontId="0" fillId="0" borderId="0" xfId="0" applyNumberFormat="1" applyFont="1" applyAlignment="1">
      <alignment horizontal="left" indent="1"/>
    </xf>
    <xf numFmtId="167" fontId="0" fillId="0" borderId="0" xfId="0" applyNumberFormat="1"/>
    <xf numFmtId="3" fontId="0" fillId="0" borderId="5" xfId="0" applyNumberFormat="1" applyBorder="1"/>
    <xf numFmtId="0" fontId="0" fillId="0" borderId="3" xfId="0" applyBorder="1"/>
    <xf numFmtId="175" fontId="0" fillId="0" borderId="5" xfId="1" applyNumberFormat="1" applyFont="1" applyBorder="1"/>
    <xf numFmtId="175" fontId="0" fillId="0" borderId="3" xfId="1" applyNumberFormat="1" applyFont="1" applyBorder="1"/>
    <xf numFmtId="3" fontId="0" fillId="4" borderId="0" xfId="0" applyNumberFormat="1" applyFill="1"/>
    <xf numFmtId="175" fontId="0" fillId="4" borderId="0" xfId="1" applyNumberFormat="1" applyFont="1" applyFill="1"/>
    <xf numFmtId="175" fontId="0" fillId="4" borderId="0" xfId="1" applyNumberFormat="1" applyFont="1" applyFill="1" applyBorder="1"/>
    <xf numFmtId="175" fontId="0" fillId="4" borderId="3" xfId="1" applyNumberFormat="1" applyFont="1" applyFill="1" applyBorder="1"/>
    <xf numFmtId="175" fontId="0" fillId="5" borderId="0" xfId="1" applyNumberFormat="1" applyFont="1" applyFill="1"/>
    <xf numFmtId="1" fontId="7" fillId="0" borderId="3" xfId="0" applyNumberFormat="1" applyFont="1" applyBorder="1"/>
    <xf numFmtId="3" fontId="2" fillId="0" borderId="0" xfId="0" applyNumberFormat="1" applyFont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3" fontId="0" fillId="3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/>
    <xf numFmtId="3" fontId="2" fillId="0" borderId="4" xfId="0" applyNumberFormat="1" applyFont="1" applyBorder="1"/>
    <xf numFmtId="1" fontId="0" fillId="0" borderId="3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3" fontId="2" fillId="2" borderId="2" xfId="0" applyNumberFormat="1" applyFont="1" applyFill="1" applyBorder="1"/>
    <xf numFmtId="3" fontId="2" fillId="0" borderId="2" xfId="0" applyNumberFormat="1" applyFont="1" applyFill="1" applyBorder="1"/>
    <xf numFmtId="3" fontId="0" fillId="0" borderId="2" xfId="0" applyNumberFormat="1" applyFont="1" applyFill="1" applyBorder="1"/>
    <xf numFmtId="3" fontId="0" fillId="0" borderId="2" xfId="0" applyNumberFormat="1" applyFont="1" applyBorder="1"/>
    <xf numFmtId="3" fontId="0" fillId="0" borderId="1" xfId="0" applyNumberFormat="1" applyFont="1" applyFill="1" applyBorder="1"/>
    <xf numFmtId="3" fontId="0" fillId="0" borderId="4" xfId="0" applyNumberFormat="1" applyFont="1" applyBorder="1"/>
    <xf numFmtId="3" fontId="0" fillId="3" borderId="0" xfId="0" applyNumberFormat="1" applyFill="1"/>
    <xf numFmtId="175" fontId="0" fillId="3" borderId="0" xfId="1" applyNumberFormat="1" applyFont="1" applyFill="1"/>
    <xf numFmtId="10" fontId="6" fillId="0" borderId="0" xfId="2" applyNumberFormat="1" applyFont="1"/>
    <xf numFmtId="176" fontId="0" fillId="0" borderId="0" xfId="2" applyNumberFormat="1" applyFont="1"/>
    <xf numFmtId="17" fontId="0" fillId="0" borderId="0" xfId="0" applyNumberFormat="1"/>
    <xf numFmtId="2" fontId="9" fillId="0" borderId="0" xfId="0" applyNumberFormat="1" applyFont="1"/>
    <xf numFmtId="10" fontId="10" fillId="0" borderId="0" xfId="1" applyNumberFormat="1" applyFont="1"/>
    <xf numFmtId="1" fontId="0" fillId="3" borderId="0" xfId="2" applyNumberFormat="1" applyFont="1" applyFill="1" applyBorder="1"/>
    <xf numFmtId="3" fontId="2" fillId="6" borderId="1" xfId="0" applyNumberFormat="1" applyFont="1" applyFill="1" applyBorder="1"/>
    <xf numFmtId="3" fontId="2" fillId="2" borderId="0" xfId="0" applyNumberFormat="1" applyFont="1" applyFill="1"/>
    <xf numFmtId="3" fontId="8" fillId="0" borderId="0" xfId="0" applyNumberFormat="1" applyFont="1" applyFill="1" applyBorder="1"/>
    <xf numFmtId="1" fontId="2" fillId="0" borderId="0" xfId="0" applyNumberFormat="1" applyFont="1" applyFill="1" applyBorder="1"/>
    <xf numFmtId="3" fontId="0" fillId="6" borderId="1" xfId="0" applyNumberFormat="1" applyFont="1" applyFill="1" applyBorder="1"/>
    <xf numFmtId="174" fontId="0" fillId="0" borderId="0" xfId="0" applyNumberFormat="1" applyFont="1" applyFill="1" applyBorder="1"/>
    <xf numFmtId="3" fontId="0" fillId="0" borderId="0" xfId="0" applyNumberFormat="1" applyFont="1" applyAlignment="1">
      <alignment horizontal="left" indent="2"/>
    </xf>
    <xf numFmtId="0" fontId="0" fillId="3" borderId="0" xfId="0" applyFill="1"/>
    <xf numFmtId="0" fontId="0" fillId="0" borderId="0" xfId="0" applyFont="1" applyAlignment="1">
      <alignment horizontal="center"/>
    </xf>
    <xf numFmtId="175" fontId="0" fillId="0" borderId="0" xfId="1" applyNumberFormat="1" applyFont="1" applyBorder="1" applyAlignment="1"/>
    <xf numFmtId="3" fontId="0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168" fontId="0" fillId="0" borderId="0" xfId="2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3" fontId="0" fillId="0" borderId="0" xfId="2" applyNumberFormat="1" applyFont="1" applyAlignment="1">
      <alignment horizontal="center"/>
    </xf>
    <xf numFmtId="175" fontId="0" fillId="3" borderId="0" xfId="1" applyNumberFormat="1" applyFont="1" applyFill="1" applyBorder="1"/>
    <xf numFmtId="3" fontId="0" fillId="3" borderId="0" xfId="0" applyNumberFormat="1" applyFont="1" applyFill="1" applyAlignment="1">
      <alignment horizontal="center"/>
    </xf>
    <xf numFmtId="10" fontId="0" fillId="3" borderId="0" xfId="2" applyNumberFormat="1" applyFont="1" applyFill="1"/>
    <xf numFmtId="0" fontId="6" fillId="0" borderId="0" xfId="0" applyFont="1" applyFill="1" applyBorder="1"/>
    <xf numFmtId="169" fontId="0" fillId="0" borderId="0" xfId="0" applyNumberFormat="1" applyFont="1" applyBorder="1"/>
    <xf numFmtId="0" fontId="0" fillId="0" borderId="0" xfId="0" applyFont="1" applyBorder="1" applyAlignment="1"/>
    <xf numFmtId="175" fontId="0" fillId="3" borderId="0" xfId="1" applyNumberFormat="1" applyFont="1" applyFill="1" applyBorder="1" applyAlignment="1">
      <alignment horizontal="right" vertical="center"/>
    </xf>
    <xf numFmtId="175" fontId="0" fillId="2" borderId="0" xfId="1" applyNumberFormat="1" applyFont="1" applyFill="1" applyBorder="1"/>
    <xf numFmtId="10" fontId="0" fillId="0" borderId="0" xfId="2" applyNumberFormat="1" applyFont="1" applyFill="1" applyBorder="1" applyAlignment="1">
      <alignment horizontal="right" vertical="center"/>
    </xf>
    <xf numFmtId="9" fontId="0" fillId="0" borderId="0" xfId="2" applyFont="1" applyBorder="1" applyAlignment="1">
      <alignment horizontal="right" vertical="center"/>
    </xf>
    <xf numFmtId="175" fontId="0" fillId="0" borderId="0" xfId="1" applyNumberFormat="1" applyFont="1" applyBorder="1" applyAlignment="1">
      <alignment horizontal="right"/>
    </xf>
    <xf numFmtId="14" fontId="0" fillId="0" borderId="0" xfId="0" applyNumberFormat="1" applyBorder="1"/>
    <xf numFmtId="175" fontId="0" fillId="0" borderId="0" xfId="0" applyNumberFormat="1" applyBorder="1"/>
    <xf numFmtId="171" fontId="0" fillId="0" borderId="0" xfId="0" applyNumberFormat="1" applyFill="1" applyBorder="1" applyAlignment="1">
      <alignment horizontal="center"/>
    </xf>
    <xf numFmtId="10" fontId="0" fillId="0" borderId="0" xfId="2" applyNumberFormat="1" applyFont="1" applyBorder="1" applyAlignment="1">
      <alignment horizontal="right"/>
    </xf>
    <xf numFmtId="9" fontId="0" fillId="0" borderId="0" xfId="2" applyFont="1" applyFill="1" applyBorder="1" applyAlignment="1">
      <alignment horizontal="right" vertical="center"/>
    </xf>
    <xf numFmtId="9" fontId="7" fillId="0" borderId="0" xfId="0" applyNumberFormat="1" applyFont="1" applyAlignment="1">
      <alignment horizontal="right" vertical="center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7" fillId="0" borderId="0" xfId="0" applyFont="1"/>
    <xf numFmtId="175" fontId="7" fillId="0" borderId="0" xfId="0" applyNumberFormat="1" applyFont="1"/>
    <xf numFmtId="177" fontId="7" fillId="0" borderId="0" xfId="0" applyNumberFormat="1" applyFont="1"/>
    <xf numFmtId="1" fontId="7" fillId="0" borderId="0" xfId="0" applyNumberFormat="1" applyFont="1"/>
    <xf numFmtId="0" fontId="7" fillId="7" borderId="0" xfId="0" applyFont="1" applyFill="1"/>
    <xf numFmtId="1" fontId="7" fillId="7" borderId="0" xfId="0" applyNumberFormat="1" applyFont="1" applyFill="1"/>
    <xf numFmtId="165" fontId="0" fillId="0" borderId="0" xfId="0" applyNumberFormat="1"/>
    <xf numFmtId="49" fontId="0" fillId="0" borderId="0" xfId="0" applyNumberFormat="1" applyAlignment="1">
      <alignment horizontal="left"/>
    </xf>
    <xf numFmtId="9" fontId="0" fillId="0" borderId="0" xfId="0" applyNumberFormat="1" applyBorder="1"/>
    <xf numFmtId="2" fontId="0" fillId="3" borderId="0" xfId="0" applyNumberFormat="1" applyFill="1" applyBorder="1"/>
    <xf numFmtId="2" fontId="0" fillId="3" borderId="0" xfId="2" applyNumberFormat="1" applyFont="1" applyFill="1" applyBorder="1"/>
    <xf numFmtId="10" fontId="0" fillId="2" borderId="0" xfId="2" applyNumberFormat="1" applyFont="1" applyFill="1" applyBorder="1"/>
    <xf numFmtId="10" fontId="7" fillId="0" borderId="0" xfId="0" applyNumberFormat="1" applyFont="1" applyAlignment="1">
      <alignment horizontal="right" vertical="center"/>
    </xf>
    <xf numFmtId="175" fontId="1" fillId="3" borderId="0" xfId="1" applyNumberFormat="1" applyFont="1" applyFill="1" applyBorder="1" applyAlignment="1">
      <alignment horizontal="center"/>
    </xf>
    <xf numFmtId="171" fontId="2" fillId="3" borderId="0" xfId="0" applyNumberFormat="1" applyFont="1" applyFill="1" applyBorder="1"/>
    <xf numFmtId="178" fontId="0" fillId="0" borderId="0" xfId="1" applyNumberFormat="1" applyFont="1"/>
    <xf numFmtId="49" fontId="0" fillId="0" borderId="0" xfId="0" applyNumberFormat="1"/>
    <xf numFmtId="178" fontId="0" fillId="0" borderId="0" xfId="0" applyNumberFormat="1"/>
    <xf numFmtId="172" fontId="0" fillId="0" borderId="0" xfId="0" applyNumberFormat="1"/>
    <xf numFmtId="178" fontId="0" fillId="0" borderId="0" xfId="2" applyNumberFormat="1" applyFont="1"/>
    <xf numFmtId="3" fontId="0" fillId="8" borderId="0" xfId="0" applyNumberFormat="1" applyFont="1" applyFill="1" applyBorder="1"/>
    <xf numFmtId="3" fontId="0" fillId="8" borderId="0" xfId="0" applyNumberFormat="1" applyFont="1" applyFill="1"/>
    <xf numFmtId="3" fontId="2" fillId="8" borderId="0" xfId="0" applyNumberFormat="1" applyFont="1" applyFill="1"/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'Profitability analysis'!$L$4</c:f>
              <c:strCache>
                <c:ptCount val="1"/>
                <c:pt idx="0">
                  <c:v>ROIC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'Profitability analysis'!$M$3:$Q$3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'Profitability analysis'!$M$4:$Q$4</c:f>
              <c:numCache>
                <c:formatCode>0.00%</c:formatCode>
                <c:ptCount val="5"/>
                <c:pt idx="0">
                  <c:v>0.12971219074221868</c:v>
                </c:pt>
                <c:pt idx="1">
                  <c:v>0.21290387663747362</c:v>
                </c:pt>
                <c:pt idx="2">
                  <c:v>0.10344060780855267</c:v>
                </c:pt>
                <c:pt idx="3">
                  <c:v>0.1855424479393615</c:v>
                </c:pt>
                <c:pt idx="4">
                  <c:v>9.3948207052627283E-2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85-7C4D-B595-2B53930D1457}"/>
            </c:ext>
          </c:extLst>
        </c:ser>
        <c:ser>
          <c:idx val="1"/>
          <c:order val="1"/>
          <c:tx>
            <c:strRef>
              <c:f>'Profitability analysis'!$L$5</c:f>
              <c:strCache>
                <c:ptCount val="1"/>
                <c:pt idx="0">
                  <c:v>ROE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'Profitability analysis'!$M$3:$Q$3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'Profitability analysis'!$M$5:$Q$5</c:f>
              <c:numCache>
                <c:formatCode>0.00%</c:formatCode>
                <c:ptCount val="5"/>
                <c:pt idx="0">
                  <c:v>3.6597861698368428E-2</c:v>
                </c:pt>
                <c:pt idx="1">
                  <c:v>7.9107747043343377E-2</c:v>
                </c:pt>
                <c:pt idx="2">
                  <c:v>3.1288223130297409E-2</c:v>
                </c:pt>
                <c:pt idx="3">
                  <c:v>5.6900178932384866E-2</c:v>
                </c:pt>
                <c:pt idx="4">
                  <c:v>2.6788936980071634E-2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85-7C4D-B595-2B53930D1457}"/>
            </c:ext>
          </c:extLst>
        </c:ser>
        <c:ser>
          <c:idx val="2"/>
          <c:order val="2"/>
          <c:tx>
            <c:strRef>
              <c:f>'Profitability analysis'!$L$6</c:f>
              <c:strCache>
                <c:ptCount val="1"/>
                <c:pt idx="0">
                  <c:v>WACC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'Profitability analysis'!$M$3:$Q$3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'Profitability analysis'!$M$6:$Q$6</c:f>
              <c:numCache>
                <c:formatCode>0.00%</c:formatCode>
                <c:ptCount val="5"/>
                <c:pt idx="0">
                  <c:v>5.7000000000000002E-2</c:v>
                </c:pt>
                <c:pt idx="1">
                  <c:v>5.7000000000000002E-2</c:v>
                </c:pt>
                <c:pt idx="2">
                  <c:v>5.8000000000000003E-2</c:v>
                </c:pt>
                <c:pt idx="3">
                  <c:v>6.8000000000000005E-2</c:v>
                </c:pt>
                <c:pt idx="4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85-7C4D-B595-2B53930D1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6373616"/>
        <c:axId val="1051266240"/>
      </c:lineChart>
      <c:catAx>
        <c:axId val="100637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266240"/>
        <c:crosses val="autoZero"/>
        <c:auto val="1"/>
        <c:lblAlgn val="ctr"/>
        <c:lblOffset val="100"/>
        <c:noMultiLvlLbl val="0"/>
      </c:catAx>
      <c:valAx>
        <c:axId val="105126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637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'Profitability analysis'!$L$9</c:f>
              <c:strCache>
                <c:ptCount val="1"/>
                <c:pt idx="0">
                  <c:v>EVA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'Profitability analysis'!$M$8:$R$8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'Profitability analysis'!$M$9:$R$9</c:f>
              <c:numCache>
                <c:formatCode>_-* #,##0_-;\-* #,##0_-;_-* "-"??_-;_-@_-</c:formatCode>
                <c:ptCount val="6"/>
                <c:pt idx="0">
                  <c:v>1253994</c:v>
                </c:pt>
                <c:pt idx="1">
                  <c:v>3150129</c:v>
                </c:pt>
                <c:pt idx="2">
                  <c:v>1559863</c:v>
                </c:pt>
                <c:pt idx="3">
                  <c:v>3334476</c:v>
                </c:pt>
                <c:pt idx="4">
                  <c:v>1806377</c:v>
                </c:pt>
                <c:pt idx="5">
                  <c:v>840958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4A-474C-997E-2512B4F5FE79}"/>
            </c:ext>
          </c:extLst>
        </c:ser>
        <c:ser>
          <c:idx val="1"/>
          <c:order val="1"/>
          <c:tx>
            <c:strRef>
              <c:f>'Profitability analysis'!$L$10</c:f>
              <c:strCache>
                <c:ptCount val="1"/>
                <c:pt idx="0">
                  <c:v>RI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'Profitability analysis'!$M$8:$R$8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'Profitability analysis'!$M$10:$R$10</c:f>
              <c:numCache>
                <c:formatCode>_-* #,##0_-;\-* #,##0_-;_-* "-"??_-;_-@_-</c:formatCode>
                <c:ptCount val="6"/>
                <c:pt idx="0">
                  <c:v>639768.06740715087</c:v>
                </c:pt>
                <c:pt idx="1">
                  <c:v>885510.98331044731</c:v>
                </c:pt>
                <c:pt idx="2">
                  <c:v>-1536444.3114439039</c:v>
                </c:pt>
                <c:pt idx="3">
                  <c:v>-1794167.4191538449</c:v>
                </c:pt>
                <c:pt idx="4">
                  <c:v>568505.54583883984</c:v>
                </c:pt>
                <c:pt idx="5">
                  <c:v>-666026.91793555615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4A-474C-997E-2512B4F5F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3479215"/>
        <c:axId val="149106528"/>
      </c:lineChart>
      <c:catAx>
        <c:axId val="1893479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106528"/>
        <c:crosses val="autoZero"/>
        <c:auto val="1"/>
        <c:lblAlgn val="ctr"/>
        <c:lblOffset val="100"/>
        <c:noMultiLvlLbl val="0"/>
      </c:catAx>
      <c:valAx>
        <c:axId val="14910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3479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129893</xdr:colOff>
      <xdr:row>18</xdr:row>
      <xdr:rowOff>140237</xdr:rowOff>
    </xdr:from>
    <xdr:ext cx="1721049" cy="4903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9EDED58-E6B1-274E-89A4-DEC963E1D3CA}"/>
                </a:ext>
              </a:extLst>
            </xdr:cNvPr>
            <xdr:cNvSpPr txBox="1"/>
          </xdr:nvSpPr>
          <xdr:spPr>
            <a:xfrm>
              <a:off x="9565993" y="3797837"/>
              <a:ext cx="1721049" cy="4903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b-NO" sz="1100" b="0" i="1">
                        <a:latin typeface="Cambria Math" panose="02040503050406030204" pitchFamily="18" charset="0"/>
                      </a:rPr>
                      <m:t>𝑅𝑂𝐼𝐶</m:t>
                    </m:r>
                    <m:d>
                      <m:dPr>
                        <m:ctrlPr>
                          <a:rPr lang="nb-NO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𝑎𝑓𝑡𝑒𝑟</m:t>
                        </m:r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𝑡𝑎𝑥</m:t>
                        </m:r>
                      </m:e>
                    </m:d>
                    <m:r>
                      <a:rPr lang="nb-NO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nb-N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nb-N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𝑁𝑂𝑃𝐴𝑇</m:t>
                        </m:r>
                      </m:num>
                      <m:den>
                        <m:r>
                          <a:rPr lang="nb-N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𝑁𝑂𝐴</m:t>
                        </m:r>
                      </m:den>
                    </m:f>
                  </m:oMath>
                </m:oMathPara>
              </a14:m>
              <a:endParaRPr lang="nb-NO" sz="1100" b="0">
                <a:ea typeface="Cambria Math" panose="02040503050406030204" pitchFamily="18" charset="0"/>
              </a:endParaRPr>
            </a:p>
            <a:p>
              <a:endParaRPr lang="en-GB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9EDED58-E6B1-274E-89A4-DEC963E1D3CA}"/>
                </a:ext>
              </a:extLst>
            </xdr:cNvPr>
            <xdr:cNvSpPr txBox="1"/>
          </xdr:nvSpPr>
          <xdr:spPr>
            <a:xfrm>
              <a:off x="9565993" y="3797837"/>
              <a:ext cx="1721049" cy="4903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nb-NO" sz="1100" b="0" i="0">
                  <a:latin typeface="Cambria Math" panose="02040503050406030204" pitchFamily="18" charset="0"/>
                </a:rPr>
                <a:t>𝑅𝑂𝐼𝐶(𝑎𝑓𝑡𝑒𝑟 𝑡𝑎𝑥)</a:t>
              </a:r>
              <a:r>
                <a:rPr lang="nb-N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=𝑁𝑂𝑃𝐴𝑇/𝑁𝑂𝐴</a:t>
              </a:r>
              <a:endParaRPr lang="nb-NO" sz="1100" b="0">
                <a:ea typeface="Cambria Math" panose="02040503050406030204" pitchFamily="18" charset="0"/>
              </a:endParaRPr>
            </a:p>
            <a:p>
              <a:endParaRPr lang="en-GB" sz="1100"/>
            </a:p>
          </xdr:txBody>
        </xdr:sp>
      </mc:Fallback>
    </mc:AlternateContent>
    <xdr:clientData/>
  </xdr:oneCellAnchor>
  <xdr:oneCellAnchor>
    <xdr:from>
      <xdr:col>29</xdr:col>
      <xdr:colOff>628072</xdr:colOff>
      <xdr:row>35</xdr:row>
      <xdr:rowOff>21936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395518E-1FDF-4D43-908E-E10A93216232}"/>
            </a:ext>
          </a:extLst>
        </xdr:cNvPr>
        <xdr:cNvSpPr txBox="1"/>
      </xdr:nvSpPr>
      <xdr:spPr>
        <a:xfrm>
          <a:off x="7682345" y="19269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1536700</xdr:colOff>
      <xdr:row>56</xdr:row>
      <xdr:rowOff>190500</xdr:rowOff>
    </xdr:from>
    <xdr:ext cx="1733037" cy="1222863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6903AA0-FC97-1C4B-9695-CAD26A21594B}"/>
            </a:ext>
          </a:extLst>
        </xdr:cNvPr>
        <xdr:cNvSpPr txBox="1"/>
      </xdr:nvSpPr>
      <xdr:spPr>
        <a:xfrm>
          <a:off x="2362200" y="11620500"/>
          <a:ext cx="1733037" cy="1222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284808</xdr:colOff>
      <xdr:row>29</xdr:row>
      <xdr:rowOff>195384</xdr:rowOff>
    </xdr:from>
    <xdr:ext cx="1822065" cy="6352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69D40EF-530E-B049-9853-A8746171E990}"/>
                </a:ext>
              </a:extLst>
            </xdr:cNvPr>
            <xdr:cNvSpPr txBox="1"/>
          </xdr:nvSpPr>
          <xdr:spPr>
            <a:xfrm>
              <a:off x="10762308" y="6088184"/>
              <a:ext cx="1822065" cy="6352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b-NO" sz="1100" b="0" i="1">
                        <a:latin typeface="Cambria Math" panose="02040503050406030204" pitchFamily="18" charset="0"/>
                      </a:rPr>
                      <m:t>𝑅𝑂𝐸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nb-NO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lang="nb-NO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nb-NO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nb-NO" sz="1100" b="0" i="1">
                                    <a:latin typeface="Cambria Math" panose="02040503050406030204" pitchFamily="18" charset="0"/>
                                  </a:rPr>
                                  <m:t>𝑁𝑒𝑡</m:t>
                                </m:r>
                                <m:r>
                                  <a:rPr lang="nb-NO" sz="1100" b="0" i="1">
                                    <a:latin typeface="Cambria Math" panose="02040503050406030204" pitchFamily="18" charset="0"/>
                                  </a:rPr>
                                  <m:t> </m:t>
                                </m:r>
                                <m:r>
                                  <a:rPr lang="nb-NO" sz="1100" b="0" i="1">
                                    <a:latin typeface="Cambria Math" panose="02040503050406030204" pitchFamily="18" charset="0"/>
                                  </a:rPr>
                                  <m:t>𝑖𝑛𝑐𝑜𝑚𝑒</m:t>
                                </m:r>
                              </m:e>
                              <m:sub>
                                <m:r>
                                  <a:rPr lang="nb-NO" sz="1100" b="0" i="1">
                                    <a:latin typeface="Cambria Math" panose="02040503050406030204" pitchFamily="18" charset="0"/>
                                  </a:rPr>
                                  <m:t>𝑡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nb-NO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nb-NO" sz="1100" b="0" i="1">
                                    <a:latin typeface="Cambria Math" panose="02040503050406030204" pitchFamily="18" charset="0"/>
                                  </a:rPr>
                                  <m:t>𝐵𝑉𝐸</m:t>
                                </m:r>
                              </m:e>
                              <m:sub>
                                <m:r>
                                  <a:rPr lang="nb-NO" sz="1100" b="0" i="1">
                                    <a:latin typeface="Cambria Math" panose="02040503050406030204" pitchFamily="18" charset="0"/>
                                  </a:rPr>
                                  <m:t>𝑡</m:t>
                                </m:r>
                                <m:r>
                                  <a:rPr lang="nb-NO" sz="1100" b="0" i="1">
                                    <a:latin typeface="Cambria Math" panose="02040503050406030204" pitchFamily="18" charset="0"/>
                                  </a:rPr>
                                  <m:t>−1</m:t>
                                </m:r>
                              </m:sub>
                            </m:sSub>
                            <m:r>
                              <a:rPr lang="nb-NO" sz="1100" b="0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nb-NO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nb-NO" sz="1100" b="0" i="1">
                                    <a:latin typeface="Cambria Math" panose="02040503050406030204" pitchFamily="18" charset="0"/>
                                  </a:rPr>
                                  <m:t>𝐵𝑉𝐸</m:t>
                                </m:r>
                              </m:e>
                              <m:sub>
                                <m:r>
                                  <a:rPr lang="nb-NO" sz="1100" b="0" i="1">
                                    <a:latin typeface="Cambria Math" panose="02040503050406030204" pitchFamily="18" charset="0"/>
                                  </a:rPr>
                                  <m:t>𝑡</m:t>
                                </m:r>
                              </m:sub>
                            </m:sSub>
                          </m:den>
                        </m:f>
                      </m:num>
                      <m:den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nb-NO" sz="1100" b="0"/>
            </a:p>
            <a:p>
              <a:endParaRPr lang="en-GB" sz="110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69D40EF-530E-B049-9853-A8746171E990}"/>
                </a:ext>
              </a:extLst>
            </xdr:cNvPr>
            <xdr:cNvSpPr txBox="1"/>
          </xdr:nvSpPr>
          <xdr:spPr>
            <a:xfrm>
              <a:off x="10762308" y="6088184"/>
              <a:ext cx="1822065" cy="6352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nb-NO" sz="1100" b="0" i="0">
                  <a:latin typeface="Cambria Math" panose="02040503050406030204" pitchFamily="18" charset="0"/>
                </a:rPr>
                <a:t>𝑅𝑂𝐸=(〖𝑁𝑒𝑡 𝑖𝑛𝑐𝑜𝑚𝑒〗_𝑡/(〖𝐵𝑉𝐸〗_(𝑡−1)+〖𝐵𝑉𝐸〗_𝑡 ))/2</a:t>
              </a:r>
              <a:endParaRPr lang="nb-NO" sz="1100" b="0"/>
            </a:p>
            <a:p>
              <a:endParaRPr lang="en-GB" sz="1100"/>
            </a:p>
          </xdr:txBody>
        </xdr:sp>
      </mc:Fallback>
    </mc:AlternateContent>
    <xdr:clientData/>
  </xdr:oneCellAnchor>
  <xdr:oneCellAnchor>
    <xdr:from>
      <xdr:col>8</xdr:col>
      <xdr:colOff>997256</xdr:colOff>
      <xdr:row>36</xdr:row>
      <xdr:rowOff>87752</xdr:rowOff>
    </xdr:from>
    <xdr:ext cx="3575274" cy="3197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AE6AA07D-D557-874A-98E3-D54323EDAAAE}"/>
                </a:ext>
              </a:extLst>
            </xdr:cNvPr>
            <xdr:cNvSpPr txBox="1"/>
          </xdr:nvSpPr>
          <xdr:spPr>
            <a:xfrm>
              <a:off x="9442756" y="7453752"/>
              <a:ext cx="3575274" cy="319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b-NO" sz="1100" b="0" i="1">
                        <a:latin typeface="Cambria Math" panose="02040503050406030204" pitchFamily="18" charset="0"/>
                      </a:rPr>
                      <m:t>𝑊𝐴𝐶𝐶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nb-NO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𝑁𝐼𝐵𝐷</m:t>
                        </m:r>
                      </m:num>
                      <m:den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𝑁𝐼𝐵𝐷</m:t>
                        </m:r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𝑀𝑉𝐸</m:t>
                        </m:r>
                      </m:den>
                    </m:f>
                    <m:r>
                      <a:rPr lang="nb-N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  </m:t>
                    </m:r>
                    <m:sSub>
                      <m:sSubPr>
                        <m:ctrlPr>
                          <a:rPr lang="nb-N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e>
                      <m:sub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𝑑</m:t>
                        </m:r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 </m:t>
                        </m:r>
                      </m:sub>
                    </m:sSub>
                    <m:r>
                      <a:rPr lang="nb-NO" sz="110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 </m:t>
                    </m:r>
                    <m:d>
                      <m:dPr>
                        <m:ctrlPr>
                          <a:rPr lang="nb-NO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1−</m:t>
                        </m:r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</m:d>
                    <m:r>
                      <a:rPr lang="nb-NO" sz="1100" b="0" i="1">
                        <a:latin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nb-NO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𝑀𝑉𝐸</m:t>
                        </m:r>
                      </m:num>
                      <m:den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𝑁𝐼𝐵𝐷</m:t>
                        </m:r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𝑀𝑉𝐸</m:t>
                        </m:r>
                      </m:den>
                    </m:f>
                    <m:r>
                      <a:rPr lang="nb-N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 </m:t>
                    </m:r>
                    <m:sSub>
                      <m:sSubPr>
                        <m:ctrlPr>
                          <a:rPr lang="nb-N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e>
                      <m:sub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𝑒</m:t>
                        </m:r>
                      </m:sub>
                    </m:sSub>
                  </m:oMath>
                </m:oMathPara>
              </a14:m>
              <a:endParaRPr lang="nb-NO" sz="1100" b="0"/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AE6AA07D-D557-874A-98E3-D54323EDAAAE}"/>
                </a:ext>
              </a:extLst>
            </xdr:cNvPr>
            <xdr:cNvSpPr txBox="1"/>
          </xdr:nvSpPr>
          <xdr:spPr>
            <a:xfrm>
              <a:off x="9442756" y="7453752"/>
              <a:ext cx="3575274" cy="319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nb-NO" sz="1100" b="0" i="0">
                  <a:latin typeface="Cambria Math" panose="02040503050406030204" pitchFamily="18" charset="0"/>
                </a:rPr>
                <a:t>𝑊𝐴𝐶𝐶=𝑁𝐼𝐵𝐷/(𝑁𝐼𝐵𝐷+𝑀𝑉𝐸)  𝑥  𝑟_(𝑑 ) 𝑥 (1−𝑡)+𝑀𝑉𝐸/(𝑁𝐼𝐵𝐷+𝑀𝑉𝐸)  𝑥 𝑟_𝑒</a:t>
              </a:r>
              <a:endParaRPr lang="nb-NO" sz="1100" b="0"/>
            </a:p>
          </xdr:txBody>
        </xdr:sp>
      </mc:Fallback>
    </mc:AlternateContent>
    <xdr:clientData/>
  </xdr:oneCellAnchor>
  <xdr:oneCellAnchor>
    <xdr:from>
      <xdr:col>8</xdr:col>
      <xdr:colOff>927636</xdr:colOff>
      <xdr:row>70</xdr:row>
      <xdr:rowOff>154159</xdr:rowOff>
    </xdr:from>
    <xdr:ext cx="1313245" cy="1949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C8BDD9F5-E6C0-1644-9CD0-43110B4D1C42}"/>
                </a:ext>
              </a:extLst>
            </xdr:cNvPr>
            <xdr:cNvSpPr txBox="1"/>
          </xdr:nvSpPr>
          <xdr:spPr>
            <a:xfrm>
              <a:off x="9373136" y="15876759"/>
              <a:ext cx="1313245" cy="1949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e>
                      <m:sub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𝑒</m:t>
                        </m:r>
                      </m:sub>
                    </m:sSub>
                    <m:r>
                      <a:rPr lang="nb-NO" sz="1100" b="0" i="1">
                        <a:latin typeface="Cambria Math" panose="02040503050406030204" pitchFamily="18" charset="0"/>
                      </a:rPr>
                      <m:t>= </m:t>
                    </m:r>
                    <m:sSub>
                      <m:sSubPr>
                        <m:ctrlPr>
                          <a:rPr lang="nb-N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e>
                      <m:sub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sub>
                    </m:sSub>
                    <m:r>
                      <a:rPr lang="nb-NO" sz="1100" b="0" i="1">
                        <a:latin typeface="Cambria Math" panose="02040503050406030204" pitchFamily="18" charset="0"/>
                      </a:rPr>
                      <m:t> +</m:t>
                    </m:r>
                    <m:r>
                      <a:rPr lang="nb-NO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𝛽</m:t>
                    </m:r>
                    <m:d>
                      <m:dPr>
                        <m:ctrlPr>
                          <a:rPr lang="nb-NO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nb-NO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nb-NO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e>
                          <m:sub>
                            <m:r>
                              <a:rPr lang="nb-NO" sz="11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</m:sub>
                        </m:sSub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nb-NO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nb-NO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e>
                          <m:sub>
                            <m:r>
                              <a:rPr lang="nb-NO" sz="1100" b="0" i="1">
                                <a:latin typeface="Cambria Math" panose="02040503050406030204" pitchFamily="18" charset="0"/>
                              </a:rPr>
                              <m:t>𝑓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C8BDD9F5-E6C0-1644-9CD0-43110B4D1C42}"/>
                </a:ext>
              </a:extLst>
            </xdr:cNvPr>
            <xdr:cNvSpPr txBox="1"/>
          </xdr:nvSpPr>
          <xdr:spPr>
            <a:xfrm>
              <a:off x="9373136" y="15876759"/>
              <a:ext cx="1313245" cy="1949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nb-NO" sz="1100" b="0" i="0">
                  <a:latin typeface="Cambria Math" panose="02040503050406030204" pitchFamily="18" charset="0"/>
                </a:rPr>
                <a:t>𝑟</a:t>
              </a:r>
              <a:r>
                <a:rPr lang="en-GB" sz="1100" b="0" i="0">
                  <a:latin typeface="Cambria Math" panose="02040503050406030204" pitchFamily="18" charset="0"/>
                </a:rPr>
                <a:t>_</a:t>
              </a:r>
              <a:r>
                <a:rPr lang="nb-NO" sz="1100" b="0" i="0">
                  <a:latin typeface="Cambria Math" panose="02040503050406030204" pitchFamily="18" charset="0"/>
                </a:rPr>
                <a:t>𝑒= 𝑟_𝑓  +</a:t>
              </a:r>
              <a:r>
                <a:rPr lang="nb-N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</a:t>
              </a:r>
              <a:r>
                <a:rPr lang="nb-NO" sz="1100" b="0" i="0">
                  <a:latin typeface="Cambria Math" panose="02040503050406030204" pitchFamily="18" charset="0"/>
                </a:rPr>
                <a:t>(𝑟_𝑚−𝑟_𝑓 )</a:t>
              </a:r>
              <a:endParaRPr lang="en-GB" sz="1100"/>
            </a:p>
          </xdr:txBody>
        </xdr:sp>
      </mc:Fallback>
    </mc:AlternateContent>
    <xdr:clientData/>
  </xdr:oneCellAnchor>
  <xdr:oneCellAnchor>
    <xdr:from>
      <xdr:col>9</xdr:col>
      <xdr:colOff>36647</xdr:colOff>
      <xdr:row>43</xdr:row>
      <xdr:rowOff>97240</xdr:rowOff>
    </xdr:from>
    <xdr:ext cx="2671822" cy="1720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E374DC2B-F2C6-DA4C-A846-7459E43FFB84}"/>
                </a:ext>
              </a:extLst>
            </xdr:cNvPr>
            <xdr:cNvSpPr txBox="1"/>
          </xdr:nvSpPr>
          <xdr:spPr>
            <a:xfrm>
              <a:off x="10685109" y="9008949"/>
              <a:ext cx="2671822" cy="1720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b-NO" sz="1100" b="0" i="1">
                        <a:latin typeface="Cambria Math" panose="02040503050406030204" pitchFamily="18" charset="0"/>
                      </a:rPr>
                      <m:t>𝐸𝑉𝐴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𝑁𝑂𝑃𝐴𝑇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 (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𝑖𝑛𝑣𝑒𝑠𝑡𝑒𝑑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𝐶𝑎𝑝𝑖𝑡𝑎𝑙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𝑊𝐴𝐶𝐶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E374DC2B-F2C6-DA4C-A846-7459E43FFB84}"/>
                </a:ext>
              </a:extLst>
            </xdr:cNvPr>
            <xdr:cNvSpPr txBox="1"/>
          </xdr:nvSpPr>
          <xdr:spPr>
            <a:xfrm>
              <a:off x="10685109" y="9008949"/>
              <a:ext cx="2671822" cy="1720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nb-NO" sz="1100" b="0" i="0">
                  <a:latin typeface="Cambria Math" panose="02040503050406030204" pitchFamily="18" charset="0"/>
                </a:rPr>
                <a:t>𝐸𝑉𝐴=𝑁𝑂𝑃𝐴𝑇 (𝑖𝑛𝑣𝑒𝑠𝑡𝑒𝑑 𝐶𝑎𝑝𝑖𝑡𝑎𝑙∗𝑊𝐴𝐶𝐶)</a:t>
              </a:r>
              <a:endParaRPr lang="en-GB" sz="1100"/>
            </a:p>
          </xdr:txBody>
        </xdr:sp>
      </mc:Fallback>
    </mc:AlternateContent>
    <xdr:clientData/>
  </xdr:oneCellAnchor>
  <xdr:oneCellAnchor>
    <xdr:from>
      <xdr:col>9</xdr:col>
      <xdr:colOff>312669</xdr:colOff>
      <xdr:row>52</xdr:row>
      <xdr:rowOff>27247</xdr:rowOff>
    </xdr:from>
    <xdr:ext cx="147226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FFD548B3-0AF3-2940-999A-5B283F509EBC}"/>
                </a:ext>
              </a:extLst>
            </xdr:cNvPr>
            <xdr:cNvSpPr txBox="1"/>
          </xdr:nvSpPr>
          <xdr:spPr>
            <a:xfrm>
              <a:off x="10929423" y="10521458"/>
              <a:ext cx="147226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b-NO" sz="1100" b="0" i="1">
                        <a:latin typeface="Cambria Math" panose="02040503050406030204" pitchFamily="18" charset="0"/>
                      </a:rPr>
                      <m:t>𝑅𝐼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nb-NO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𝑅𝑂𝐸</m:t>
                        </m:r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 −</m:t>
                        </m:r>
                        <m:sSub>
                          <m:sSubPr>
                            <m:ctrlPr>
                              <a:rPr lang="nb-NO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nb-NO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e>
                          <m:sub>
                            <m:r>
                              <a:rPr lang="nb-NO" sz="1100" b="0" i="1">
                                <a:latin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</m:e>
                    </m:d>
                    <m:r>
                      <a:rPr lang="nb-NO" sz="11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𝐵𝑉𝐸</m:t>
                    </m:r>
                  </m:oMath>
                </m:oMathPara>
              </a14:m>
              <a:endParaRPr lang="nb-NO" sz="1100" b="0"/>
            </a:p>
          </xdr:txBody>
        </xdr:sp>
      </mc:Choice>
      <mc:Fallback xmlns="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FFD548B3-0AF3-2940-999A-5B283F509EBC}"/>
                </a:ext>
              </a:extLst>
            </xdr:cNvPr>
            <xdr:cNvSpPr txBox="1"/>
          </xdr:nvSpPr>
          <xdr:spPr>
            <a:xfrm>
              <a:off x="10929423" y="10521458"/>
              <a:ext cx="147226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nb-NO" sz="1100" b="0" i="0">
                  <a:latin typeface="Cambria Math" panose="02040503050406030204" pitchFamily="18" charset="0"/>
                </a:rPr>
                <a:t>𝑅𝐼=(𝑅𝑂𝐸 −𝑟_𝑒 )∗𝐵𝑉𝐸</a:t>
              </a:r>
              <a:endParaRPr lang="nb-NO" sz="1100" b="0"/>
            </a:p>
          </xdr:txBody>
        </xdr:sp>
      </mc:Fallback>
    </mc:AlternateContent>
    <xdr:clientData/>
  </xdr:oneCellAnchor>
  <xdr:oneCellAnchor>
    <xdr:from>
      <xdr:col>9</xdr:col>
      <xdr:colOff>692516</xdr:colOff>
      <xdr:row>61</xdr:row>
      <xdr:rowOff>109042</xdr:rowOff>
    </xdr:from>
    <xdr:ext cx="3450368" cy="49244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8BDE1F3F-C72E-CA4F-99D5-5327EA2809CA}"/>
                </a:ext>
              </a:extLst>
            </xdr:cNvPr>
            <xdr:cNvSpPr txBox="1"/>
          </xdr:nvSpPr>
          <xdr:spPr>
            <a:xfrm>
              <a:off x="11340978" y="12754768"/>
              <a:ext cx="3450368" cy="49244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b-NO" sz="1100" b="0" i="1">
                        <a:latin typeface="Cambria Math" panose="02040503050406030204" pitchFamily="18" charset="0"/>
                      </a:rPr>
                      <m:t>𝐶𝑂𝐸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nb-NO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nb-NO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nb-NO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nb-NO" sz="1100" b="0" i="1">
                                    <a:latin typeface="Cambria Math" panose="02040503050406030204" pitchFamily="18" charset="0"/>
                                  </a:rPr>
                                  <m:t>𝐷𝑖𝑣𝑖𝑑𝑒𝑛𝑑𝑠</m:t>
                                </m:r>
                              </m:num>
                              <m:den>
                                <m:r>
                                  <a:rPr lang="nb-NO" sz="1100" b="0" i="1">
                                    <a:latin typeface="Cambria Math" panose="02040503050406030204" pitchFamily="18" charset="0"/>
                                  </a:rPr>
                                  <m:t>𝑂𝑢𝑡𝑠𝑡𝑎𝑛𝑑𝑖𝑛𝑔</m:t>
                                </m:r>
                                <m:r>
                                  <a:rPr lang="nb-NO" sz="1100" b="0" i="1">
                                    <a:latin typeface="Cambria Math" panose="02040503050406030204" pitchFamily="18" charset="0"/>
                                  </a:rPr>
                                  <m:t> </m:t>
                                </m:r>
                                <m:r>
                                  <a:rPr lang="nb-NO" sz="1100" b="0" i="1">
                                    <a:latin typeface="Cambria Math" panose="02040503050406030204" pitchFamily="18" charset="0"/>
                                  </a:rPr>
                                  <m:t>𝑠h𝑎𝑟𝑒𝑠</m:t>
                                </m:r>
                              </m:den>
                            </m:f>
                          </m:e>
                        </m:d>
                      </m:num>
                      <m:den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𝑀𝑎𝑟𝑘𝑒𝑡</m:t>
                        </m:r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𝑣𝑎𝑙𝑢𝑒</m:t>
                        </m:r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𝑜𝑓</m:t>
                        </m:r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𝑠𝑡𝑜𝑐𝑘</m:t>
                        </m:r>
                      </m:den>
                    </m:f>
                    <m:r>
                      <a:rPr lang="nb-NO" sz="1100" b="0" i="0">
                        <a:latin typeface="Cambria Math" panose="02040503050406030204" pitchFamily="18" charset="0"/>
                      </a:rPr>
                      <m:t>+</m:t>
                    </m:r>
                    <m:r>
                      <m:rPr>
                        <m:sty m:val="p"/>
                      </m:rPr>
                      <a:rPr lang="nb-NO" sz="1100" b="0" i="0">
                        <a:latin typeface="Cambria Math" panose="02040503050406030204" pitchFamily="18" charset="0"/>
                      </a:rPr>
                      <m:t>Growth</m:t>
                    </m:r>
                    <m:r>
                      <a:rPr lang="nb-NO" sz="1100" b="0" i="0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sty m:val="p"/>
                      </m:rPr>
                      <a:rPr lang="nb-NO" sz="1100" b="0" i="0">
                        <a:latin typeface="Cambria Math" panose="02040503050406030204" pitchFamily="18" charset="0"/>
                      </a:rPr>
                      <m:t>rate</m:t>
                    </m:r>
                    <m:r>
                      <a:rPr lang="nb-NO" sz="1100" b="0" i="0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sty m:val="p"/>
                      </m:rPr>
                      <a:rPr lang="nb-NO" sz="1100" b="0" i="0">
                        <a:latin typeface="Cambria Math" panose="02040503050406030204" pitchFamily="18" charset="0"/>
                      </a:rPr>
                      <m:t>dividends</m:t>
                    </m:r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8BDE1F3F-C72E-CA4F-99D5-5327EA2809CA}"/>
                </a:ext>
              </a:extLst>
            </xdr:cNvPr>
            <xdr:cNvSpPr txBox="1"/>
          </xdr:nvSpPr>
          <xdr:spPr>
            <a:xfrm>
              <a:off x="11340978" y="12754768"/>
              <a:ext cx="3450368" cy="49244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nb-NO" sz="1100" b="0" i="0">
                  <a:latin typeface="Cambria Math" panose="02040503050406030204" pitchFamily="18" charset="0"/>
                </a:rPr>
                <a:t>𝐶𝑂𝐸=  ((𝐷𝑖𝑣𝑖𝑑𝑒𝑛𝑑𝑠/(𝑂𝑢𝑡𝑠𝑡𝑎𝑛𝑑𝑖𝑛𝑔 𝑠ℎ𝑎𝑟𝑒𝑠)))/(𝑀𝑎𝑟𝑘𝑒𝑡 𝑣𝑎𝑙𝑢𝑒 𝑜𝑓 𝑠𝑡𝑜𝑐𝑘)+Growth rate dividends</a:t>
              </a:r>
              <a:endParaRPr lang="en-GB" sz="1100"/>
            </a:p>
          </xdr:txBody>
        </xdr:sp>
      </mc:Fallback>
    </mc:AlternateContent>
    <xdr:clientData/>
  </xdr:oneCellAnchor>
  <xdr:oneCellAnchor>
    <xdr:from>
      <xdr:col>2</xdr:col>
      <xdr:colOff>628072</xdr:colOff>
      <xdr:row>73</xdr:row>
      <xdr:rowOff>21936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BDB3B02-CD4D-2B40-81F7-BB04B2BD26E0}"/>
            </a:ext>
          </a:extLst>
        </xdr:cNvPr>
        <xdr:cNvSpPr txBox="1"/>
      </xdr:nvSpPr>
      <xdr:spPr>
        <a:xfrm>
          <a:off x="2923253" y="126760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twoCellAnchor>
    <xdr:from>
      <xdr:col>19</xdr:col>
      <xdr:colOff>30480</xdr:colOff>
      <xdr:row>1</xdr:row>
      <xdr:rowOff>172720</xdr:rowOff>
    </xdr:from>
    <xdr:to>
      <xdr:col>24</xdr:col>
      <xdr:colOff>767080</xdr:colOff>
      <xdr:row>15</xdr:row>
      <xdr:rowOff>71120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EE850F1C-D9EB-964E-AA33-6983FCEAD7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628072</xdr:colOff>
      <xdr:row>73</xdr:row>
      <xdr:rowOff>21936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47113154-A76A-6A4E-937E-8E72B96DA216}"/>
            </a:ext>
          </a:extLst>
        </xdr:cNvPr>
        <xdr:cNvSpPr txBox="1"/>
      </xdr:nvSpPr>
      <xdr:spPr>
        <a:xfrm>
          <a:off x="2926772" y="164049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628072</xdr:colOff>
      <xdr:row>73</xdr:row>
      <xdr:rowOff>21936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15DF4D2-E25E-B246-9309-EED9B36FC09D}"/>
            </a:ext>
          </a:extLst>
        </xdr:cNvPr>
        <xdr:cNvSpPr txBox="1"/>
      </xdr:nvSpPr>
      <xdr:spPr>
        <a:xfrm>
          <a:off x="2926772" y="164049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628072</xdr:colOff>
      <xdr:row>73</xdr:row>
      <xdr:rowOff>21936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FF51684-F7CE-9C4B-A208-8C48CC701A16}"/>
            </a:ext>
          </a:extLst>
        </xdr:cNvPr>
        <xdr:cNvSpPr txBox="1"/>
      </xdr:nvSpPr>
      <xdr:spPr>
        <a:xfrm>
          <a:off x="2926772" y="164049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628072</xdr:colOff>
      <xdr:row>73</xdr:row>
      <xdr:rowOff>21936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E96F28BE-FDE1-9043-A5FF-02174C9C7ECA}"/>
            </a:ext>
          </a:extLst>
        </xdr:cNvPr>
        <xdr:cNvSpPr txBox="1"/>
      </xdr:nvSpPr>
      <xdr:spPr>
        <a:xfrm>
          <a:off x="2926772" y="164049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7</xdr:col>
      <xdr:colOff>628072</xdr:colOff>
      <xdr:row>73</xdr:row>
      <xdr:rowOff>21936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4947A202-3C55-CB4A-94C1-05DBE730E73C}"/>
            </a:ext>
          </a:extLst>
        </xdr:cNvPr>
        <xdr:cNvSpPr txBox="1"/>
      </xdr:nvSpPr>
      <xdr:spPr>
        <a:xfrm>
          <a:off x="2926772" y="164049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628072</xdr:colOff>
      <xdr:row>62</xdr:row>
      <xdr:rowOff>21936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640751C8-2312-0F4D-AF30-FCBCD862F49F}"/>
            </a:ext>
          </a:extLst>
        </xdr:cNvPr>
        <xdr:cNvSpPr txBox="1"/>
      </xdr:nvSpPr>
      <xdr:spPr>
        <a:xfrm>
          <a:off x="2926772" y="126711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628072</xdr:colOff>
      <xdr:row>62</xdr:row>
      <xdr:rowOff>21936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E01AD9F-3E7F-2B4A-A2EE-28A85784A2B3}"/>
            </a:ext>
          </a:extLst>
        </xdr:cNvPr>
        <xdr:cNvSpPr txBox="1"/>
      </xdr:nvSpPr>
      <xdr:spPr>
        <a:xfrm>
          <a:off x="2926772" y="126711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7</xdr:col>
      <xdr:colOff>628072</xdr:colOff>
      <xdr:row>62</xdr:row>
      <xdr:rowOff>21936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CEC45BC4-7C3D-7040-AC15-4F5F20FAF219}"/>
            </a:ext>
          </a:extLst>
        </xdr:cNvPr>
        <xdr:cNvSpPr txBox="1"/>
      </xdr:nvSpPr>
      <xdr:spPr>
        <a:xfrm>
          <a:off x="8203511" y="125214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twoCellAnchor>
    <xdr:from>
      <xdr:col>11</xdr:col>
      <xdr:colOff>981265</xdr:colOff>
      <xdr:row>13</xdr:row>
      <xdr:rowOff>50366</xdr:rowOff>
    </xdr:from>
    <xdr:to>
      <xdr:col>17</xdr:col>
      <xdr:colOff>17367</xdr:colOff>
      <xdr:row>26</xdr:row>
      <xdr:rowOff>112455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0434E9-F323-DD41-BEAE-203C92D56C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103963</xdr:colOff>
      <xdr:row>9</xdr:row>
      <xdr:rowOff>15358</xdr:rowOff>
    </xdr:from>
    <xdr:ext cx="1294778" cy="1720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DC042EEB-6C32-C745-8B12-CB382159ACA0}"/>
                </a:ext>
              </a:extLst>
            </xdr:cNvPr>
            <xdr:cNvSpPr txBox="1"/>
          </xdr:nvSpPr>
          <xdr:spPr>
            <a:xfrm>
              <a:off x="8949661" y="1876056"/>
              <a:ext cx="1294778" cy="1720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b-NO" sz="11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𝑅𝑂𝐸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 ∗</m:t>
                    </m:r>
                    <m:d>
                      <m:dPr>
                        <m:ctrlPr>
                          <a:rPr lang="nb-NO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1−</m:t>
                        </m:r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𝑃𝑂</m:t>
                        </m:r>
                      </m:e>
                    </m:d>
                  </m:oMath>
                </m:oMathPara>
              </a14:m>
              <a:endParaRPr lang="nb-NO" sz="1100" b="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DC042EEB-6C32-C745-8B12-CB382159ACA0}"/>
                </a:ext>
              </a:extLst>
            </xdr:cNvPr>
            <xdr:cNvSpPr txBox="1"/>
          </xdr:nvSpPr>
          <xdr:spPr>
            <a:xfrm>
              <a:off x="8949661" y="1876056"/>
              <a:ext cx="1294778" cy="1720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nb-NO" sz="1100" b="0" i="0">
                  <a:latin typeface="Cambria Math" panose="02040503050406030204" pitchFamily="18" charset="0"/>
                </a:rPr>
                <a:t>𝑔=𝑅𝑂𝐸 ∗(1−𝑃𝑂)</a:t>
              </a:r>
              <a:endParaRPr lang="nb-NO" sz="1100" b="0"/>
            </a:p>
          </xdr:txBody>
        </xdr:sp>
      </mc:Fallback>
    </mc:AlternateContent>
    <xdr:clientData/>
  </xdr:oneCellAnchor>
  <xdr:oneCellAnchor>
    <xdr:from>
      <xdr:col>9</xdr:col>
      <xdr:colOff>207333</xdr:colOff>
      <xdr:row>7</xdr:row>
      <xdr:rowOff>0</xdr:rowOff>
    </xdr:from>
    <xdr:ext cx="1076513" cy="4134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DA6E17CC-F1CE-2446-A1EF-1A82C0242453}"/>
                </a:ext>
              </a:extLst>
            </xdr:cNvPr>
            <xdr:cNvSpPr txBox="1"/>
          </xdr:nvSpPr>
          <xdr:spPr>
            <a:xfrm>
              <a:off x="9053031" y="1447209"/>
              <a:ext cx="1076513" cy="4134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b-NO" sz="1100" b="0" i="1">
                        <a:latin typeface="Cambria Math" panose="02040503050406030204" pitchFamily="18" charset="0"/>
                      </a:rPr>
                      <m:t>𝑃𝑂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nb-NO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𝐷𝑖𝑣𝑖𝑑𝑒𝑛𝑑𝑠</m:t>
                        </m:r>
                      </m:num>
                      <m:den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𝑁𝑒𝑡</m:t>
                        </m:r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𝑃𝑟𝑜𝑓𝑖𝑡</m:t>
                        </m:r>
                      </m:den>
                    </m:f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DA6E17CC-F1CE-2446-A1EF-1A82C0242453}"/>
                </a:ext>
              </a:extLst>
            </xdr:cNvPr>
            <xdr:cNvSpPr txBox="1"/>
          </xdr:nvSpPr>
          <xdr:spPr>
            <a:xfrm>
              <a:off x="9053031" y="1447209"/>
              <a:ext cx="1076513" cy="4134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nb-NO" sz="1100" b="0" i="0">
                  <a:latin typeface="Cambria Math" panose="02040503050406030204" pitchFamily="18" charset="0"/>
                </a:rPr>
                <a:t>𝑃𝑂=𝐷𝑖𝑣𝑖𝑑𝑒𝑛𝑑𝑠/(𝑁𝑒𝑡 𝑃𝑟𝑜𝑓𝑖𝑡)</a:t>
              </a:r>
              <a:endParaRPr lang="en-GB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374650</xdr:colOff>
      <xdr:row>10</xdr:row>
      <xdr:rowOff>95250</xdr:rowOff>
    </xdr:from>
    <xdr:ext cx="2116285" cy="1720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129CB540-D16C-154C-A05B-A2F7E5629F7B}"/>
                </a:ext>
              </a:extLst>
            </xdr:cNvPr>
            <xdr:cNvSpPr txBox="1"/>
          </xdr:nvSpPr>
          <xdr:spPr>
            <a:xfrm>
              <a:off x="9226550" y="2127250"/>
              <a:ext cx="2116285" cy="1720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b-NO" sz="1100" b="0" i="1">
                        <a:latin typeface="Cambria Math" panose="02040503050406030204" pitchFamily="18" charset="0"/>
                      </a:rPr>
                      <m:t>𝐹𝑖𝑛𝑎𝑛𝑐𝑖𝑎𝑙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𝑙𝑒𝑣𝑒𝑟𝑎𝑔𝑒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𝑁𝐼𝐵𝐷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/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𝐵𝑉𝐸</m:t>
                    </m:r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129CB540-D16C-154C-A05B-A2F7E5629F7B}"/>
                </a:ext>
              </a:extLst>
            </xdr:cNvPr>
            <xdr:cNvSpPr txBox="1"/>
          </xdr:nvSpPr>
          <xdr:spPr>
            <a:xfrm>
              <a:off x="9226550" y="2127250"/>
              <a:ext cx="2116285" cy="1720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nb-NO" sz="1100" b="0" i="0">
                  <a:latin typeface="Cambria Math" panose="02040503050406030204" pitchFamily="18" charset="0"/>
                </a:rPr>
                <a:t>𝐹𝑖𝑛𝑎𝑛𝑐𝑖𝑎𝑙 𝑙𝑒𝑣𝑒𝑟𝑎𝑔𝑒=𝑁𝐼𝐵𝐷/𝐵𝑉𝐸</a:t>
              </a:r>
              <a:endParaRPr lang="en-GB" sz="1100"/>
            </a:p>
          </xdr:txBody>
        </xdr:sp>
      </mc:Fallback>
    </mc:AlternateContent>
    <xdr:clientData/>
  </xdr:oneCellAnchor>
  <xdr:oneCellAnchor>
    <xdr:from>
      <xdr:col>8</xdr:col>
      <xdr:colOff>285750</xdr:colOff>
      <xdr:row>17</xdr:row>
      <xdr:rowOff>57150</xdr:rowOff>
    </xdr:from>
    <xdr:ext cx="2267865" cy="3180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34C95C82-3303-C641-B2E2-9F004CEB2CCC}"/>
                </a:ext>
              </a:extLst>
            </xdr:cNvPr>
            <xdr:cNvSpPr txBox="1"/>
          </xdr:nvSpPr>
          <xdr:spPr>
            <a:xfrm>
              <a:off x="9137650" y="3511550"/>
              <a:ext cx="2267865" cy="3180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b-NO" sz="1100" b="0" i="1">
                        <a:latin typeface="Cambria Math" panose="02040503050406030204" pitchFamily="18" charset="0"/>
                      </a:rPr>
                      <m:t>𝐶𝑢𝑟𝑟𝑒𝑛𝑡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𝑟𝑎𝑡𝑖𝑜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nb-NO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𝐶𝑢𝑟𝑟𝑒𝑛𝑡</m:t>
                        </m:r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𝑎𝑠𝑠𝑒𝑡𝑠</m:t>
                        </m:r>
                      </m:num>
                      <m:den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𝐶𝑢𝑟𝑟𝑒𝑛𝑡</m:t>
                        </m:r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𝑙𝑖𝑎𝑏𝑖𝑙𝑖𝑡𝑖𝑒𝑠</m:t>
                        </m:r>
                      </m:den>
                    </m:f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34C95C82-3303-C641-B2E2-9F004CEB2CCC}"/>
                </a:ext>
              </a:extLst>
            </xdr:cNvPr>
            <xdr:cNvSpPr txBox="1"/>
          </xdr:nvSpPr>
          <xdr:spPr>
            <a:xfrm>
              <a:off x="9137650" y="3511550"/>
              <a:ext cx="2267865" cy="3180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nb-NO" sz="1100" b="0" i="0">
                  <a:latin typeface="Cambria Math" panose="02040503050406030204" pitchFamily="18" charset="0"/>
                </a:rPr>
                <a:t>𝐶𝑢𝑟𝑟𝑒𝑛𝑡 𝑟𝑎𝑡𝑖𝑜=  (𝐶𝑢𝑟𝑟𝑒𝑛𝑡 𝑎𝑠𝑠𝑒𝑡𝑠)/(𝐶𝑢𝑟𝑟𝑒𝑛𝑡 𝑙𝑖𝑎𝑏𝑖𝑙𝑖𝑡𝑖𝑒𝑠)</a:t>
              </a:r>
              <a:endParaRPr lang="en-GB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ED7E6-062F-A74B-8CB1-9923F6E851D6}">
  <dimension ref="A1:Q61"/>
  <sheetViews>
    <sheetView zoomScale="110" zoomScaleNormal="110" workbookViewId="0">
      <selection activeCell="K29" sqref="K29"/>
    </sheetView>
  </sheetViews>
  <sheetFormatPr defaultColWidth="10.875" defaultRowHeight="15.95"/>
  <cols>
    <col min="1" max="1" width="65.125" style="47" bestFit="1" customWidth="1"/>
    <col min="2" max="2" width="14.375" style="47" bestFit="1" customWidth="1"/>
    <col min="3" max="8" width="10.875" style="47"/>
    <col min="9" max="9" width="2.125" style="141" bestFit="1" customWidth="1"/>
    <col min="10" max="10" width="29.125" style="47" bestFit="1" customWidth="1"/>
    <col min="11" max="11" width="12.125" style="47" customWidth="1"/>
    <col min="12" max="15" width="11.5" style="47" bestFit="1" customWidth="1"/>
    <col min="16" max="16" width="10.875" style="47"/>
    <col min="17" max="17" width="5" style="47" customWidth="1"/>
    <col min="18" max="16384" width="10.875" style="47"/>
  </cols>
  <sheetData>
    <row r="1" spans="1:17" ht="17.100000000000001" thickBot="1">
      <c r="A1" s="88">
        <v>1000</v>
      </c>
      <c r="B1" s="57">
        <v>2015</v>
      </c>
      <c r="C1" s="57">
        <v>2016</v>
      </c>
      <c r="D1" s="57">
        <v>2017</v>
      </c>
      <c r="E1" s="57">
        <v>2018</v>
      </c>
      <c r="F1" s="57">
        <v>2019</v>
      </c>
      <c r="G1" s="57">
        <v>2020</v>
      </c>
      <c r="H1" s="69"/>
      <c r="I1" s="196"/>
      <c r="J1" s="88">
        <v>1000</v>
      </c>
      <c r="K1" s="57">
        <v>2015</v>
      </c>
      <c r="L1" s="57">
        <v>2016</v>
      </c>
      <c r="M1" s="57">
        <v>2017</v>
      </c>
      <c r="N1" s="57">
        <v>2018</v>
      </c>
      <c r="O1" s="57">
        <v>2019</v>
      </c>
      <c r="P1" s="57">
        <v>2020</v>
      </c>
      <c r="Q1" s="69"/>
    </row>
    <row r="2" spans="1:17">
      <c r="A2" s="47" t="s">
        <v>0</v>
      </c>
      <c r="B2" s="92">
        <v>13450725</v>
      </c>
      <c r="C2" s="8">
        <v>17269278</v>
      </c>
      <c r="D2" s="8">
        <v>18623515</v>
      </c>
      <c r="E2" s="8">
        <v>19837637</v>
      </c>
      <c r="F2" s="8">
        <v>20426902</v>
      </c>
      <c r="G2" s="8">
        <v>19959652</v>
      </c>
      <c r="H2" s="8"/>
      <c r="I2" s="195"/>
      <c r="J2" s="89" t="s">
        <v>1</v>
      </c>
      <c r="K2" s="91">
        <f t="shared" ref="K2:P2" si="0">B14</f>
        <v>1568461</v>
      </c>
      <c r="L2" s="91">
        <f t="shared" si="0"/>
        <v>4314030</v>
      </c>
      <c r="M2" s="91">
        <f t="shared" si="0"/>
        <v>2000440</v>
      </c>
      <c r="N2" s="91">
        <f t="shared" si="0"/>
        <v>4323474</v>
      </c>
      <c r="O2" s="91">
        <f t="shared" si="0"/>
        <v>2400532</v>
      </c>
      <c r="P2" s="91">
        <f t="shared" si="0"/>
        <v>1122904</v>
      </c>
      <c r="Q2" s="91"/>
    </row>
    <row r="3" spans="1:17">
      <c r="A3" s="47" t="s">
        <v>2</v>
      </c>
      <c r="B3" s="92">
        <v>34206</v>
      </c>
      <c r="C3" s="8">
        <v>457</v>
      </c>
      <c r="D3" s="8">
        <v>-3927</v>
      </c>
      <c r="E3" s="8">
        <v>42341</v>
      </c>
      <c r="F3" s="8">
        <v>27245</v>
      </c>
      <c r="G3" s="8">
        <v>6569</v>
      </c>
      <c r="H3" s="8"/>
      <c r="I3" s="195"/>
      <c r="J3" s="47" t="s">
        <v>3</v>
      </c>
      <c r="K3" s="16">
        <f t="shared" ref="K3:P3" si="1">B19</f>
        <v>-268226</v>
      </c>
      <c r="L3" s="16">
        <f t="shared" si="1"/>
        <v>-926691</v>
      </c>
      <c r="M3" s="16">
        <f t="shared" si="1"/>
        <v>-343984</v>
      </c>
      <c r="N3" s="16">
        <f t="shared" si="1"/>
        <v>-851002</v>
      </c>
      <c r="O3" s="16">
        <f t="shared" si="1"/>
        <v>-495743</v>
      </c>
      <c r="P3" s="16">
        <f t="shared" si="1"/>
        <v>-196974</v>
      </c>
      <c r="Q3" s="16"/>
    </row>
    <row r="4" spans="1:17" ht="17.100000000000001" thickBot="1">
      <c r="A4" s="70" t="s">
        <v>4</v>
      </c>
      <c r="B4" s="66">
        <v>9278374</v>
      </c>
      <c r="C4" s="66">
        <v>10561407</v>
      </c>
      <c r="D4" s="66">
        <v>9916876</v>
      </c>
      <c r="E4" s="66">
        <v>11008753</v>
      </c>
      <c r="F4" s="66">
        <v>11284327</v>
      </c>
      <c r="G4" s="66">
        <v>11344160</v>
      </c>
      <c r="H4" s="66"/>
      <c r="I4" s="195"/>
      <c r="J4" s="95" t="s">
        <v>5</v>
      </c>
      <c r="K4" s="96">
        <f t="shared" ref="K4:N4" si="2">K2+K3</f>
        <v>1300235</v>
      </c>
      <c r="L4" s="96">
        <f t="shared" si="2"/>
        <v>3387339</v>
      </c>
      <c r="M4" s="96">
        <f t="shared" si="2"/>
        <v>1656456</v>
      </c>
      <c r="N4" s="96">
        <f t="shared" si="2"/>
        <v>3472472</v>
      </c>
      <c r="O4" s="96">
        <f>O2+O3</f>
        <v>1904789</v>
      </c>
      <c r="P4" s="96">
        <f t="shared" ref="P4" si="3">P2+P3</f>
        <v>925930</v>
      </c>
      <c r="Q4" s="142"/>
    </row>
    <row r="5" spans="1:17">
      <c r="A5" s="70" t="s">
        <v>6</v>
      </c>
      <c r="B5" s="66">
        <v>-465960</v>
      </c>
      <c r="C5" s="66">
        <v>-296387</v>
      </c>
      <c r="D5" s="66">
        <v>-262665</v>
      </c>
      <c r="E5" s="66">
        <v>-630477</v>
      </c>
      <c r="F5" s="66">
        <v>-101135</v>
      </c>
      <c r="G5" s="66">
        <v>-237156</v>
      </c>
      <c r="H5" s="66"/>
      <c r="I5" s="143"/>
      <c r="J5" s="89"/>
      <c r="K5" s="93"/>
      <c r="L5" s="93"/>
      <c r="M5" s="93"/>
      <c r="N5" s="93"/>
      <c r="O5" s="93"/>
      <c r="P5" s="93"/>
      <c r="Q5" s="93"/>
    </row>
    <row r="6" spans="1:17">
      <c r="A6" s="70" t="s">
        <v>7</v>
      </c>
      <c r="B6" s="66">
        <v>1411024</v>
      </c>
      <c r="C6" s="66">
        <v>1785537</v>
      </c>
      <c r="D6" s="66">
        <v>2438259</v>
      </c>
      <c r="E6" s="66">
        <v>2668829</v>
      </c>
      <c r="F6" s="66">
        <v>2933409</v>
      </c>
      <c r="G6" s="66">
        <v>3072129</v>
      </c>
      <c r="H6" s="66"/>
      <c r="I6" s="143"/>
      <c r="J6" s="90"/>
      <c r="K6" s="91"/>
      <c r="L6" s="91"/>
      <c r="M6" s="91"/>
      <c r="N6" s="91"/>
      <c r="O6" s="91"/>
      <c r="P6" s="91"/>
      <c r="Q6" s="91"/>
    </row>
    <row r="7" spans="1:17">
      <c r="A7" s="70" t="s">
        <v>8</v>
      </c>
      <c r="B7" s="66">
        <v>1447625</v>
      </c>
      <c r="C7" s="66">
        <v>1864088</v>
      </c>
      <c r="D7" s="66">
        <v>2227105</v>
      </c>
      <c r="E7" s="66">
        <v>2604668</v>
      </c>
      <c r="F7" s="66">
        <v>2591271</v>
      </c>
      <c r="G7" s="66">
        <v>2678293</v>
      </c>
      <c r="H7" s="66"/>
      <c r="I7" s="143"/>
      <c r="J7" s="90"/>
      <c r="K7" s="91"/>
      <c r="L7" s="91"/>
      <c r="M7" s="91"/>
      <c r="N7" s="91"/>
      <c r="O7" s="91"/>
      <c r="P7" s="91"/>
      <c r="Q7" s="91"/>
    </row>
    <row r="8" spans="1:17" ht="17.100000000000001" thickBot="1">
      <c r="A8" s="86" t="s">
        <v>9</v>
      </c>
      <c r="B8" s="87">
        <v>1813869</v>
      </c>
      <c r="C8" s="87">
        <v>3355089</v>
      </c>
      <c r="D8" s="87">
        <v>4300013</v>
      </c>
      <c r="E8" s="87">
        <v>4228205</v>
      </c>
      <c r="F8" s="87">
        <v>3746276</v>
      </c>
      <c r="G8" s="87">
        <v>3108795</v>
      </c>
      <c r="H8" s="66"/>
      <c r="I8" s="143"/>
      <c r="J8" s="7"/>
      <c r="K8" s="7"/>
      <c r="L8" s="7"/>
      <c r="M8" s="7"/>
      <c r="N8" s="7"/>
      <c r="O8" s="91"/>
      <c r="P8" s="91"/>
      <c r="Q8" s="91"/>
    </row>
    <row r="9" spans="1:17">
      <c r="A9" s="70"/>
      <c r="B9" s="66"/>
      <c r="C9" s="66"/>
      <c r="D9" s="66"/>
      <c r="E9" s="66"/>
      <c r="F9" s="66"/>
      <c r="G9" s="66"/>
      <c r="H9" s="66"/>
      <c r="I9" s="144"/>
      <c r="J9" s="30"/>
      <c r="K9" s="47">
        <v>2015</v>
      </c>
      <c r="L9" s="47">
        <v>2016</v>
      </c>
      <c r="M9" s="47">
        <v>2017</v>
      </c>
      <c r="N9" s="47">
        <v>2018</v>
      </c>
      <c r="O9" s="47">
        <v>2019</v>
      </c>
      <c r="P9" s="47">
        <v>2020</v>
      </c>
    </row>
    <row r="10" spans="1:17">
      <c r="A10" s="70" t="s">
        <v>10</v>
      </c>
      <c r="B10" s="66">
        <v>433916</v>
      </c>
      <c r="C10" s="66">
        <v>511621</v>
      </c>
      <c r="D10" s="66">
        <v>583265</v>
      </c>
      <c r="E10" s="66">
        <v>659669</v>
      </c>
      <c r="F10" s="66">
        <v>1013141</v>
      </c>
      <c r="G10" s="66">
        <f>31921+458202+667466+1551</f>
        <v>1159140</v>
      </c>
      <c r="H10" s="66"/>
      <c r="I10" s="143"/>
      <c r="J10" s="7" t="s">
        <v>5</v>
      </c>
      <c r="K10" s="16">
        <f>'Income statement'!K4</f>
        <v>1300235</v>
      </c>
      <c r="L10" s="16">
        <f>'Income statement'!L4</f>
        <v>3387339</v>
      </c>
      <c r="M10" s="16">
        <f>'Income statement'!M4</f>
        <v>1656456</v>
      </c>
      <c r="N10" s="16">
        <f>'Income statement'!N4</f>
        <v>3472472</v>
      </c>
      <c r="O10" s="16">
        <f>'Income statement'!O4</f>
        <v>1904789</v>
      </c>
      <c r="P10" s="16">
        <f>'Income statement'!P4</f>
        <v>925930</v>
      </c>
    </row>
    <row r="11" spans="1:17" ht="17.100000000000001" thickBot="1">
      <c r="A11" s="86" t="s">
        <v>11</v>
      </c>
      <c r="B11" s="87">
        <v>1379953</v>
      </c>
      <c r="C11" s="87">
        <v>2843468</v>
      </c>
      <c r="D11" s="87">
        <v>3716749</v>
      </c>
      <c r="E11" s="87">
        <v>3568536</v>
      </c>
      <c r="F11" s="87">
        <v>2734235</v>
      </c>
      <c r="G11" s="87">
        <f>G8-G10</f>
        <v>1949655</v>
      </c>
      <c r="H11" s="66"/>
      <c r="I11" s="143" t="s">
        <v>12</v>
      </c>
      <c r="J11" s="7" t="s">
        <v>13</v>
      </c>
      <c r="K11" s="16">
        <f>B10</f>
        <v>433916</v>
      </c>
      <c r="L11" s="16">
        <f t="shared" ref="L11:P11" si="4">C10</f>
        <v>511621</v>
      </c>
      <c r="M11" s="16">
        <f t="shared" si="4"/>
        <v>583265</v>
      </c>
      <c r="N11" s="16">
        <f t="shared" si="4"/>
        <v>659669</v>
      </c>
      <c r="O11" s="16">
        <f t="shared" si="4"/>
        <v>1013141</v>
      </c>
      <c r="P11" s="16">
        <f t="shared" si="4"/>
        <v>1159140</v>
      </c>
    </row>
    <row r="12" spans="1:17">
      <c r="A12" s="70"/>
      <c r="B12" s="66"/>
      <c r="C12" s="66"/>
      <c r="D12" s="66"/>
      <c r="E12" s="66"/>
      <c r="F12" s="66"/>
      <c r="G12" s="66"/>
      <c r="H12" s="66"/>
      <c r="I12" s="143" t="s">
        <v>14</v>
      </c>
      <c r="J12" s="7" t="s">
        <v>15</v>
      </c>
      <c r="K12" s="149" t="s">
        <v>16</v>
      </c>
      <c r="L12" s="16">
        <f>'Balance sheet'!AE22-'Balance sheet'!AD22</f>
        <v>2032866</v>
      </c>
      <c r="M12" s="16">
        <f>'Balance sheet'!AF22-'Balance sheet'!AE22</f>
        <v>-1596425</v>
      </c>
      <c r="N12" s="16">
        <f>'Balance sheet'!AG22-'Balance sheet'!AF22</f>
        <v>1239448</v>
      </c>
      <c r="O12" s="16">
        <f>'Balance sheet'!AH22-'Balance sheet'!AG22</f>
        <v>-328696</v>
      </c>
      <c r="P12" s="16">
        <f>'Balance sheet'!AI22-'Balance sheet'!AH22</f>
        <v>-737534</v>
      </c>
    </row>
    <row r="13" spans="1:17">
      <c r="A13" s="70" t="s">
        <v>17</v>
      </c>
      <c r="B13" s="66">
        <v>188508</v>
      </c>
      <c r="C13" s="171">
        <v>1470561</v>
      </c>
      <c r="D13" s="171">
        <v>-1716309</v>
      </c>
      <c r="E13" s="66">
        <v>754938</v>
      </c>
      <c r="F13" s="66">
        <v>-333703</v>
      </c>
      <c r="G13" s="66">
        <v>-826751</v>
      </c>
      <c r="H13" s="66"/>
      <c r="I13" s="144" t="s">
        <v>14</v>
      </c>
      <c r="J13" s="7" t="s">
        <v>18</v>
      </c>
      <c r="K13" s="149" t="s">
        <v>16</v>
      </c>
      <c r="L13" s="16">
        <f>'Balance sheet'!V11-'Balance sheet'!U11</f>
        <v>3853314</v>
      </c>
      <c r="M13" s="16">
        <f>'Balance sheet'!W11-'Balance sheet'!V11</f>
        <v>1699840</v>
      </c>
      <c r="N13" s="16">
        <f>'Balance sheet'!X11-'Balance sheet'!W11</f>
        <v>1462200</v>
      </c>
      <c r="O13" s="16">
        <f>'Balance sheet'!Y11-'Balance sheet'!X11</f>
        <v>1888337</v>
      </c>
      <c r="P13" s="16">
        <f>'Balance sheet'!AI11-'Balance sheet'!AH11</f>
        <v>1059510</v>
      </c>
    </row>
    <row r="14" spans="1:17" ht="17.100000000000001" thickBot="1">
      <c r="A14" s="86" t="s">
        <v>19</v>
      </c>
      <c r="B14" s="87">
        <v>1568461</v>
      </c>
      <c r="C14" s="87">
        <v>4314030</v>
      </c>
      <c r="D14" s="87">
        <v>2000440</v>
      </c>
      <c r="E14" s="87">
        <v>4323474</v>
      </c>
      <c r="F14" s="87">
        <v>2400532</v>
      </c>
      <c r="G14" s="87">
        <f>G11+G13</f>
        <v>1122904</v>
      </c>
      <c r="H14" s="167"/>
      <c r="I14" s="145" t="s">
        <v>20</v>
      </c>
      <c r="J14" s="40" t="s">
        <v>21</v>
      </c>
      <c r="K14" s="153" t="s">
        <v>16</v>
      </c>
      <c r="L14" s="83">
        <f t="shared" ref="L14:P14" si="5">L10+L11-L12-L13</f>
        <v>-1987220</v>
      </c>
      <c r="M14" s="83">
        <f t="shared" si="5"/>
        <v>2136306</v>
      </c>
      <c r="N14" s="83">
        <f t="shared" si="5"/>
        <v>1430493</v>
      </c>
      <c r="O14" s="83">
        <f t="shared" si="5"/>
        <v>1358289</v>
      </c>
      <c r="P14" s="83">
        <f t="shared" si="5"/>
        <v>1763094</v>
      </c>
    </row>
    <row r="15" spans="1:17">
      <c r="A15" s="70"/>
      <c r="B15" s="66"/>
      <c r="C15" s="66"/>
      <c r="D15" s="66"/>
      <c r="E15" s="66"/>
      <c r="F15" s="66"/>
      <c r="G15" s="66"/>
      <c r="H15" s="66"/>
      <c r="I15" s="143" t="s">
        <v>12</v>
      </c>
      <c r="J15" s="7" t="s">
        <v>22</v>
      </c>
      <c r="K15" s="16">
        <f>'Balance sheet'!AD38-'Balance sheet'!AC38</f>
        <v>1259948</v>
      </c>
      <c r="L15" s="16">
        <f>'Balance sheet'!AE38-'Balance sheet'!AD38</f>
        <v>1174805</v>
      </c>
      <c r="M15" s="16">
        <f>'Balance sheet'!AF38-'Balance sheet'!AE38</f>
        <v>-903280</v>
      </c>
      <c r="N15" s="16">
        <f>'Balance sheet'!AG38-'Balance sheet'!AF38</f>
        <v>49480</v>
      </c>
      <c r="O15" s="16">
        <f>'Balance sheet'!AH38-'Balance sheet'!AG38</f>
        <v>930626</v>
      </c>
      <c r="P15" s="16">
        <f>'Balance sheet'!AI38-'Balance sheet'!AH38</f>
        <v>452512</v>
      </c>
    </row>
    <row r="16" spans="1:17">
      <c r="A16" s="70" t="s">
        <v>23</v>
      </c>
      <c r="B16" s="66">
        <v>61376</v>
      </c>
      <c r="C16" s="66">
        <v>262783</v>
      </c>
      <c r="D16" s="66">
        <v>302651</v>
      </c>
      <c r="E16" s="66">
        <v>286573</v>
      </c>
      <c r="F16" s="66">
        <v>179749</v>
      </c>
      <c r="G16" s="66">
        <v>105359</v>
      </c>
      <c r="H16" s="66"/>
      <c r="I16" s="143" t="s">
        <v>12</v>
      </c>
      <c r="J16" s="7" t="s">
        <v>24</v>
      </c>
      <c r="K16" s="16">
        <f>'Cash Flow'!B28</f>
        <v>12169</v>
      </c>
      <c r="L16" s="16">
        <f>'Cash Flow'!C28</f>
        <v>18539</v>
      </c>
      <c r="M16" s="16">
        <f>'Cash Flow'!D28</f>
        <v>21391</v>
      </c>
      <c r="N16" s="16">
        <f>'Cash Flow'!E28</f>
        <v>26229</v>
      </c>
      <c r="O16" s="16">
        <f>'Cash Flow'!F28</f>
        <v>37550</v>
      </c>
      <c r="P16" s="16">
        <f>'Cash Flow'!G28</f>
        <v>25550</v>
      </c>
    </row>
    <row r="17" spans="1:17">
      <c r="A17" s="70" t="s">
        <v>25</v>
      </c>
      <c r="B17" s="66">
        <v>-128728</v>
      </c>
      <c r="C17" s="66">
        <v>-131491</v>
      </c>
      <c r="D17" s="66">
        <v>-209623</v>
      </c>
      <c r="E17" s="66">
        <v>-161087</v>
      </c>
      <c r="F17" s="66">
        <v>-214799</v>
      </c>
      <c r="G17" s="66">
        <v>-241378</v>
      </c>
      <c r="H17" s="66"/>
      <c r="I17" s="143" t="s">
        <v>14</v>
      </c>
      <c r="J17" s="7" t="s">
        <v>26</v>
      </c>
      <c r="K17" s="16">
        <f>'Cash Flow'!B29</f>
        <v>11021</v>
      </c>
      <c r="L17" s="16">
        <f>'Cash Flow'!C29</f>
        <v>-9121</v>
      </c>
      <c r="M17" s="16">
        <f>'Cash Flow'!D29</f>
        <v>-46158</v>
      </c>
      <c r="N17" s="16">
        <f>'Cash Flow'!E29</f>
        <v>-13481</v>
      </c>
      <c r="O17" s="16">
        <f>'Cash Flow'!F29</f>
        <v>642</v>
      </c>
      <c r="P17" s="16">
        <f>'Cash Flow'!G29</f>
        <v>-14656</v>
      </c>
    </row>
    <row r="18" spans="1:17">
      <c r="A18" s="169" t="s">
        <v>27</v>
      </c>
      <c r="B18" s="170">
        <v>1501110</v>
      </c>
      <c r="C18" s="170">
        <v>4445321</v>
      </c>
      <c r="D18" s="170">
        <v>2093468</v>
      </c>
      <c r="E18" s="170">
        <v>4448961</v>
      </c>
      <c r="F18" s="170">
        <v>2365482</v>
      </c>
      <c r="G18" s="170">
        <v>986884</v>
      </c>
      <c r="H18" s="168"/>
      <c r="I18" s="146" t="s">
        <v>20</v>
      </c>
      <c r="J18" s="40" t="s">
        <v>28</v>
      </c>
      <c r="K18" s="153" t="s">
        <v>16</v>
      </c>
      <c r="L18" s="83">
        <f t="shared" ref="L18:P18" si="6">SUM(L14:L17)</f>
        <v>-802997</v>
      </c>
      <c r="M18" s="83">
        <f t="shared" si="6"/>
        <v>1208259</v>
      </c>
      <c r="N18" s="83">
        <f t="shared" si="6"/>
        <v>1492721</v>
      </c>
      <c r="O18" s="83">
        <f t="shared" si="6"/>
        <v>2327107</v>
      </c>
      <c r="P18" s="83">
        <f t="shared" si="6"/>
        <v>2226500</v>
      </c>
    </row>
    <row r="19" spans="1:17">
      <c r="A19" s="70" t="s">
        <v>3</v>
      </c>
      <c r="B19" s="66">
        <v>-268226</v>
      </c>
      <c r="C19" s="66">
        <v>-926691</v>
      </c>
      <c r="D19" s="66">
        <v>-343984</v>
      </c>
      <c r="E19" s="66">
        <v>-851002</v>
      </c>
      <c r="F19" s="66">
        <v>-495743</v>
      </c>
      <c r="G19" s="66">
        <v>-196974</v>
      </c>
      <c r="H19" s="66"/>
      <c r="I19" s="143" t="s">
        <v>14</v>
      </c>
      <c r="J19" s="7" t="s">
        <v>29</v>
      </c>
      <c r="K19" s="16">
        <f>-'Cash Flow'!B38</f>
        <v>680325</v>
      </c>
      <c r="L19" s="16">
        <f>-'Cash Flow'!C38</f>
        <v>664828</v>
      </c>
      <c r="M19" s="16">
        <f>-'Cash Flow'!D38</f>
        <v>834151</v>
      </c>
      <c r="N19" s="16">
        <f>-'Cash Flow'!E38</f>
        <v>949516</v>
      </c>
      <c r="O19" s="16">
        <f>-'Cash Flow'!F38</f>
        <v>1272246</v>
      </c>
      <c r="P19" s="16">
        <f>-'Cash Flow'!G38</f>
        <v>924332</v>
      </c>
    </row>
    <row r="20" spans="1:17" ht="17.100000000000001" thickBot="1">
      <c r="A20" s="86" t="s">
        <v>30</v>
      </c>
      <c r="B20" s="87">
        <v>1232883</v>
      </c>
      <c r="C20" s="87">
        <v>3518630</v>
      </c>
      <c r="D20" s="87">
        <v>1749484</v>
      </c>
      <c r="E20" s="87">
        <v>3597959</v>
      </c>
      <c r="F20" s="87">
        <v>1869739</v>
      </c>
      <c r="G20" s="87">
        <v>790209</v>
      </c>
      <c r="H20" s="66"/>
      <c r="I20" s="146" t="s">
        <v>20</v>
      </c>
      <c r="J20" s="40" t="s">
        <v>31</v>
      </c>
      <c r="K20" s="153" t="s">
        <v>16</v>
      </c>
      <c r="L20" s="83">
        <f t="shared" ref="L20:P20" si="7">L18-L19</f>
        <v>-1467825</v>
      </c>
      <c r="M20" s="83">
        <f t="shared" si="7"/>
        <v>374108</v>
      </c>
      <c r="N20" s="83">
        <f t="shared" si="7"/>
        <v>543205</v>
      </c>
      <c r="O20" s="83">
        <f t="shared" si="7"/>
        <v>1054861</v>
      </c>
      <c r="P20" s="83">
        <f t="shared" si="7"/>
        <v>1302168</v>
      </c>
    </row>
    <row r="21" spans="1:17">
      <c r="A21" s="70"/>
      <c r="B21" s="66"/>
      <c r="C21" s="66"/>
      <c r="D21" s="66"/>
      <c r="E21" s="66"/>
      <c r="F21" s="66"/>
      <c r="G21" s="66"/>
      <c r="H21" s="66"/>
      <c r="I21" s="144"/>
      <c r="J21" s="90"/>
      <c r="K21" s="91"/>
      <c r="L21" s="91"/>
      <c r="M21" s="91"/>
      <c r="N21" s="91"/>
      <c r="O21" s="91"/>
      <c r="P21" s="30"/>
      <c r="Q21" s="30"/>
    </row>
    <row r="22" spans="1:17">
      <c r="A22" s="70" t="s">
        <v>32</v>
      </c>
      <c r="B22" s="66">
        <v>1179718</v>
      </c>
      <c r="C22" s="66">
        <v>3224143</v>
      </c>
      <c r="D22" s="66">
        <v>1749494</v>
      </c>
      <c r="E22" s="66">
        <v>3437042</v>
      </c>
      <c r="F22" s="66">
        <v>1857172</v>
      </c>
      <c r="G22" s="66">
        <v>794335</v>
      </c>
      <c r="H22" s="66"/>
      <c r="I22" s="143"/>
      <c r="J22" s="7"/>
      <c r="K22" s="91"/>
      <c r="L22" s="91"/>
      <c r="M22" s="91"/>
      <c r="N22" s="91"/>
      <c r="O22" s="91"/>
      <c r="P22" s="7"/>
      <c r="Q22" s="7"/>
    </row>
    <row r="23" spans="1:17">
      <c r="A23" s="70" t="s">
        <v>33</v>
      </c>
      <c r="B23" s="66">
        <v>53165</v>
      </c>
      <c r="C23" s="66">
        <v>294488</v>
      </c>
      <c r="D23" s="66">
        <v>-11</v>
      </c>
      <c r="E23" s="66">
        <v>160917</v>
      </c>
      <c r="F23" s="66">
        <v>12567</v>
      </c>
      <c r="G23" s="66">
        <v>-4126</v>
      </c>
      <c r="H23" s="66"/>
      <c r="I23" s="143"/>
      <c r="J23" s="7"/>
      <c r="K23" s="91"/>
      <c r="L23" s="91"/>
      <c r="M23" s="91"/>
      <c r="N23" s="91"/>
      <c r="O23" s="91"/>
      <c r="P23" s="7"/>
      <c r="Q23" s="7"/>
    </row>
    <row r="24" spans="1:17">
      <c r="A24" s="70" t="s">
        <v>34</v>
      </c>
      <c r="B24" s="71">
        <v>21.62</v>
      </c>
      <c r="C24" s="71">
        <v>5.65</v>
      </c>
      <c r="D24" s="71">
        <v>2.94</v>
      </c>
      <c r="E24" s="71">
        <v>5.77</v>
      </c>
      <c r="F24" s="71">
        <v>3.12</v>
      </c>
      <c r="G24" s="71">
        <v>1.33</v>
      </c>
      <c r="H24" s="71"/>
      <c r="I24" s="143"/>
      <c r="J24" s="7"/>
      <c r="K24" s="91"/>
      <c r="L24" s="91"/>
      <c r="M24" s="91"/>
      <c r="N24" s="91"/>
      <c r="O24" s="91"/>
      <c r="P24" s="7"/>
      <c r="Q24" s="7"/>
    </row>
    <row r="25" spans="1:17">
      <c r="A25" s="70"/>
      <c r="I25" s="143"/>
      <c r="J25" s="7"/>
      <c r="K25" s="91"/>
      <c r="L25" s="91"/>
      <c r="M25" s="91"/>
      <c r="N25" s="91"/>
      <c r="O25" s="91"/>
      <c r="P25" s="7"/>
      <c r="Q25" s="7"/>
    </row>
    <row r="26" spans="1:17">
      <c r="A26" s="70" t="s">
        <v>35</v>
      </c>
      <c r="B26" s="160">
        <f t="shared" ref="B26:G26" si="8">-B19/B18</f>
        <v>0.17868510635463092</v>
      </c>
      <c r="C26" s="160">
        <f t="shared" si="8"/>
        <v>0.20846436061647741</v>
      </c>
      <c r="D26" s="160">
        <f t="shared" si="8"/>
        <v>0.16431299642507075</v>
      </c>
      <c r="E26" s="160">
        <f t="shared" si="8"/>
        <v>0.19128106539931458</v>
      </c>
      <c r="F26" s="160">
        <f t="shared" si="8"/>
        <v>0.20957377819826994</v>
      </c>
      <c r="G26" s="160">
        <f t="shared" si="8"/>
        <v>0.1995918466608031</v>
      </c>
      <c r="H26" s="71"/>
      <c r="I26" s="144"/>
      <c r="J26" s="30"/>
      <c r="K26" s="94"/>
      <c r="L26" s="94"/>
      <c r="M26" s="94"/>
      <c r="N26" s="94"/>
      <c r="O26" s="94"/>
      <c r="P26" s="30"/>
      <c r="Q26" s="30"/>
    </row>
    <row r="27" spans="1:17">
      <c r="A27" s="70"/>
      <c r="B27" s="66"/>
      <c r="C27" s="66"/>
      <c r="D27" s="66"/>
      <c r="E27" s="66"/>
      <c r="F27" s="66"/>
      <c r="G27" s="66"/>
      <c r="H27" s="66"/>
      <c r="I27" s="143"/>
      <c r="J27" s="156" t="s">
        <v>36</v>
      </c>
      <c r="K27" s="91"/>
      <c r="L27" s="91"/>
      <c r="M27" s="91"/>
      <c r="N27" s="91"/>
      <c r="O27" s="91"/>
      <c r="P27" s="7"/>
      <c r="Q27" s="7"/>
    </row>
    <row r="28" spans="1:17">
      <c r="A28" s="70"/>
      <c r="B28" s="80"/>
      <c r="C28" s="80"/>
      <c r="D28" s="80"/>
      <c r="E28" s="80"/>
      <c r="F28" s="80"/>
      <c r="G28" s="80"/>
      <c r="H28" s="80"/>
      <c r="I28" s="143"/>
      <c r="J28" s="7"/>
      <c r="K28" s="91"/>
      <c r="L28" s="91"/>
      <c r="M28" s="91"/>
      <c r="N28" s="91"/>
      <c r="O28" s="91"/>
      <c r="P28" s="7"/>
      <c r="Q28" s="7"/>
    </row>
    <row r="29" spans="1:17">
      <c r="B29" s="7"/>
      <c r="C29" s="7"/>
      <c r="D29" s="7"/>
      <c r="E29" s="7"/>
      <c r="F29" s="7"/>
      <c r="G29" s="7"/>
      <c r="H29" s="7"/>
      <c r="I29" s="144"/>
      <c r="J29" s="30"/>
      <c r="K29" s="94"/>
      <c r="L29" s="94"/>
      <c r="M29" s="94"/>
      <c r="N29" s="94"/>
      <c r="O29" s="94"/>
      <c r="P29" s="30"/>
      <c r="Q29" s="30"/>
    </row>
    <row r="30" spans="1:17">
      <c r="B30" s="15"/>
      <c r="C30" s="15"/>
      <c r="D30" s="15"/>
      <c r="E30" s="15"/>
      <c r="F30" s="15"/>
      <c r="G30" s="15"/>
      <c r="H30" s="15"/>
      <c r="I30" s="143"/>
      <c r="J30" s="7"/>
      <c r="K30" s="91"/>
      <c r="L30" s="91"/>
      <c r="M30" s="91"/>
      <c r="N30" s="91"/>
      <c r="O30" s="91"/>
      <c r="P30" s="7"/>
      <c r="Q30" s="7"/>
    </row>
    <row r="31" spans="1:17">
      <c r="B31" s="7"/>
      <c r="C31" s="7"/>
      <c r="D31" s="7"/>
      <c r="E31" s="7"/>
      <c r="F31" s="7"/>
      <c r="G31" s="7"/>
      <c r="H31" s="7"/>
      <c r="I31" s="196"/>
      <c r="K31" s="92"/>
      <c r="L31" s="92"/>
      <c r="M31" s="92"/>
      <c r="N31" s="92"/>
      <c r="O31" s="92"/>
    </row>
    <row r="32" spans="1:17">
      <c r="B32" s="7"/>
      <c r="C32" s="7"/>
      <c r="D32" s="7"/>
      <c r="E32" s="7"/>
      <c r="F32" s="7"/>
      <c r="G32" s="7"/>
      <c r="H32" s="7"/>
      <c r="I32" s="196"/>
    </row>
    <row r="33" spans="1:17">
      <c r="E33" s="30"/>
      <c r="F33" s="30"/>
      <c r="G33" s="30"/>
      <c r="H33" s="30"/>
      <c r="I33" s="196"/>
    </row>
    <row r="34" spans="1:17">
      <c r="A34" s="81"/>
      <c r="B34" s="30"/>
      <c r="C34" s="30"/>
      <c r="D34" s="30"/>
      <c r="E34" s="7"/>
      <c r="F34" s="7"/>
      <c r="G34" s="7"/>
      <c r="H34" s="7"/>
      <c r="I34" s="196"/>
    </row>
    <row r="35" spans="1:17">
      <c r="B35" s="7"/>
      <c r="C35" s="7"/>
      <c r="D35" s="7"/>
      <c r="I35" s="196"/>
    </row>
    <row r="36" spans="1:17">
      <c r="B36" s="7"/>
      <c r="C36" s="7"/>
      <c r="D36" s="7"/>
      <c r="I36" s="196"/>
    </row>
    <row r="37" spans="1:17">
      <c r="B37" s="7"/>
      <c r="C37" s="7"/>
      <c r="D37" s="7"/>
      <c r="I37" s="196"/>
    </row>
    <row r="38" spans="1:17">
      <c r="B38" s="7"/>
      <c r="C38" s="7"/>
      <c r="D38" s="7"/>
      <c r="I38" s="196"/>
    </row>
    <row r="39" spans="1:17">
      <c r="B39" s="7"/>
      <c r="C39" s="7"/>
      <c r="D39" s="7"/>
      <c r="I39" s="196"/>
    </row>
    <row r="40" spans="1:17">
      <c r="A40" s="81"/>
      <c r="B40" s="30"/>
      <c r="C40" s="30"/>
      <c r="D40" s="30"/>
      <c r="I40" s="196"/>
    </row>
    <row r="41" spans="1:17">
      <c r="B41" s="7"/>
      <c r="C41" s="7"/>
      <c r="D41" s="7"/>
      <c r="I41" s="143"/>
      <c r="J41" s="7"/>
      <c r="K41" s="7"/>
      <c r="L41" s="7"/>
      <c r="M41" s="7"/>
      <c r="N41" s="7"/>
      <c r="O41" s="7"/>
      <c r="P41" s="7"/>
      <c r="Q41" s="7"/>
    </row>
    <row r="42" spans="1:17" ht="15.95" customHeight="1">
      <c r="A42" s="81"/>
      <c r="B42" s="30"/>
      <c r="C42" s="30"/>
      <c r="D42" s="30"/>
      <c r="I42" s="143"/>
      <c r="J42" s="7"/>
      <c r="K42" s="7"/>
      <c r="L42" s="7"/>
      <c r="M42" s="7"/>
      <c r="N42" s="7"/>
      <c r="O42" s="7"/>
      <c r="P42" s="7"/>
      <c r="Q42" s="7"/>
    </row>
    <row r="43" spans="1:17">
      <c r="B43" s="69"/>
      <c r="C43" s="69"/>
      <c r="D43" s="69"/>
      <c r="I43" s="147"/>
      <c r="J43" s="18"/>
      <c r="K43" s="18"/>
      <c r="L43" s="18"/>
      <c r="M43" s="18"/>
      <c r="N43" s="18"/>
      <c r="O43" s="18"/>
      <c r="P43" s="18"/>
      <c r="Q43" s="18"/>
    </row>
    <row r="44" spans="1:17">
      <c r="B44" s="69"/>
      <c r="C44" s="69"/>
      <c r="D44" s="69"/>
      <c r="I44" s="148"/>
      <c r="J44" s="84"/>
      <c r="K44" s="84"/>
      <c r="L44" s="84"/>
      <c r="M44" s="84"/>
      <c r="N44" s="84"/>
      <c r="O44" s="84"/>
      <c r="P44" s="84"/>
      <c r="Q44" s="84"/>
    </row>
    <row r="45" spans="1:17">
      <c r="B45" s="82"/>
      <c r="C45" s="82"/>
      <c r="D45" s="82"/>
      <c r="E45" s="7"/>
      <c r="F45" s="7"/>
      <c r="G45" s="7"/>
      <c r="H45" s="7"/>
      <c r="I45" s="148"/>
      <c r="J45" s="84"/>
      <c r="K45" s="84"/>
      <c r="L45" s="84"/>
      <c r="M45" s="84"/>
      <c r="N45" s="84"/>
      <c r="O45" s="84"/>
      <c r="P45" s="84"/>
      <c r="Q45" s="84"/>
    </row>
    <row r="46" spans="1:17">
      <c r="A46" s="81"/>
      <c r="B46" s="20"/>
      <c r="C46" s="20"/>
      <c r="D46" s="20"/>
      <c r="E46" s="7"/>
      <c r="F46" s="7"/>
      <c r="G46" s="7"/>
      <c r="H46" s="7"/>
      <c r="I46" s="147"/>
      <c r="J46" s="18"/>
      <c r="K46" s="18"/>
      <c r="L46" s="18"/>
      <c r="M46" s="18"/>
      <c r="N46" s="18"/>
      <c r="O46" s="18"/>
      <c r="P46" s="18"/>
      <c r="Q46" s="18"/>
    </row>
    <row r="47" spans="1:17">
      <c r="A47" s="5"/>
      <c r="B47" s="195"/>
      <c r="C47" s="195"/>
      <c r="D47" s="195"/>
      <c r="E47" s="18"/>
      <c r="F47" s="18"/>
      <c r="G47" s="18"/>
      <c r="H47" s="18"/>
      <c r="I47" s="149"/>
      <c r="J47" s="16"/>
      <c r="K47" s="16"/>
      <c r="L47" s="16"/>
      <c r="M47" s="16"/>
      <c r="N47" s="16"/>
      <c r="O47" s="16"/>
      <c r="P47" s="16"/>
      <c r="Q47" s="16"/>
    </row>
    <row r="48" spans="1:17">
      <c r="B48" s="84"/>
      <c r="C48" s="84"/>
      <c r="D48" s="84"/>
      <c r="E48" s="84"/>
      <c r="F48" s="84"/>
      <c r="G48" s="84"/>
      <c r="H48" s="84"/>
      <c r="I48" s="147"/>
      <c r="J48" s="18"/>
      <c r="K48" s="18"/>
      <c r="L48" s="18"/>
      <c r="M48" s="18"/>
      <c r="N48" s="18"/>
      <c r="O48" s="18"/>
      <c r="P48" s="18"/>
      <c r="Q48" s="18"/>
    </row>
    <row r="49" spans="2:17">
      <c r="B49" s="84"/>
      <c r="C49" s="84"/>
      <c r="D49" s="84"/>
      <c r="E49" s="84"/>
      <c r="F49" s="84"/>
      <c r="G49" s="84"/>
      <c r="H49" s="84"/>
      <c r="I49" s="149"/>
      <c r="J49" s="16"/>
      <c r="K49" s="16"/>
      <c r="L49" s="16"/>
      <c r="M49" s="16"/>
      <c r="N49" s="16"/>
      <c r="O49" s="16"/>
      <c r="P49" s="16"/>
      <c r="Q49" s="16"/>
    </row>
    <row r="50" spans="2:17">
      <c r="B50" s="18"/>
      <c r="C50" s="18"/>
      <c r="D50" s="18"/>
      <c r="E50" s="18"/>
      <c r="F50" s="18"/>
      <c r="G50" s="18"/>
      <c r="H50" s="18"/>
      <c r="I50" s="150"/>
      <c r="J50" s="14"/>
      <c r="K50" s="14"/>
      <c r="L50" s="14"/>
      <c r="M50" s="14"/>
      <c r="N50" s="14"/>
      <c r="O50" s="14"/>
      <c r="P50" s="14"/>
      <c r="Q50" s="14"/>
    </row>
    <row r="51" spans="2:17">
      <c r="B51" s="84"/>
      <c r="C51" s="84"/>
      <c r="D51" s="84"/>
      <c r="E51" s="16"/>
      <c r="F51" s="16"/>
      <c r="G51" s="16"/>
      <c r="H51" s="16"/>
      <c r="I51" s="151"/>
      <c r="J51" s="85"/>
      <c r="K51" s="85"/>
      <c r="L51" s="85"/>
      <c r="M51" s="85"/>
      <c r="N51" s="85"/>
      <c r="O51" s="85"/>
      <c r="P51" s="85"/>
      <c r="Q51" s="85"/>
    </row>
    <row r="52" spans="2:17">
      <c r="B52" s="84"/>
      <c r="C52" s="84"/>
      <c r="D52" s="84"/>
      <c r="E52" s="18"/>
      <c r="F52" s="18"/>
      <c r="G52" s="18"/>
      <c r="H52" s="18"/>
      <c r="I52" s="149"/>
      <c r="J52" s="16"/>
      <c r="K52" s="16"/>
      <c r="L52" s="16"/>
      <c r="M52" s="16"/>
      <c r="N52" s="16"/>
      <c r="O52" s="16"/>
      <c r="P52" s="16"/>
      <c r="Q52" s="16"/>
    </row>
    <row r="53" spans="2:17">
      <c r="B53" s="18"/>
      <c r="C53" s="18"/>
      <c r="D53" s="18"/>
      <c r="E53" s="16"/>
      <c r="F53" s="16"/>
      <c r="G53" s="16"/>
      <c r="H53" s="16"/>
      <c r="I53" s="149"/>
      <c r="J53" s="16"/>
      <c r="K53" s="16"/>
      <c r="L53" s="16"/>
      <c r="M53" s="16"/>
      <c r="N53" s="16"/>
      <c r="O53" s="16"/>
      <c r="P53" s="16"/>
      <c r="Q53" s="16"/>
    </row>
    <row r="54" spans="2:17">
      <c r="C54" s="16"/>
      <c r="D54" s="16"/>
      <c r="E54" s="14"/>
      <c r="F54" s="14"/>
      <c r="G54" s="14"/>
      <c r="H54" s="14"/>
      <c r="I54" s="149"/>
      <c r="J54" s="16"/>
      <c r="K54" s="16"/>
      <c r="L54" s="16"/>
      <c r="M54" s="16"/>
      <c r="N54" s="16"/>
      <c r="O54" s="16"/>
      <c r="P54" s="16"/>
      <c r="Q54" s="16"/>
    </row>
    <row r="55" spans="2:17">
      <c r="C55" s="18"/>
      <c r="D55" s="18"/>
      <c r="E55" s="85"/>
      <c r="F55" s="85"/>
      <c r="G55" s="85"/>
      <c r="H55" s="85"/>
      <c r="I55" s="196"/>
    </row>
    <row r="56" spans="2:17">
      <c r="B56" s="16"/>
      <c r="C56" s="16"/>
      <c r="D56" s="16"/>
      <c r="E56" s="16"/>
      <c r="F56" s="16"/>
      <c r="G56" s="16"/>
      <c r="H56" s="16"/>
      <c r="I56" s="196"/>
    </row>
    <row r="57" spans="2:17">
      <c r="C57" s="14"/>
      <c r="D57" s="14"/>
      <c r="E57" s="16"/>
      <c r="F57" s="16"/>
      <c r="G57" s="16"/>
      <c r="H57" s="16"/>
      <c r="I57" s="196"/>
    </row>
    <row r="58" spans="2:17">
      <c r="B58" s="85"/>
      <c r="C58" s="85"/>
      <c r="D58" s="85"/>
      <c r="E58" s="16"/>
      <c r="F58" s="16"/>
      <c r="G58" s="16"/>
      <c r="H58" s="16"/>
      <c r="I58" s="196"/>
    </row>
    <row r="59" spans="2:17">
      <c r="B59" s="16"/>
      <c r="C59" s="16"/>
      <c r="D59" s="16"/>
      <c r="I59" s="196"/>
    </row>
    <row r="60" spans="2:17">
      <c r="C60" s="16"/>
      <c r="D60" s="16"/>
      <c r="I60" s="196"/>
    </row>
    <row r="61" spans="2:17">
      <c r="B61" s="16"/>
      <c r="C61" s="16"/>
      <c r="D61" s="16"/>
      <c r="I61" s="19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E7DAF-4EEF-5547-BBAF-EFFA772826E3}">
  <dimension ref="A1:AB130"/>
  <sheetViews>
    <sheetView zoomScale="150" workbookViewId="0">
      <selection activeCell="G13" sqref="G13"/>
    </sheetView>
  </sheetViews>
  <sheetFormatPr defaultColWidth="11" defaultRowHeight="15.95"/>
  <cols>
    <col min="1" max="1" width="7.375" bestFit="1" customWidth="1"/>
    <col min="2" max="2" width="5.625" bestFit="1" customWidth="1"/>
    <col min="4" max="4" width="8.125" bestFit="1" customWidth="1"/>
  </cols>
  <sheetData>
    <row r="1" spans="1:28">
      <c r="B1" s="198" t="s">
        <v>255</v>
      </c>
      <c r="C1" s="198"/>
      <c r="D1" s="198" t="s">
        <v>252</v>
      </c>
      <c r="E1" s="198"/>
      <c r="L1" s="198" t="s">
        <v>256</v>
      </c>
      <c r="M1" s="198"/>
      <c r="N1" s="198" t="s">
        <v>252</v>
      </c>
      <c r="O1" s="198"/>
      <c r="V1" s="198" t="s">
        <v>255</v>
      </c>
      <c r="W1" s="198"/>
      <c r="X1" s="198" t="s">
        <v>256</v>
      </c>
      <c r="Y1" s="198"/>
    </row>
    <row r="2" spans="1:28">
      <c r="A2" t="s">
        <v>253</v>
      </c>
      <c r="B2" t="s">
        <v>254</v>
      </c>
      <c r="C2" t="s">
        <v>213</v>
      </c>
      <c r="D2" t="s">
        <v>254</v>
      </c>
      <c r="E2" t="s">
        <v>213</v>
      </c>
      <c r="G2" t="s">
        <v>257</v>
      </c>
      <c r="H2">
        <f>_xlfn.COVARIANCE.S(C3:C129,E3:E129)</f>
        <v>1.5805727144609933E-3</v>
      </c>
      <c r="K2" t="s">
        <v>253</v>
      </c>
      <c r="L2" t="s">
        <v>254</v>
      </c>
      <c r="M2" t="s">
        <v>213</v>
      </c>
      <c r="N2" t="s">
        <v>254</v>
      </c>
      <c r="O2" t="s">
        <v>213</v>
      </c>
      <c r="Q2" t="s">
        <v>257</v>
      </c>
      <c r="R2">
        <f>_xlfn.COVARIANCE.S(M3:M25,O3:O25)</f>
        <v>1.6075761990264109E-3</v>
      </c>
      <c r="U2" t="s">
        <v>253</v>
      </c>
      <c r="V2" t="s">
        <v>254</v>
      </c>
      <c r="W2" t="s">
        <v>213</v>
      </c>
      <c r="X2" t="s">
        <v>254</v>
      </c>
      <c r="Y2" t="s">
        <v>213</v>
      </c>
      <c r="AA2" t="s">
        <v>257</v>
      </c>
      <c r="AB2">
        <f>_xlfn.COVARIANCE.S(W3:W25,Y3:Y25)</f>
        <v>1.2228961631810949E-3</v>
      </c>
    </row>
    <row r="3" spans="1:28">
      <c r="A3" s="129">
        <v>44256</v>
      </c>
      <c r="B3">
        <v>72.540000000000006</v>
      </c>
      <c r="C3">
        <f>LN(B3/B4)</f>
        <v>3.9937816088278129E-2</v>
      </c>
      <c r="D3" s="98">
        <v>1031</v>
      </c>
      <c r="E3">
        <f>LN(D3/D4)</f>
        <v>2.3484080308185645E-2</v>
      </c>
      <c r="G3" t="s">
        <v>258</v>
      </c>
      <c r="H3">
        <f>_xlfn.VAR.S(E3:E62)</f>
        <v>1.790652822533973E-3</v>
      </c>
      <c r="K3" s="129">
        <v>44256</v>
      </c>
      <c r="L3">
        <v>671.39799999999991</v>
      </c>
      <c r="M3">
        <f t="shared" ref="M3:M25" si="0">LN(L3/L4)</f>
        <v>3.057923700784447E-2</v>
      </c>
      <c r="N3" s="98">
        <v>1031</v>
      </c>
      <c r="O3">
        <f>LN(N3/N4)</f>
        <v>2.3484080308185645E-2</v>
      </c>
      <c r="Q3" t="s">
        <v>258</v>
      </c>
      <c r="R3">
        <f>_xlfn.VAR.S(O3:O25)</f>
        <v>3.4361341720398854E-3</v>
      </c>
      <c r="U3" s="129">
        <v>44256</v>
      </c>
      <c r="V3">
        <f>B3</f>
        <v>72.540000000000006</v>
      </c>
      <c r="W3">
        <f>C3</f>
        <v>3.9937816088278129E-2</v>
      </c>
      <c r="X3">
        <v>671.39800000000002</v>
      </c>
      <c r="Y3">
        <f t="shared" ref="Y3:Y25" si="1">LN(X3/X4)</f>
        <v>3.0579237007844685E-2</v>
      </c>
      <c r="AA3" t="s">
        <v>258</v>
      </c>
      <c r="AB3">
        <f>_xlfn.VAR.S(Y3:Y25)</f>
        <v>4.0912597639864347E-3</v>
      </c>
    </row>
    <row r="4" spans="1:28">
      <c r="A4" s="129">
        <v>44228</v>
      </c>
      <c r="B4">
        <v>69.7</v>
      </c>
      <c r="C4">
        <f t="shared" ref="C4:E67" si="2">LN(B4/B5)</f>
        <v>0.14985575554437747</v>
      </c>
      <c r="D4">
        <v>1007.07</v>
      </c>
      <c r="E4">
        <f t="shared" si="2"/>
        <v>4.0705326219272475E-2</v>
      </c>
      <c r="G4" t="s">
        <v>259</v>
      </c>
      <c r="H4">
        <f>H2/H3</f>
        <v>0.88267959850771471</v>
      </c>
      <c r="K4" s="129">
        <v>44228</v>
      </c>
      <c r="L4">
        <v>651.17789473684218</v>
      </c>
      <c r="M4">
        <f t="shared" si="0"/>
        <v>6.0162105595754217E-2</v>
      </c>
      <c r="N4">
        <v>1007.07</v>
      </c>
      <c r="O4">
        <f t="shared" ref="O4" si="3">LN(N4/N5)</f>
        <v>4.0705326219272475E-2</v>
      </c>
      <c r="Q4" t="s">
        <v>259</v>
      </c>
      <c r="R4">
        <f>R2/R3</f>
        <v>0.46784442007747967</v>
      </c>
      <c r="U4" s="129">
        <v>44228</v>
      </c>
      <c r="V4">
        <f t="shared" ref="V4:V26" si="4">B4</f>
        <v>69.7</v>
      </c>
      <c r="W4">
        <f t="shared" ref="W4:W25" si="5">C4</f>
        <v>0.14985575554437747</v>
      </c>
      <c r="X4">
        <v>651.17789473684218</v>
      </c>
      <c r="Y4">
        <f t="shared" si="1"/>
        <v>6.0162105595754217E-2</v>
      </c>
      <c r="AA4" t="s">
        <v>259</v>
      </c>
      <c r="AB4">
        <f>AB2/AB3</f>
        <v>0.29890455109834713</v>
      </c>
    </row>
    <row r="5" spans="1:28">
      <c r="A5" s="129">
        <v>44197</v>
      </c>
      <c r="B5">
        <v>60</v>
      </c>
      <c r="C5">
        <f t="shared" si="2"/>
        <v>-9.290046907092642E-3</v>
      </c>
      <c r="D5">
        <v>966.9</v>
      </c>
      <c r="E5">
        <f t="shared" si="2"/>
        <v>-7.2854248573229795E-3</v>
      </c>
      <c r="K5" s="129">
        <v>44197</v>
      </c>
      <c r="L5">
        <v>613.15684210526308</v>
      </c>
      <c r="M5">
        <f t="shared" si="0"/>
        <v>4.1917301049608842E-2</v>
      </c>
      <c r="N5">
        <v>966.9</v>
      </c>
      <c r="O5">
        <f t="shared" ref="O5" si="6">LN(N5/N6)</f>
        <v>-7.2854248573229795E-3</v>
      </c>
      <c r="U5" s="129">
        <v>44197</v>
      </c>
      <c r="V5">
        <f t="shared" si="4"/>
        <v>60</v>
      </c>
      <c r="W5">
        <f t="shared" si="5"/>
        <v>-9.290046907092642E-3</v>
      </c>
      <c r="X5">
        <v>613.15684210526308</v>
      </c>
      <c r="Y5">
        <f t="shared" si="1"/>
        <v>4.1917301049608842E-2</v>
      </c>
    </row>
    <row r="6" spans="1:28">
      <c r="A6" s="129">
        <v>44166</v>
      </c>
      <c r="B6">
        <v>60.56</v>
      </c>
      <c r="C6">
        <f t="shared" si="2"/>
        <v>8.5451407872656579E-2</v>
      </c>
      <c r="D6">
        <v>973.97</v>
      </c>
      <c r="E6">
        <f t="shared" si="2"/>
        <v>4.5776649265479245E-2</v>
      </c>
      <c r="K6" s="129">
        <v>44166</v>
      </c>
      <c r="L6">
        <v>587.98619047619047</v>
      </c>
      <c r="M6">
        <f t="shared" si="0"/>
        <v>2.3259937280755805E-2</v>
      </c>
      <c r="N6">
        <v>973.97</v>
      </c>
      <c r="O6">
        <f t="shared" ref="O6" si="7">LN(N6/N7)</f>
        <v>4.5776649265479245E-2</v>
      </c>
      <c r="U6" s="129">
        <v>44166</v>
      </c>
      <c r="V6">
        <f t="shared" si="4"/>
        <v>60.56</v>
      </c>
      <c r="W6">
        <f t="shared" si="5"/>
        <v>8.5451407872656579E-2</v>
      </c>
      <c r="X6">
        <v>587.98619047619047</v>
      </c>
      <c r="Y6">
        <f t="shared" si="1"/>
        <v>2.3259937280755805E-2</v>
      </c>
    </row>
    <row r="7" spans="1:28">
      <c r="A7" s="129">
        <v>44136</v>
      </c>
      <c r="B7">
        <v>55.6</v>
      </c>
      <c r="C7">
        <f t="shared" si="2"/>
        <v>0.21508260305257756</v>
      </c>
      <c r="D7">
        <v>930.39</v>
      </c>
      <c r="E7">
        <f t="shared" si="2"/>
        <v>0.13628825904822203</v>
      </c>
      <c r="K7" s="129">
        <v>44136</v>
      </c>
      <c r="L7">
        <v>574.46749999999997</v>
      </c>
      <c r="M7">
        <f t="shared" si="0"/>
        <v>1.9050586103379591E-2</v>
      </c>
      <c r="N7">
        <v>930.39</v>
      </c>
      <c r="O7">
        <f t="shared" ref="O7" si="8">LN(N7/N8)</f>
        <v>0.13628825904822203</v>
      </c>
      <c r="U7" s="129">
        <v>44136</v>
      </c>
      <c r="V7">
        <f t="shared" si="4"/>
        <v>55.6</v>
      </c>
      <c r="W7">
        <f t="shared" si="5"/>
        <v>0.21508260305257756</v>
      </c>
      <c r="X7">
        <v>574.46749999999997</v>
      </c>
      <c r="Y7">
        <f t="shared" si="1"/>
        <v>1.9050586103379591E-2</v>
      </c>
    </row>
    <row r="8" spans="1:28">
      <c r="A8" s="129">
        <v>44105</v>
      </c>
      <c r="B8">
        <v>44.84</v>
      </c>
      <c r="C8">
        <f t="shared" si="2"/>
        <v>-0.17844846987279714</v>
      </c>
      <c r="D8">
        <v>811.85</v>
      </c>
      <c r="E8">
        <f t="shared" si="2"/>
        <v>-5.3059916768692532E-2</v>
      </c>
      <c r="K8" s="129">
        <v>44105</v>
      </c>
      <c r="L8">
        <v>563.62714285714287</v>
      </c>
      <c r="M8">
        <f t="shared" si="0"/>
        <v>-1.9628387105031325E-2</v>
      </c>
      <c r="N8">
        <v>811.85</v>
      </c>
      <c r="O8">
        <f t="shared" ref="O8" si="9">LN(N8/N9)</f>
        <v>-5.3059916768692532E-2</v>
      </c>
      <c r="U8" s="129">
        <v>44105</v>
      </c>
      <c r="V8">
        <f t="shared" si="4"/>
        <v>44.84</v>
      </c>
      <c r="W8">
        <f t="shared" si="5"/>
        <v>-0.17844846987279714</v>
      </c>
      <c r="X8">
        <v>563.62714285714287</v>
      </c>
      <c r="Y8">
        <f t="shared" si="1"/>
        <v>-1.9628387105031325E-2</v>
      </c>
    </row>
    <row r="9" spans="1:28">
      <c r="A9" s="129">
        <v>44075</v>
      </c>
      <c r="B9">
        <v>53.6</v>
      </c>
      <c r="C9">
        <f t="shared" si="2"/>
        <v>-2.9776138425252043E-2</v>
      </c>
      <c r="D9">
        <v>856.09</v>
      </c>
      <c r="E9">
        <f t="shared" si="2"/>
        <v>-3.6960429168501892E-3</v>
      </c>
      <c r="K9" s="129">
        <v>44075</v>
      </c>
      <c r="L9">
        <v>574.79952380952386</v>
      </c>
      <c r="M9">
        <f t="shared" si="0"/>
        <v>-3.2185062889436514E-3</v>
      </c>
      <c r="N9">
        <v>856.09</v>
      </c>
      <c r="O9">
        <f t="shared" ref="O9" si="10">LN(N9/N10)</f>
        <v>-3.6960429168501892E-3</v>
      </c>
      <c r="U9" s="129">
        <v>44075</v>
      </c>
      <c r="V9">
        <f t="shared" si="4"/>
        <v>53.6</v>
      </c>
      <c r="W9">
        <f t="shared" si="5"/>
        <v>-2.9776138425252043E-2</v>
      </c>
      <c r="X9">
        <v>574.79952380952386</v>
      </c>
      <c r="Y9">
        <f t="shared" si="1"/>
        <v>-3.2185062889436514E-3</v>
      </c>
    </row>
    <row r="10" spans="1:28">
      <c r="A10" s="129">
        <v>44044</v>
      </c>
      <c r="B10">
        <v>55.22</v>
      </c>
      <c r="C10">
        <f t="shared" si="2"/>
        <v>4.5571878652894512E-2</v>
      </c>
      <c r="D10">
        <v>859.26</v>
      </c>
      <c r="E10">
        <f t="shared" si="2"/>
        <v>3.9198368594599277E-2</v>
      </c>
      <c r="K10" s="129">
        <v>44044</v>
      </c>
      <c r="L10">
        <v>576.65249999999992</v>
      </c>
      <c r="M10">
        <f t="shared" si="0"/>
        <v>3.4170394131524166E-2</v>
      </c>
      <c r="N10">
        <v>859.26</v>
      </c>
      <c r="O10">
        <f t="shared" ref="O10" si="11">LN(N10/N11)</f>
        <v>3.9198368594599277E-2</v>
      </c>
      <c r="U10" s="129">
        <v>44044</v>
      </c>
      <c r="V10">
        <f t="shared" si="4"/>
        <v>55.22</v>
      </c>
      <c r="W10">
        <f t="shared" si="5"/>
        <v>4.5571878652894512E-2</v>
      </c>
      <c r="X10">
        <v>576.65249999999992</v>
      </c>
      <c r="Y10">
        <f t="shared" si="1"/>
        <v>3.4170394131524166E-2</v>
      </c>
    </row>
    <row r="11" spans="1:28">
      <c r="A11" s="129">
        <v>44013</v>
      </c>
      <c r="B11">
        <v>52.76</v>
      </c>
      <c r="C11">
        <f t="shared" si="2"/>
        <v>-9.0543166735456954E-2</v>
      </c>
      <c r="D11">
        <v>826.23</v>
      </c>
      <c r="E11">
        <f t="shared" si="2"/>
        <v>3.8254379192548697E-2</v>
      </c>
      <c r="K11" s="129">
        <v>44013</v>
      </c>
      <c r="L11">
        <v>557.28090909090906</v>
      </c>
      <c r="M11">
        <f t="shared" si="0"/>
        <v>-4.8612492329628651E-2</v>
      </c>
      <c r="N11">
        <v>826.23</v>
      </c>
      <c r="O11">
        <f t="shared" ref="O11" si="12">LN(N11/N12)</f>
        <v>3.8254379192548697E-2</v>
      </c>
      <c r="U11" s="129">
        <v>44013</v>
      </c>
      <c r="V11">
        <f t="shared" si="4"/>
        <v>52.76</v>
      </c>
      <c r="W11">
        <f t="shared" si="5"/>
        <v>-9.0543166735456954E-2</v>
      </c>
      <c r="X11">
        <v>557.28090909090906</v>
      </c>
      <c r="Y11">
        <f t="shared" si="1"/>
        <v>-4.8612492329628651E-2</v>
      </c>
    </row>
    <row r="12" spans="1:28">
      <c r="A12" s="129">
        <v>43983</v>
      </c>
      <c r="B12">
        <v>57.76</v>
      </c>
      <c r="C12">
        <f t="shared" si="2"/>
        <v>5.7362117167128239E-2</v>
      </c>
      <c r="D12">
        <v>795.22</v>
      </c>
      <c r="E12">
        <f t="shared" si="2"/>
        <v>-1.9472490276589234E-3</v>
      </c>
      <c r="K12" s="129">
        <v>43983</v>
      </c>
      <c r="L12">
        <v>585.04099999999994</v>
      </c>
      <c r="M12">
        <f t="shared" si="0"/>
        <v>2.6133292563282132E-2</v>
      </c>
      <c r="N12">
        <v>795.22</v>
      </c>
      <c r="O12">
        <f t="shared" ref="O12" si="13">LN(N12/N13)</f>
        <v>-1.9472490276589234E-3</v>
      </c>
      <c r="U12" s="129">
        <v>43983</v>
      </c>
      <c r="V12">
        <f t="shared" si="4"/>
        <v>57.76</v>
      </c>
      <c r="W12">
        <f t="shared" si="5"/>
        <v>5.7362117167128239E-2</v>
      </c>
      <c r="X12">
        <v>585.04099999999994</v>
      </c>
      <c r="Y12">
        <f t="shared" si="1"/>
        <v>2.6133292563282132E-2</v>
      </c>
    </row>
    <row r="13" spans="1:28">
      <c r="A13" s="129">
        <v>43952</v>
      </c>
      <c r="B13">
        <v>54.54</v>
      </c>
      <c r="C13">
        <f t="shared" si="2"/>
        <v>2.2026440623420965E-3</v>
      </c>
      <c r="D13">
        <v>796.77</v>
      </c>
      <c r="E13">
        <f t="shared" si="2"/>
        <v>2.7561100193846843E-2</v>
      </c>
      <c r="K13" s="129">
        <v>43952</v>
      </c>
      <c r="L13">
        <v>569.95000000000016</v>
      </c>
      <c r="M13">
        <f t="shared" si="0"/>
        <v>5.4572266369447814E-2</v>
      </c>
      <c r="N13">
        <v>796.77</v>
      </c>
      <c r="O13">
        <f t="shared" ref="O13" si="14">LN(N13/N14)</f>
        <v>2.7561100193846843E-2</v>
      </c>
      <c r="U13" s="129">
        <v>43952</v>
      </c>
      <c r="V13">
        <f t="shared" si="4"/>
        <v>54.54</v>
      </c>
      <c r="W13">
        <f t="shared" si="5"/>
        <v>2.2026440623420965E-3</v>
      </c>
      <c r="X13">
        <v>569.95000000000016</v>
      </c>
      <c r="Y13">
        <f t="shared" si="1"/>
        <v>5.4572266369447814E-2</v>
      </c>
    </row>
    <row r="14" spans="1:28">
      <c r="A14" s="129">
        <v>43922</v>
      </c>
      <c r="B14">
        <v>54.42</v>
      </c>
      <c r="C14">
        <f t="shared" si="2"/>
        <v>6.2164763492059724E-2</v>
      </c>
      <c r="D14">
        <v>775.11</v>
      </c>
      <c r="E14">
        <f t="shared" si="2"/>
        <v>9.1790430241380658E-2</v>
      </c>
      <c r="K14" s="129">
        <v>43922</v>
      </c>
      <c r="L14">
        <v>539.67999999999995</v>
      </c>
      <c r="M14">
        <f t="shared" si="0"/>
        <v>-7.6118439728052958E-4</v>
      </c>
      <c r="N14">
        <v>775.11</v>
      </c>
      <c r="O14">
        <f t="shared" ref="O14" si="15">LN(N14/N15)</f>
        <v>9.1790430241380658E-2</v>
      </c>
      <c r="U14" s="129">
        <v>43922</v>
      </c>
      <c r="V14">
        <f t="shared" si="4"/>
        <v>54.42</v>
      </c>
      <c r="W14">
        <f t="shared" si="5"/>
        <v>6.2164763492059724E-2</v>
      </c>
      <c r="X14">
        <v>539.67999999999995</v>
      </c>
      <c r="Y14">
        <f t="shared" si="1"/>
        <v>-7.6118439728052958E-4</v>
      </c>
    </row>
    <row r="15" spans="1:28">
      <c r="A15" s="129">
        <v>43891</v>
      </c>
      <c r="B15">
        <v>51.14</v>
      </c>
      <c r="C15">
        <f t="shared" si="2"/>
        <v>-0.1158257048298774</v>
      </c>
      <c r="D15">
        <v>707.13</v>
      </c>
      <c r="E15">
        <f t="shared" si="2"/>
        <v>-0.16052438022526128</v>
      </c>
      <c r="K15" s="129">
        <v>43891</v>
      </c>
      <c r="L15">
        <v>540.09095238095233</v>
      </c>
      <c r="M15">
        <f t="shared" si="0"/>
        <v>-0.17553855740488636</v>
      </c>
      <c r="N15">
        <v>707.13</v>
      </c>
      <c r="O15">
        <f t="shared" ref="O15" si="16">LN(N15/N16)</f>
        <v>-0.16052438022526128</v>
      </c>
      <c r="U15" s="129">
        <v>43891</v>
      </c>
      <c r="V15">
        <f t="shared" si="4"/>
        <v>51.14</v>
      </c>
      <c r="W15">
        <f t="shared" si="5"/>
        <v>-0.1158257048298774</v>
      </c>
      <c r="X15">
        <v>540.09095238095233</v>
      </c>
      <c r="Y15">
        <f t="shared" si="1"/>
        <v>-0.17553855740488636</v>
      </c>
    </row>
    <row r="16" spans="1:28">
      <c r="A16" s="129">
        <v>43862</v>
      </c>
      <c r="B16">
        <v>57.42</v>
      </c>
      <c r="C16">
        <f t="shared" si="2"/>
        <v>-4.1281658973303992E-2</v>
      </c>
      <c r="D16">
        <v>830.26</v>
      </c>
      <c r="E16">
        <f t="shared" si="2"/>
        <v>-9.5883767633717976E-2</v>
      </c>
      <c r="K16" s="129">
        <v>43862</v>
      </c>
      <c r="L16">
        <v>643.7278947368419</v>
      </c>
      <c r="M16">
        <f t="shared" si="0"/>
        <v>-1.2894791983469951E-2</v>
      </c>
      <c r="N16">
        <v>830.26</v>
      </c>
      <c r="O16">
        <f t="shared" ref="O16" si="17">LN(N16/N17)</f>
        <v>-9.5883767633717976E-2</v>
      </c>
      <c r="U16" s="129">
        <v>43862</v>
      </c>
      <c r="V16">
        <f t="shared" si="4"/>
        <v>57.42</v>
      </c>
      <c r="W16">
        <f t="shared" si="5"/>
        <v>-4.1281658973303992E-2</v>
      </c>
      <c r="X16">
        <v>643.7278947368419</v>
      </c>
      <c r="Y16">
        <f t="shared" si="1"/>
        <v>-1.2894791983469951E-2</v>
      </c>
    </row>
    <row r="17" spans="1:25">
      <c r="A17" s="129">
        <v>43831</v>
      </c>
      <c r="B17">
        <v>59.84</v>
      </c>
      <c r="C17">
        <f t="shared" si="2"/>
        <v>2.607224030977532E-2</v>
      </c>
      <c r="D17">
        <v>913.81</v>
      </c>
      <c r="E17">
        <f t="shared" si="2"/>
        <v>-1.9119839352788832E-2</v>
      </c>
      <c r="K17" s="129">
        <v>43831</v>
      </c>
      <c r="L17">
        <v>652.08238095238107</v>
      </c>
      <c r="M17">
        <f t="shared" si="0"/>
        <v>4.457277251700037E-2</v>
      </c>
      <c r="N17">
        <v>913.81</v>
      </c>
      <c r="O17">
        <f t="shared" ref="O17" si="18">LN(N17/N18)</f>
        <v>-1.9119839352788832E-2</v>
      </c>
      <c r="U17" s="129">
        <v>43831</v>
      </c>
      <c r="V17">
        <f t="shared" si="4"/>
        <v>59.84</v>
      </c>
      <c r="W17">
        <f t="shared" si="5"/>
        <v>2.607224030977532E-2</v>
      </c>
      <c r="X17">
        <v>652.08238095238107</v>
      </c>
      <c r="Y17">
        <f t="shared" si="1"/>
        <v>4.457277251700037E-2</v>
      </c>
    </row>
    <row r="18" spans="1:25">
      <c r="A18" s="129">
        <v>43800</v>
      </c>
      <c r="B18">
        <v>58.3</v>
      </c>
      <c r="C18">
        <f t="shared" si="2"/>
        <v>0</v>
      </c>
      <c r="D18">
        <v>931.45</v>
      </c>
      <c r="E18">
        <f t="shared" si="2"/>
        <v>3.1629224725460189E-2</v>
      </c>
      <c r="K18" s="129">
        <v>43800</v>
      </c>
      <c r="L18">
        <v>623.65549999999996</v>
      </c>
      <c r="M18">
        <f t="shared" si="0"/>
        <v>3.211876153923636E-2</v>
      </c>
      <c r="N18">
        <v>931.45</v>
      </c>
      <c r="O18">
        <f t="shared" ref="O18" si="19">LN(N18/N19)</f>
        <v>3.1629224725460189E-2</v>
      </c>
      <c r="U18" s="129">
        <v>43800</v>
      </c>
      <c r="V18">
        <f t="shared" si="4"/>
        <v>58.3</v>
      </c>
      <c r="W18">
        <f t="shared" si="5"/>
        <v>0</v>
      </c>
      <c r="X18">
        <v>623.65549999999996</v>
      </c>
      <c r="Y18">
        <f t="shared" si="1"/>
        <v>3.211876153923636E-2</v>
      </c>
    </row>
    <row r="19" spans="1:25">
      <c r="A19" s="129">
        <v>43770</v>
      </c>
      <c r="B19">
        <v>58.3</v>
      </c>
      <c r="C19">
        <f t="shared" si="2"/>
        <v>-5.5708917095468366E-2</v>
      </c>
      <c r="D19">
        <v>902.45</v>
      </c>
      <c r="E19">
        <f t="shared" si="2"/>
        <v>4.8875409707866422E-3</v>
      </c>
      <c r="K19" s="129">
        <v>43770</v>
      </c>
      <c r="L19">
        <v>603.94272727272721</v>
      </c>
      <c r="M19">
        <f t="shared" si="0"/>
        <v>0.13860081933847512</v>
      </c>
      <c r="N19">
        <v>902.45</v>
      </c>
      <c r="O19">
        <f t="shared" ref="O19" si="20">LN(N19/N20)</f>
        <v>4.8875409707866422E-3</v>
      </c>
      <c r="U19" s="129">
        <v>43770</v>
      </c>
      <c r="V19">
        <f t="shared" si="4"/>
        <v>58.3</v>
      </c>
      <c r="W19">
        <f t="shared" si="5"/>
        <v>-5.5708917095468366E-2</v>
      </c>
      <c r="X19">
        <v>603.94272727272721</v>
      </c>
      <c r="Y19">
        <f t="shared" si="1"/>
        <v>0.13860081933847512</v>
      </c>
    </row>
    <row r="20" spans="1:25">
      <c r="A20" s="129">
        <v>43739</v>
      </c>
      <c r="B20">
        <v>61.64</v>
      </c>
      <c r="C20">
        <f t="shared" si="2"/>
        <v>0.10926169095664456</v>
      </c>
      <c r="D20">
        <v>898.05</v>
      </c>
      <c r="E20">
        <f t="shared" si="2"/>
        <v>1.2831823728517447E-2</v>
      </c>
      <c r="K20" s="129">
        <v>43739</v>
      </c>
      <c r="L20">
        <v>525.77772727272736</v>
      </c>
      <c r="M20">
        <f t="shared" si="0"/>
        <v>-0.13776885296726737</v>
      </c>
      <c r="N20">
        <v>898.05</v>
      </c>
      <c r="O20">
        <f t="shared" ref="O20" si="21">LN(N20/N21)</f>
        <v>1.2831823728517447E-2</v>
      </c>
      <c r="U20" s="129">
        <v>43739</v>
      </c>
      <c r="V20">
        <f t="shared" si="4"/>
        <v>61.64</v>
      </c>
      <c r="W20">
        <f t="shared" si="5"/>
        <v>0.10926169095664456</v>
      </c>
      <c r="X20">
        <v>525.77772727272736</v>
      </c>
      <c r="Y20">
        <f t="shared" si="1"/>
        <v>-0.13776885296726737</v>
      </c>
    </row>
    <row r="21" spans="1:25">
      <c r="A21" s="129">
        <v>43709</v>
      </c>
      <c r="B21">
        <v>55.26</v>
      </c>
      <c r="C21">
        <f t="shared" si="2"/>
        <v>-7.8287221329291445E-2</v>
      </c>
      <c r="D21">
        <v>886.6</v>
      </c>
      <c r="E21">
        <f t="shared" si="2"/>
        <v>2.8962656939663951E-2</v>
      </c>
      <c r="K21" s="129">
        <v>43709</v>
      </c>
      <c r="L21">
        <v>603.44047619047615</v>
      </c>
      <c r="M21">
        <f t="shared" si="0"/>
        <v>4.0963373819455648E-3</v>
      </c>
      <c r="N21">
        <v>886.6</v>
      </c>
      <c r="O21">
        <f t="shared" ref="O21" si="22">LN(N21/N22)</f>
        <v>2.8962656939663951E-2</v>
      </c>
      <c r="U21" s="129">
        <v>43709</v>
      </c>
      <c r="V21">
        <f t="shared" si="4"/>
        <v>55.26</v>
      </c>
      <c r="W21">
        <f t="shared" si="5"/>
        <v>-7.8287221329291445E-2</v>
      </c>
      <c r="X21">
        <v>603.44047619047615</v>
      </c>
      <c r="Y21">
        <f t="shared" si="1"/>
        <v>4.0963373819455648E-3</v>
      </c>
    </row>
    <row r="22" spans="1:25">
      <c r="A22" s="129">
        <v>43678</v>
      </c>
      <c r="B22">
        <v>59.76</v>
      </c>
      <c r="C22">
        <f t="shared" si="2"/>
        <v>6.4984850089412655E-2</v>
      </c>
      <c r="D22">
        <v>861.29</v>
      </c>
      <c r="E22">
        <f t="shared" si="2"/>
        <v>2.4993764573194243E-3</v>
      </c>
      <c r="K22" s="129">
        <v>43678</v>
      </c>
      <c r="L22">
        <v>600.97363636363627</v>
      </c>
      <c r="M22">
        <f t="shared" si="0"/>
        <v>6.5951559860517969E-2</v>
      </c>
      <c r="N22">
        <v>861.29</v>
      </c>
      <c r="O22">
        <f t="shared" ref="O22" si="23">LN(N22/N23)</f>
        <v>2.4993764573194243E-3</v>
      </c>
      <c r="U22" s="129">
        <v>43678</v>
      </c>
      <c r="V22">
        <f t="shared" si="4"/>
        <v>59.76</v>
      </c>
      <c r="W22">
        <f t="shared" si="5"/>
        <v>6.4984850089412655E-2</v>
      </c>
      <c r="X22">
        <v>600.97363636363627</v>
      </c>
      <c r="Y22">
        <f t="shared" si="1"/>
        <v>6.5951559860517969E-2</v>
      </c>
    </row>
    <row r="23" spans="1:25">
      <c r="A23" s="129">
        <v>43647</v>
      </c>
      <c r="B23">
        <v>56</v>
      </c>
      <c r="C23">
        <f t="shared" si="2"/>
        <v>-7.8264362494639608E-3</v>
      </c>
      <c r="D23">
        <v>859.14</v>
      </c>
      <c r="E23">
        <f t="shared" si="2"/>
        <v>-6.3697808438966403E-3</v>
      </c>
      <c r="K23" s="129">
        <v>43647</v>
      </c>
      <c r="L23">
        <v>562.61722222222215</v>
      </c>
      <c r="M23">
        <f t="shared" si="0"/>
        <v>4.5443096584618968E-3</v>
      </c>
      <c r="N23">
        <v>859.14</v>
      </c>
      <c r="O23">
        <f t="shared" ref="O23" si="24">LN(N23/N24)</f>
        <v>-6.3697808438966403E-3</v>
      </c>
      <c r="U23" s="129">
        <v>43647</v>
      </c>
      <c r="V23">
        <f t="shared" si="4"/>
        <v>56</v>
      </c>
      <c r="W23">
        <f t="shared" si="5"/>
        <v>-7.8264362494639608E-3</v>
      </c>
      <c r="X23">
        <v>562.61722222222215</v>
      </c>
      <c r="Y23">
        <f t="shared" si="1"/>
        <v>4.5443096584618968E-3</v>
      </c>
    </row>
    <row r="24" spans="1:25">
      <c r="A24" s="129">
        <v>43617</v>
      </c>
      <c r="B24">
        <v>56.44</v>
      </c>
      <c r="C24">
        <f t="shared" si="2"/>
        <v>-6.1166435237487445E-2</v>
      </c>
      <c r="D24">
        <v>864.63</v>
      </c>
      <c r="E24">
        <f t="shared" si="2"/>
        <v>1.4609514704591185E-2</v>
      </c>
      <c r="K24" s="129">
        <v>43617</v>
      </c>
      <c r="L24">
        <v>560.06631578947361</v>
      </c>
      <c r="M24">
        <f t="shared" si="0"/>
        <v>1.9654231696354892E-2</v>
      </c>
      <c r="N24">
        <v>864.63</v>
      </c>
      <c r="O24">
        <f t="shared" ref="O24" si="25">LN(N24/N25)</f>
        <v>1.4609514704591185E-2</v>
      </c>
      <c r="U24" s="129">
        <v>43617</v>
      </c>
      <c r="V24">
        <f t="shared" si="4"/>
        <v>56.44</v>
      </c>
      <c r="W24">
        <f t="shared" si="5"/>
        <v>-6.1166435237487445E-2</v>
      </c>
      <c r="X24">
        <v>560.06631578947361</v>
      </c>
      <c r="Y24">
        <f t="shared" si="1"/>
        <v>1.9654231696354892E-2</v>
      </c>
    </row>
    <row r="25" spans="1:25">
      <c r="A25" s="129">
        <v>43586</v>
      </c>
      <c r="B25">
        <v>60</v>
      </c>
      <c r="C25">
        <f t="shared" si="2"/>
        <v>-3.8258712117090428E-2</v>
      </c>
      <c r="D25">
        <v>852.09</v>
      </c>
      <c r="E25">
        <f t="shared" si="2"/>
        <v>-3.3263309024377512E-2</v>
      </c>
      <c r="K25" s="129">
        <v>43586</v>
      </c>
      <c r="L25">
        <v>549.16611111111104</v>
      </c>
      <c r="M25">
        <f t="shared" si="0"/>
        <v>1.8140089326058657E-2</v>
      </c>
      <c r="N25">
        <v>852.09</v>
      </c>
      <c r="O25">
        <f t="shared" ref="O25" si="26">LN(N25/N26)</f>
        <v>-3.3263309024377512E-2</v>
      </c>
      <c r="U25" s="129">
        <v>43586</v>
      </c>
      <c r="V25">
        <f t="shared" si="4"/>
        <v>60</v>
      </c>
      <c r="W25">
        <f t="shared" si="5"/>
        <v>-3.8258712117090428E-2</v>
      </c>
      <c r="X25">
        <v>549.16611111111104</v>
      </c>
      <c r="Y25">
        <f t="shared" si="1"/>
        <v>1.8140089326058657E-2</v>
      </c>
    </row>
    <row r="26" spans="1:25">
      <c r="A26" s="129">
        <v>43556</v>
      </c>
      <c r="B26">
        <v>62.34</v>
      </c>
      <c r="C26">
        <f t="shared" si="2"/>
        <v>-3.5228218978645785E-3</v>
      </c>
      <c r="D26">
        <v>880.91</v>
      </c>
      <c r="E26">
        <f t="shared" si="2"/>
        <v>2.0413318776186701E-2</v>
      </c>
      <c r="K26" s="129">
        <v>43556</v>
      </c>
      <c r="L26">
        <v>539.29399999999998</v>
      </c>
      <c r="N26">
        <v>880.91</v>
      </c>
      <c r="U26" s="129">
        <v>43556</v>
      </c>
      <c r="V26">
        <f t="shared" si="4"/>
        <v>62.34</v>
      </c>
      <c r="X26">
        <v>539.29399999999998</v>
      </c>
    </row>
    <row r="27" spans="1:25">
      <c r="A27" s="129">
        <v>43525</v>
      </c>
      <c r="B27">
        <v>62.56</v>
      </c>
      <c r="C27">
        <f t="shared" si="2"/>
        <v>-3.0539127564671132E-2</v>
      </c>
      <c r="D27">
        <v>863.11</v>
      </c>
      <c r="E27">
        <f t="shared" si="2"/>
        <v>-2.5110086730237139E-3</v>
      </c>
      <c r="K27" s="129"/>
      <c r="U27" s="129"/>
    </row>
    <row r="28" spans="1:25">
      <c r="A28" s="129">
        <v>43497</v>
      </c>
      <c r="B28">
        <v>64.5</v>
      </c>
      <c r="C28">
        <f t="shared" si="2"/>
        <v>-4.0114767750162046E-2</v>
      </c>
      <c r="D28">
        <v>865.28</v>
      </c>
      <c r="E28">
        <f t="shared" si="2"/>
        <v>3.5250240537612311E-2</v>
      </c>
      <c r="K28" s="129"/>
      <c r="U28" s="129"/>
    </row>
    <row r="29" spans="1:25">
      <c r="A29" s="129">
        <v>43466</v>
      </c>
      <c r="B29">
        <v>67.14</v>
      </c>
      <c r="C29">
        <f t="shared" si="2"/>
        <v>1.8034753908304023E-2</v>
      </c>
      <c r="D29">
        <v>835.31</v>
      </c>
      <c r="E29">
        <f t="shared" si="2"/>
        <v>4.3866413684017863E-2</v>
      </c>
      <c r="K29" s="129"/>
      <c r="U29" s="129"/>
    </row>
    <row r="30" spans="1:25">
      <c r="A30" s="129">
        <v>43435</v>
      </c>
      <c r="B30">
        <v>65.94</v>
      </c>
      <c r="C30">
        <f t="shared" si="2"/>
        <v>-0.10335668950230965</v>
      </c>
      <c r="D30">
        <v>799.46</v>
      </c>
      <c r="E30">
        <f t="shared" si="2"/>
        <v>-7.413477560136153E-2</v>
      </c>
      <c r="K30" s="129"/>
      <c r="U30" s="129"/>
    </row>
    <row r="31" spans="1:25">
      <c r="A31" s="129">
        <v>43405</v>
      </c>
      <c r="B31">
        <v>73.12</v>
      </c>
      <c r="C31">
        <f t="shared" si="2"/>
        <v>-6.0495896837174885E-2</v>
      </c>
      <c r="D31">
        <v>860.98</v>
      </c>
      <c r="E31">
        <f t="shared" si="2"/>
        <v>-3.2768091910879898E-2</v>
      </c>
      <c r="K31" s="129"/>
      <c r="U31" s="129"/>
    </row>
    <row r="32" spans="1:25">
      <c r="A32" s="129">
        <v>43374</v>
      </c>
      <c r="B32">
        <v>77.680000000000007</v>
      </c>
      <c r="C32">
        <f t="shared" si="2"/>
        <v>0.15659960803446898</v>
      </c>
      <c r="D32">
        <v>889.66</v>
      </c>
      <c r="E32">
        <f t="shared" si="2"/>
        <v>-5.3187728833385961E-2</v>
      </c>
      <c r="K32" s="129"/>
      <c r="U32" s="129"/>
    </row>
    <row r="33" spans="1:21">
      <c r="A33" s="129">
        <v>43344</v>
      </c>
      <c r="B33">
        <v>66.42</v>
      </c>
      <c r="C33">
        <f t="shared" si="2"/>
        <v>3.8991892601788897E-2</v>
      </c>
      <c r="D33">
        <v>938.26</v>
      </c>
      <c r="E33">
        <f t="shared" si="2"/>
        <v>3.422649051358307E-2</v>
      </c>
      <c r="K33" s="129"/>
      <c r="U33" s="129"/>
    </row>
    <row r="34" spans="1:21">
      <c r="A34" s="129">
        <v>43313</v>
      </c>
      <c r="B34">
        <v>63.88</v>
      </c>
      <c r="C34">
        <f t="shared" si="2"/>
        <v>-4.3736402114472927E-3</v>
      </c>
      <c r="D34">
        <v>906.69</v>
      </c>
      <c r="E34">
        <f t="shared" si="2"/>
        <v>1.1413863658132122E-2</v>
      </c>
      <c r="K34" s="129"/>
      <c r="U34" s="129"/>
    </row>
    <row r="35" spans="1:21">
      <c r="A35" s="129">
        <v>43282</v>
      </c>
      <c r="B35">
        <v>64.16</v>
      </c>
      <c r="C35">
        <f t="shared" si="2"/>
        <v>0.15623098014062922</v>
      </c>
      <c r="D35">
        <v>896.4</v>
      </c>
      <c r="E35">
        <f t="shared" si="2"/>
        <v>1.9442585024131109E-2</v>
      </c>
      <c r="K35" s="129"/>
      <c r="U35" s="129"/>
    </row>
    <row r="36" spans="1:21">
      <c r="A36" s="129">
        <v>43252</v>
      </c>
      <c r="B36">
        <v>54.88</v>
      </c>
      <c r="C36">
        <f t="shared" si="2"/>
        <v>1.17303397854896E-2</v>
      </c>
      <c r="D36">
        <v>879.14</v>
      </c>
      <c r="E36">
        <f t="shared" si="2"/>
        <v>4.1261613485645493E-3</v>
      </c>
      <c r="K36" s="129"/>
      <c r="U36" s="129"/>
    </row>
    <row r="37" spans="1:21">
      <c r="A37" s="129">
        <v>43221</v>
      </c>
      <c r="B37">
        <v>54.24</v>
      </c>
      <c r="C37">
        <f t="shared" si="2"/>
        <v>-8.3779759754989941E-2</v>
      </c>
      <c r="D37">
        <v>875.52</v>
      </c>
      <c r="E37">
        <f t="shared" si="2"/>
        <v>1.7932119016129105E-2</v>
      </c>
      <c r="K37" s="129"/>
      <c r="U37" s="129"/>
    </row>
    <row r="38" spans="1:21">
      <c r="A38" s="129">
        <v>43191</v>
      </c>
      <c r="B38">
        <v>58.98</v>
      </c>
      <c r="C38">
        <f t="shared" si="2"/>
        <v>0.19563460544369271</v>
      </c>
      <c r="D38">
        <v>859.96</v>
      </c>
      <c r="E38">
        <f t="shared" si="2"/>
        <v>6.5646162579798828E-2</v>
      </c>
      <c r="K38" s="129"/>
      <c r="U38" s="129"/>
    </row>
    <row r="39" spans="1:21">
      <c r="A39" s="129">
        <v>43160</v>
      </c>
      <c r="B39">
        <v>48.5</v>
      </c>
      <c r="C39">
        <f t="shared" si="2"/>
        <v>2.4419454025280833E-2</v>
      </c>
      <c r="D39">
        <v>805.32</v>
      </c>
      <c r="E39">
        <f t="shared" si="2"/>
        <v>-1.7784099151210934E-2</v>
      </c>
      <c r="K39" s="129"/>
      <c r="U39" s="129"/>
    </row>
    <row r="40" spans="1:21">
      <c r="A40" s="129">
        <v>43132</v>
      </c>
      <c r="B40">
        <v>47.33</v>
      </c>
      <c r="C40">
        <f t="shared" si="2"/>
        <v>0.18591982504294113</v>
      </c>
      <c r="D40">
        <v>819.77</v>
      </c>
      <c r="E40">
        <f t="shared" si="2"/>
        <v>1.0743428613738844E-2</v>
      </c>
      <c r="K40" s="129"/>
      <c r="U40" s="129"/>
    </row>
    <row r="41" spans="1:21">
      <c r="A41" s="129">
        <v>43101</v>
      </c>
      <c r="B41">
        <v>39.299999999999997</v>
      </c>
      <c r="C41">
        <f t="shared" si="2"/>
        <v>-0.11251046625139954</v>
      </c>
      <c r="D41">
        <v>811.01</v>
      </c>
      <c r="E41">
        <f t="shared" si="2"/>
        <v>-4.2326543079937631E-3</v>
      </c>
      <c r="K41" s="129"/>
      <c r="U41" s="129"/>
    </row>
    <row r="42" spans="1:21">
      <c r="A42" s="129">
        <v>43070</v>
      </c>
      <c r="B42">
        <v>43.98</v>
      </c>
      <c r="C42">
        <f t="shared" si="2"/>
        <v>-3.5295153452366342E-2</v>
      </c>
      <c r="D42">
        <v>814.45</v>
      </c>
      <c r="E42">
        <f t="shared" si="2"/>
        <v>2.1871682639582116E-2</v>
      </c>
      <c r="K42" s="129"/>
      <c r="U42" s="129"/>
    </row>
    <row r="43" spans="1:21">
      <c r="A43" s="129">
        <v>43040</v>
      </c>
      <c r="B43">
        <v>45.56</v>
      </c>
      <c r="C43">
        <f t="shared" si="2"/>
        <v>-7.4013900251361883E-2</v>
      </c>
      <c r="D43">
        <v>796.83</v>
      </c>
      <c r="E43">
        <f t="shared" si="2"/>
        <v>-1.2620352317799486E-2</v>
      </c>
      <c r="K43" s="129"/>
      <c r="U43" s="129"/>
    </row>
    <row r="44" spans="1:21">
      <c r="A44" s="129">
        <v>43009</v>
      </c>
      <c r="B44">
        <v>49.06</v>
      </c>
      <c r="C44">
        <f t="shared" si="2"/>
        <v>-3.7800720838390603E-2</v>
      </c>
      <c r="D44">
        <v>806.95</v>
      </c>
      <c r="E44">
        <f t="shared" si="2"/>
        <v>3.0014076567679078E-2</v>
      </c>
      <c r="K44" s="129"/>
      <c r="U44" s="129"/>
    </row>
    <row r="45" spans="1:21">
      <c r="A45" s="129">
        <v>42979</v>
      </c>
      <c r="B45">
        <v>50.95</v>
      </c>
      <c r="C45">
        <f t="shared" si="2"/>
        <v>-1.2676912818783252E-2</v>
      </c>
      <c r="D45">
        <v>783.09</v>
      </c>
      <c r="E45">
        <f t="shared" si="2"/>
        <v>5.6773136824391758E-2</v>
      </c>
      <c r="K45" s="129"/>
      <c r="U45" s="129"/>
    </row>
    <row r="46" spans="1:21">
      <c r="A46" s="129">
        <v>42948</v>
      </c>
      <c r="B46">
        <v>51.6</v>
      </c>
      <c r="C46">
        <f t="shared" si="2"/>
        <v>0.1229562775482058</v>
      </c>
      <c r="D46">
        <v>739.87</v>
      </c>
      <c r="E46">
        <f t="shared" si="2"/>
        <v>9.9975024145914099E-3</v>
      </c>
      <c r="K46" s="129"/>
      <c r="U46" s="129"/>
    </row>
    <row r="47" spans="1:21">
      <c r="A47" s="129">
        <v>42917</v>
      </c>
      <c r="B47">
        <v>45.63</v>
      </c>
      <c r="C47">
        <f t="shared" si="2"/>
        <v>6.1552183781655922E-3</v>
      </c>
      <c r="D47">
        <v>732.51</v>
      </c>
      <c r="E47">
        <f t="shared" si="2"/>
        <v>4.7427289398189784E-2</v>
      </c>
      <c r="K47" s="129"/>
      <c r="U47" s="129"/>
    </row>
    <row r="48" spans="1:21">
      <c r="A48" s="129">
        <v>42887</v>
      </c>
      <c r="B48">
        <v>45.35</v>
      </c>
      <c r="C48">
        <f t="shared" si="2"/>
        <v>-3.3021493957591107E-3</v>
      </c>
      <c r="D48">
        <v>698.58</v>
      </c>
      <c r="E48">
        <f t="shared" si="2"/>
        <v>-1.6694025374620242E-2</v>
      </c>
      <c r="K48" s="129"/>
      <c r="U48" s="129"/>
    </row>
    <row r="49" spans="1:21">
      <c r="A49" s="129">
        <v>42856</v>
      </c>
      <c r="B49">
        <v>45.5</v>
      </c>
      <c r="C49">
        <f t="shared" si="2"/>
        <v>5.2798185566970829E-2</v>
      </c>
      <c r="D49">
        <v>710.34</v>
      </c>
      <c r="E49">
        <f t="shared" si="2"/>
        <v>1.8011850581095112E-2</v>
      </c>
      <c r="K49" s="129"/>
      <c r="U49" s="129"/>
    </row>
    <row r="50" spans="1:21">
      <c r="A50" s="129">
        <v>42826</v>
      </c>
      <c r="B50">
        <v>43.16</v>
      </c>
      <c r="C50">
        <f t="shared" si="2"/>
        <v>0.13791008999408494</v>
      </c>
      <c r="D50">
        <v>697.66</v>
      </c>
      <c r="E50">
        <f t="shared" si="2"/>
        <v>1.4161087163500116E-2</v>
      </c>
      <c r="K50" s="129"/>
      <c r="U50" s="129"/>
    </row>
    <row r="51" spans="1:21">
      <c r="A51" s="129">
        <v>42795</v>
      </c>
      <c r="B51">
        <v>37.6</v>
      </c>
      <c r="C51">
        <f t="shared" si="2"/>
        <v>-0.16307728422705464</v>
      </c>
      <c r="D51">
        <v>687.85</v>
      </c>
      <c r="E51">
        <f t="shared" si="2"/>
        <v>-3.5120344925464366E-3</v>
      </c>
      <c r="K51" s="129"/>
      <c r="U51" s="129"/>
    </row>
    <row r="52" spans="1:21">
      <c r="A52" s="129">
        <v>42767</v>
      </c>
      <c r="B52">
        <v>44.26</v>
      </c>
      <c r="C52">
        <f t="shared" si="2"/>
        <v>-3.6601623638227027E-2</v>
      </c>
      <c r="D52">
        <v>690.27</v>
      </c>
      <c r="E52">
        <f t="shared" si="2"/>
        <v>-4.1203189730200703E-3</v>
      </c>
      <c r="K52" s="129"/>
      <c r="U52" s="129"/>
    </row>
    <row r="53" spans="1:21">
      <c r="A53" s="129">
        <v>42736</v>
      </c>
      <c r="B53">
        <v>45.91</v>
      </c>
      <c r="C53">
        <f t="shared" si="2"/>
        <v>-4.6807097450231774E-2</v>
      </c>
      <c r="D53">
        <v>693.12</v>
      </c>
      <c r="E53">
        <f t="shared" si="2"/>
        <v>1.3435303292954389E-2</v>
      </c>
      <c r="K53" s="129"/>
      <c r="U53" s="129"/>
    </row>
    <row r="54" spans="1:21">
      <c r="A54" s="129">
        <v>42705</v>
      </c>
      <c r="B54">
        <v>48.11</v>
      </c>
      <c r="C54">
        <f t="shared" si="2"/>
        <v>1.9096163119852495E-2</v>
      </c>
      <c r="D54">
        <v>683.87</v>
      </c>
      <c r="E54">
        <f t="shared" si="2"/>
        <v>4.0647147138118754E-2</v>
      </c>
      <c r="K54" s="129"/>
      <c r="U54" s="129"/>
    </row>
    <row r="55" spans="1:21">
      <c r="A55" s="129">
        <v>42675</v>
      </c>
      <c r="B55">
        <v>47.2</v>
      </c>
      <c r="C55">
        <f t="shared" si="2"/>
        <v>7.7274649628165326E-2</v>
      </c>
      <c r="D55">
        <v>656.63</v>
      </c>
      <c r="E55">
        <f t="shared" si="2"/>
        <v>2.8468980097354685E-2</v>
      </c>
      <c r="K55" s="129"/>
      <c r="U55" s="129"/>
    </row>
    <row r="56" spans="1:21">
      <c r="A56" s="129">
        <v>42644</v>
      </c>
      <c r="B56">
        <v>43.69</v>
      </c>
      <c r="C56">
        <f t="shared" si="2"/>
        <v>7.8537013388022936E-2</v>
      </c>
      <c r="D56">
        <v>638.20000000000005</v>
      </c>
      <c r="E56">
        <f t="shared" si="2"/>
        <v>2.4602911192164179E-2</v>
      </c>
      <c r="K56" s="129"/>
      <c r="U56" s="129"/>
    </row>
    <row r="57" spans="1:21">
      <c r="A57" s="129">
        <v>42614</v>
      </c>
      <c r="B57">
        <v>40.39</v>
      </c>
      <c r="C57">
        <f t="shared" si="2"/>
        <v>7.6911525154835361E-2</v>
      </c>
      <c r="D57">
        <v>622.69000000000005</v>
      </c>
      <c r="E57">
        <f t="shared" si="2"/>
        <v>6.0566219840150152E-3</v>
      </c>
      <c r="K57" s="129"/>
      <c r="U57" s="129"/>
    </row>
    <row r="58" spans="1:21">
      <c r="A58" s="129">
        <v>42583</v>
      </c>
      <c r="B58">
        <v>37.4</v>
      </c>
      <c r="C58">
        <f t="shared" si="2"/>
        <v>-7.9878152794112992E-2</v>
      </c>
      <c r="D58">
        <v>618.92999999999995</v>
      </c>
      <c r="E58">
        <f t="shared" si="2"/>
        <v>1.0231015871884703E-2</v>
      </c>
      <c r="K58" s="129"/>
      <c r="U58" s="129"/>
    </row>
    <row r="59" spans="1:21">
      <c r="A59" s="129">
        <v>42552</v>
      </c>
      <c r="B59">
        <v>40.51</v>
      </c>
      <c r="C59">
        <f t="shared" si="2"/>
        <v>3.0324338339383555E-2</v>
      </c>
      <c r="D59">
        <v>612.63</v>
      </c>
      <c r="E59">
        <f t="shared" si="2"/>
        <v>1.6076167496072942E-2</v>
      </c>
      <c r="K59" s="129"/>
      <c r="U59" s="129"/>
    </row>
    <row r="60" spans="1:21">
      <c r="A60" s="129">
        <v>42522</v>
      </c>
      <c r="B60">
        <v>39.299999999999997</v>
      </c>
      <c r="C60">
        <f t="shared" si="2"/>
        <v>-8.2974401359363417E-2</v>
      </c>
      <c r="D60">
        <v>602.86</v>
      </c>
      <c r="E60">
        <f t="shared" si="2"/>
        <v>-2.3686331547442829E-2</v>
      </c>
      <c r="K60" s="129"/>
      <c r="U60" s="129"/>
    </row>
    <row r="61" spans="1:21">
      <c r="A61" s="129">
        <v>42491</v>
      </c>
      <c r="B61">
        <v>42.7</v>
      </c>
      <c r="C61">
        <f t="shared" si="2"/>
        <v>8.2974401359363514E-2</v>
      </c>
      <c r="D61">
        <v>617.30999999999995</v>
      </c>
      <c r="E61">
        <f t="shared" si="2"/>
        <v>1.8029403283993283E-2</v>
      </c>
      <c r="K61" s="129"/>
      <c r="U61" s="129"/>
    </row>
    <row r="62" spans="1:21">
      <c r="A62" s="129">
        <v>42461</v>
      </c>
      <c r="B62">
        <v>39.299999999999997</v>
      </c>
      <c r="C62">
        <f t="shared" si="2"/>
        <v>5.1020518838953309E-3</v>
      </c>
      <c r="D62">
        <v>606.28</v>
      </c>
      <c r="E62">
        <f t="shared" si="2"/>
        <v>4.8200676408966026E-2</v>
      </c>
      <c r="K62" s="129"/>
      <c r="U62" s="129"/>
    </row>
    <row r="63" spans="1:21">
      <c r="A63" s="129">
        <v>42430</v>
      </c>
      <c r="B63">
        <v>39.1</v>
      </c>
      <c r="C63">
        <f t="shared" si="2"/>
        <v>6.334571193079537E-2</v>
      </c>
      <c r="D63">
        <v>577.75</v>
      </c>
      <c r="E63">
        <f t="shared" si="2"/>
        <v>9.1285137260954489E-3</v>
      </c>
      <c r="K63" s="129"/>
      <c r="U63" s="129"/>
    </row>
    <row r="64" spans="1:21">
      <c r="A64" s="129">
        <v>42401</v>
      </c>
      <c r="B64">
        <v>36.700000000000003</v>
      </c>
      <c r="C64">
        <f t="shared" si="2"/>
        <v>0.1002268791380817</v>
      </c>
      <c r="D64">
        <v>572.5</v>
      </c>
      <c r="E64">
        <f t="shared" si="2"/>
        <v>2.0416614874619512E-2</v>
      </c>
      <c r="K64" s="129"/>
      <c r="U64" s="129"/>
    </row>
    <row r="65" spans="1:21">
      <c r="A65" s="129">
        <v>42370</v>
      </c>
      <c r="B65">
        <v>33.200000000000003</v>
      </c>
      <c r="C65">
        <f t="shared" si="2"/>
        <v>6.0423144559626617E-3</v>
      </c>
      <c r="D65">
        <v>560.92999999999995</v>
      </c>
      <c r="E65">
        <f t="shared" si="2"/>
        <v>-8.4288975311784767E-2</v>
      </c>
      <c r="K65" s="129"/>
      <c r="U65" s="129"/>
    </row>
    <row r="66" spans="1:21">
      <c r="A66" s="129">
        <v>42339</v>
      </c>
      <c r="B66">
        <v>33</v>
      </c>
      <c r="C66">
        <f t="shared" si="2"/>
        <v>3.0771658666753687E-2</v>
      </c>
      <c r="D66">
        <v>610.26</v>
      </c>
      <c r="E66">
        <f t="shared" si="2"/>
        <v>-2.9864529994477328E-2</v>
      </c>
      <c r="K66" s="129"/>
      <c r="U66" s="129"/>
    </row>
    <row r="67" spans="1:21">
      <c r="A67" s="129">
        <v>42309</v>
      </c>
      <c r="B67">
        <v>32</v>
      </c>
      <c r="C67">
        <f t="shared" si="2"/>
        <v>7.1227509288367782E-2</v>
      </c>
      <c r="D67">
        <v>628.76</v>
      </c>
      <c r="E67">
        <f t="shared" si="2"/>
        <v>2.1737190276427603E-2</v>
      </c>
      <c r="K67" s="129"/>
      <c r="U67" s="129"/>
    </row>
    <row r="68" spans="1:21">
      <c r="A68" s="129">
        <v>42278</v>
      </c>
      <c r="B68">
        <v>29.8</v>
      </c>
      <c r="C68">
        <f t="shared" ref="C68:E130" si="27">LN(B68/B69)</f>
        <v>-2.6491615446976341E-2</v>
      </c>
      <c r="D68">
        <v>615.24</v>
      </c>
      <c r="E68">
        <f t="shared" si="27"/>
        <v>5.590287770735046E-2</v>
      </c>
      <c r="K68" s="129"/>
      <c r="U68" s="129"/>
    </row>
    <row r="69" spans="1:21">
      <c r="A69" s="129">
        <v>42248</v>
      </c>
      <c r="B69">
        <v>30.6</v>
      </c>
      <c r="C69">
        <f t="shared" si="27"/>
        <v>9.2373320131015263E-2</v>
      </c>
      <c r="D69">
        <v>581.79</v>
      </c>
      <c r="E69">
        <f t="shared" si="27"/>
        <v>-2.0938097485436721E-2</v>
      </c>
      <c r="K69" s="129"/>
      <c r="U69" s="129"/>
    </row>
    <row r="70" spans="1:21">
      <c r="A70" s="129">
        <v>42217</v>
      </c>
      <c r="B70">
        <v>27.9</v>
      </c>
      <c r="C70">
        <f t="shared" si="27"/>
        <v>-7.1428875123802247E-3</v>
      </c>
      <c r="D70">
        <v>594.1</v>
      </c>
      <c r="E70">
        <f t="shared" si="27"/>
        <v>-7.2747246849335256E-2</v>
      </c>
      <c r="K70" s="129"/>
      <c r="U70" s="129"/>
    </row>
    <row r="71" spans="1:21">
      <c r="A71" s="129">
        <v>42186</v>
      </c>
      <c r="B71">
        <v>28.1</v>
      </c>
      <c r="C71">
        <f t="shared" si="27"/>
        <v>9.3177224854183296E-2</v>
      </c>
      <c r="D71">
        <v>638.92999999999995</v>
      </c>
      <c r="E71">
        <f t="shared" si="27"/>
        <v>1.5488780037332561E-2</v>
      </c>
      <c r="K71" s="129"/>
      <c r="U71" s="129"/>
    </row>
    <row r="72" spans="1:21">
      <c r="A72" s="129">
        <v>42156</v>
      </c>
      <c r="B72">
        <v>25.6</v>
      </c>
      <c r="C72">
        <f t="shared" si="27"/>
        <v>7.843177461026099E-3</v>
      </c>
      <c r="D72">
        <v>629.11</v>
      </c>
      <c r="E72">
        <f t="shared" si="27"/>
        <v>-2.5997902842418253E-2</v>
      </c>
      <c r="K72" s="129"/>
      <c r="U72" s="129"/>
    </row>
    <row r="73" spans="1:21">
      <c r="A73" s="129">
        <v>42125</v>
      </c>
      <c r="B73">
        <v>25.4</v>
      </c>
      <c r="C73">
        <f t="shared" si="27"/>
        <v>1.5873349156290163E-2</v>
      </c>
      <c r="D73">
        <v>645.67999999999995</v>
      </c>
      <c r="E73">
        <f t="shared" si="27"/>
        <v>9.8363489959827043E-3</v>
      </c>
      <c r="K73" s="129"/>
      <c r="U73" s="129"/>
    </row>
    <row r="74" spans="1:21">
      <c r="A74" s="129">
        <v>42095</v>
      </c>
      <c r="B74">
        <v>25</v>
      </c>
      <c r="C74">
        <f t="shared" si="27"/>
        <v>6.1875403718087453E-2</v>
      </c>
      <c r="D74">
        <v>639.36</v>
      </c>
      <c r="E74">
        <f t="shared" si="27"/>
        <v>3.203935374461666E-2</v>
      </c>
      <c r="K74" s="129"/>
      <c r="U74" s="129"/>
    </row>
    <row r="75" spans="1:21">
      <c r="A75" s="129">
        <v>42064</v>
      </c>
      <c r="B75">
        <v>23.5</v>
      </c>
      <c r="C75">
        <f t="shared" si="27"/>
        <v>-0.11256851803360561</v>
      </c>
      <c r="D75">
        <v>619.20000000000005</v>
      </c>
      <c r="E75">
        <f t="shared" si="27"/>
        <v>5.7659451637642311E-3</v>
      </c>
      <c r="K75" s="129"/>
      <c r="U75" s="129"/>
    </row>
    <row r="76" spans="1:21">
      <c r="A76" s="129">
        <v>42036</v>
      </c>
      <c r="B76">
        <v>26.3</v>
      </c>
      <c r="C76">
        <f t="shared" si="27"/>
        <v>-3.3648034118232757E-2</v>
      </c>
      <c r="D76">
        <v>615.64</v>
      </c>
      <c r="E76">
        <f t="shared" si="27"/>
        <v>3.2102968903450393E-2</v>
      </c>
      <c r="K76" s="129"/>
      <c r="U76" s="129"/>
    </row>
    <row r="77" spans="1:21">
      <c r="A77" s="129">
        <v>42005</v>
      </c>
      <c r="B77">
        <v>27.2</v>
      </c>
      <c r="C77">
        <f t="shared" si="27"/>
        <v>-3.6697288889625131E-3</v>
      </c>
      <c r="D77">
        <v>596.19000000000005</v>
      </c>
      <c r="E77">
        <f t="shared" si="27"/>
        <v>3.4382305479120995E-2</v>
      </c>
      <c r="K77" s="129"/>
      <c r="U77" s="129"/>
    </row>
    <row r="78" spans="1:21">
      <c r="A78" s="129">
        <v>41974</v>
      </c>
      <c r="B78">
        <v>27.3</v>
      </c>
      <c r="C78">
        <f t="shared" si="27"/>
        <v>0.11435485266231532</v>
      </c>
      <c r="D78">
        <v>576.04</v>
      </c>
      <c r="E78">
        <f t="shared" si="27"/>
        <v>1.6982498164273704E-2</v>
      </c>
      <c r="K78" s="129"/>
      <c r="U78" s="129"/>
    </row>
    <row r="79" spans="1:21">
      <c r="A79" s="129">
        <v>41944</v>
      </c>
      <c r="B79">
        <v>24.35</v>
      </c>
      <c r="C79">
        <f t="shared" si="27"/>
        <v>-4.6146602635781617E-2</v>
      </c>
      <c r="D79">
        <v>566.34</v>
      </c>
      <c r="E79">
        <f t="shared" si="27"/>
        <v>-3.2895760637592746E-2</v>
      </c>
      <c r="K79" s="129"/>
      <c r="U79" s="129"/>
    </row>
    <row r="80" spans="1:21">
      <c r="A80" s="129">
        <v>41913</v>
      </c>
      <c r="B80">
        <v>25.5</v>
      </c>
      <c r="C80">
        <f t="shared" si="27"/>
        <v>2.9852963149681128E-2</v>
      </c>
      <c r="D80">
        <v>585.28</v>
      </c>
      <c r="E80">
        <f t="shared" si="27"/>
        <v>-4.0351681644154064E-2</v>
      </c>
      <c r="K80" s="129"/>
      <c r="U80" s="129"/>
    </row>
    <row r="81" spans="1:21">
      <c r="A81" s="129">
        <v>41883</v>
      </c>
      <c r="B81">
        <v>24.75</v>
      </c>
      <c r="C81">
        <f t="shared" si="27"/>
        <v>7.7688578454505469E-2</v>
      </c>
      <c r="D81">
        <v>609.38</v>
      </c>
      <c r="E81">
        <f t="shared" si="27"/>
        <v>-1.2955600188587874E-3</v>
      </c>
      <c r="K81" s="129"/>
      <c r="U81" s="129"/>
    </row>
    <row r="82" spans="1:21">
      <c r="A82" s="129">
        <v>41852</v>
      </c>
      <c r="B82">
        <v>22.9</v>
      </c>
      <c r="C82">
        <f t="shared" si="27"/>
        <v>6.571765163234519E-3</v>
      </c>
      <c r="D82">
        <v>610.16999999999996</v>
      </c>
      <c r="E82">
        <f t="shared" si="27"/>
        <v>-3.4684196215631203E-3</v>
      </c>
      <c r="K82" s="129"/>
      <c r="U82" s="129"/>
    </row>
    <row r="83" spans="1:21">
      <c r="A83" s="129">
        <v>41821</v>
      </c>
      <c r="B83">
        <v>22.75</v>
      </c>
      <c r="C83">
        <f t="shared" si="27"/>
        <v>1.5504186535965254E-2</v>
      </c>
      <c r="D83">
        <v>612.29</v>
      </c>
      <c r="E83">
        <f t="shared" si="27"/>
        <v>-9.0882373589735079E-3</v>
      </c>
      <c r="K83" s="129"/>
      <c r="U83" s="129"/>
    </row>
    <row r="84" spans="1:21">
      <c r="A84" s="129">
        <v>41791</v>
      </c>
      <c r="B84">
        <v>22.4</v>
      </c>
      <c r="C84">
        <f t="shared" si="27"/>
        <v>0.11332868530700307</v>
      </c>
      <c r="D84">
        <v>617.88</v>
      </c>
      <c r="E84">
        <f t="shared" si="27"/>
        <v>2.0636146066064402E-2</v>
      </c>
      <c r="K84" s="129"/>
      <c r="U84" s="129"/>
    </row>
    <row r="85" spans="1:21">
      <c r="A85" s="129">
        <v>41760</v>
      </c>
      <c r="B85">
        <v>20</v>
      </c>
      <c r="C85">
        <f t="shared" si="27"/>
        <v>-4.8790164169432056E-2</v>
      </c>
      <c r="D85">
        <v>605.26</v>
      </c>
      <c r="E85">
        <f t="shared" si="27"/>
        <v>4.5444315500498871E-2</v>
      </c>
      <c r="K85" s="129"/>
      <c r="U85" s="129"/>
    </row>
    <row r="86" spans="1:21">
      <c r="A86" s="129">
        <v>41730</v>
      </c>
      <c r="B86">
        <v>21</v>
      </c>
      <c r="C86">
        <f t="shared" si="27"/>
        <v>7.6675367658967708E-2</v>
      </c>
      <c r="D86">
        <v>578.37</v>
      </c>
      <c r="E86">
        <f t="shared" si="27"/>
        <v>2.8800924315211023E-2</v>
      </c>
      <c r="K86" s="129"/>
      <c r="U86" s="129"/>
    </row>
    <row r="87" spans="1:21">
      <c r="A87" s="129">
        <v>41699</v>
      </c>
      <c r="B87">
        <v>19.45</v>
      </c>
      <c r="C87">
        <f t="shared" si="27"/>
        <v>3.9323546203914303E-2</v>
      </c>
      <c r="D87">
        <v>561.95000000000005</v>
      </c>
      <c r="E87">
        <f t="shared" si="27"/>
        <v>1.1148307683615239E-2</v>
      </c>
      <c r="K87" s="129"/>
      <c r="U87" s="129"/>
    </row>
    <row r="88" spans="1:21">
      <c r="A88" s="129">
        <v>41671</v>
      </c>
      <c r="B88">
        <v>18.7</v>
      </c>
      <c r="C88">
        <f t="shared" si="27"/>
        <v>-1.3280407667894378E-2</v>
      </c>
      <c r="D88">
        <v>555.72</v>
      </c>
      <c r="E88">
        <f t="shared" si="27"/>
        <v>3.6634267468398173E-2</v>
      </c>
      <c r="K88" s="129"/>
      <c r="U88" s="129"/>
    </row>
    <row r="89" spans="1:21">
      <c r="A89" s="129">
        <v>41640</v>
      </c>
      <c r="B89">
        <v>18.95</v>
      </c>
      <c r="C89">
        <f t="shared" si="27"/>
        <v>6.8239291948651859E-2</v>
      </c>
      <c r="D89">
        <v>535.73</v>
      </c>
      <c r="E89">
        <f t="shared" si="27"/>
        <v>-2.4213097069448505E-2</v>
      </c>
      <c r="K89" s="129"/>
      <c r="U89" s="129"/>
    </row>
    <row r="90" spans="1:21">
      <c r="A90" s="129">
        <v>41609</v>
      </c>
      <c r="B90">
        <v>17.7</v>
      </c>
      <c r="C90">
        <f t="shared" si="27"/>
        <v>-2.7856954502966224E-2</v>
      </c>
      <c r="D90">
        <v>548.86</v>
      </c>
      <c r="E90">
        <f t="shared" si="27"/>
        <v>1.1120895082596564E-2</v>
      </c>
      <c r="K90" s="129"/>
      <c r="U90" s="129"/>
    </row>
    <row r="91" spans="1:21">
      <c r="A91" s="129">
        <v>41579</v>
      </c>
      <c r="B91">
        <v>18.2</v>
      </c>
      <c r="C91">
        <f t="shared" si="27"/>
        <v>-1.6349138001529526E-2</v>
      </c>
      <c r="D91">
        <v>542.79</v>
      </c>
      <c r="E91">
        <f t="shared" si="27"/>
        <v>1.9458907012580649E-2</v>
      </c>
      <c r="K91" s="129"/>
      <c r="U91" s="129"/>
    </row>
    <row r="92" spans="1:21">
      <c r="A92" s="129">
        <v>41548</v>
      </c>
      <c r="B92">
        <v>18.5</v>
      </c>
      <c r="C92">
        <f t="shared" si="27"/>
        <v>8.1620528354753266E-2</v>
      </c>
      <c r="D92">
        <v>532.33000000000004</v>
      </c>
      <c r="E92">
        <f t="shared" si="27"/>
        <v>5.9141680064545822E-2</v>
      </c>
      <c r="K92" s="129"/>
      <c r="U92" s="129"/>
    </row>
    <row r="93" spans="1:21">
      <c r="A93" s="129">
        <v>41518</v>
      </c>
      <c r="B93">
        <v>17.05</v>
      </c>
      <c r="C93">
        <f t="shared" si="27"/>
        <v>0.12477221253464105</v>
      </c>
      <c r="D93">
        <v>501.76</v>
      </c>
      <c r="E93">
        <f t="shared" si="27"/>
        <v>9.9746455620335333E-3</v>
      </c>
      <c r="K93" s="129"/>
      <c r="U93" s="129"/>
    </row>
    <row r="94" spans="1:21">
      <c r="A94" s="129">
        <v>41487</v>
      </c>
      <c r="B94">
        <v>15.05</v>
      </c>
      <c r="C94">
        <f t="shared" si="27"/>
        <v>-4.5462374076757288E-2</v>
      </c>
      <c r="D94">
        <v>496.78</v>
      </c>
      <c r="E94">
        <f t="shared" si="27"/>
        <v>2.8625011986472197E-3</v>
      </c>
      <c r="K94" s="129"/>
      <c r="U94" s="129"/>
    </row>
    <row r="95" spans="1:21">
      <c r="A95" s="129">
        <v>41456</v>
      </c>
      <c r="B95">
        <v>15.75</v>
      </c>
      <c r="C95">
        <f t="shared" si="27"/>
        <v>-7.0473256657385616E-2</v>
      </c>
      <c r="D95">
        <v>495.36</v>
      </c>
      <c r="E95">
        <f t="shared" si="27"/>
        <v>5.5129863984035479E-2</v>
      </c>
      <c r="K95" s="129"/>
      <c r="U95" s="129"/>
    </row>
    <row r="96" spans="1:21">
      <c r="A96" s="129">
        <v>41426</v>
      </c>
      <c r="B96">
        <v>16.899999999999999</v>
      </c>
      <c r="C96">
        <f t="shared" si="27"/>
        <v>3.9220713153281114E-2</v>
      </c>
      <c r="D96">
        <v>468.79</v>
      </c>
      <c r="E96">
        <f t="shared" si="27"/>
        <v>-4.7734204838045406E-2</v>
      </c>
      <c r="K96" s="129"/>
      <c r="U96" s="129"/>
    </row>
    <row r="97" spans="1:21">
      <c r="A97" s="129">
        <v>41395</v>
      </c>
      <c r="B97">
        <v>16.25</v>
      </c>
      <c r="C97">
        <f t="shared" si="27"/>
        <v>-0.10227884912041818</v>
      </c>
      <c r="D97">
        <v>491.71</v>
      </c>
      <c r="E97">
        <f t="shared" si="27"/>
        <v>2.3832211248774389E-2</v>
      </c>
      <c r="K97" s="129"/>
      <c r="U97" s="129"/>
    </row>
    <row r="98" spans="1:21">
      <c r="A98" s="129">
        <v>41365</v>
      </c>
      <c r="B98">
        <v>18</v>
      </c>
      <c r="C98">
        <f t="shared" si="27"/>
        <v>0.14953173397096384</v>
      </c>
      <c r="D98">
        <v>480.13</v>
      </c>
      <c r="E98">
        <f t="shared" si="27"/>
        <v>1.8753046043492795E-2</v>
      </c>
      <c r="K98" s="129"/>
      <c r="U98" s="129"/>
    </row>
    <row r="99" spans="1:21">
      <c r="A99" s="129">
        <v>41334</v>
      </c>
      <c r="B99">
        <v>15.5</v>
      </c>
      <c r="C99">
        <f t="shared" si="27"/>
        <v>-0.12705887811890523</v>
      </c>
      <c r="D99">
        <v>471.21</v>
      </c>
      <c r="E99">
        <f t="shared" si="27"/>
        <v>-3.9395145625545991E-3</v>
      </c>
      <c r="K99" s="129"/>
      <c r="U99" s="129"/>
    </row>
    <row r="100" spans="1:21">
      <c r="A100" s="129">
        <v>41306</v>
      </c>
      <c r="B100">
        <v>17.600000000000001</v>
      </c>
      <c r="C100">
        <f t="shared" si="27"/>
        <v>0.11423818968984389</v>
      </c>
      <c r="D100">
        <v>473.07</v>
      </c>
      <c r="E100">
        <f t="shared" si="27"/>
        <v>1.550848030720604E-2</v>
      </c>
      <c r="K100" s="129"/>
      <c r="U100" s="129"/>
    </row>
    <row r="101" spans="1:21">
      <c r="A101" s="129">
        <v>41275</v>
      </c>
      <c r="B101">
        <v>15.7</v>
      </c>
      <c r="C101">
        <f t="shared" si="27"/>
        <v>0.19256492420871563</v>
      </c>
      <c r="D101">
        <v>465.79</v>
      </c>
      <c r="E101">
        <f t="shared" si="27"/>
        <v>4.7707644184888931E-2</v>
      </c>
      <c r="K101" s="129"/>
      <c r="U101" s="129"/>
    </row>
    <row r="102" spans="1:21">
      <c r="A102" s="129">
        <v>41244</v>
      </c>
      <c r="B102">
        <v>12.95</v>
      </c>
      <c r="C102">
        <f t="shared" si="27"/>
        <v>2.7398974188114347E-2</v>
      </c>
      <c r="D102">
        <v>444.09</v>
      </c>
      <c r="E102">
        <f t="shared" si="27"/>
        <v>4.5363834184039492E-3</v>
      </c>
      <c r="K102" s="129"/>
      <c r="U102" s="129"/>
    </row>
    <row r="103" spans="1:21">
      <c r="A103" s="129">
        <v>41214</v>
      </c>
      <c r="B103">
        <v>12.6</v>
      </c>
      <c r="C103">
        <f t="shared" si="27"/>
        <v>6.9843573367264336E-2</v>
      </c>
      <c r="D103">
        <v>442.08</v>
      </c>
      <c r="E103">
        <f t="shared" si="27"/>
        <v>-2.2617782196716722E-4</v>
      </c>
      <c r="K103" s="129"/>
      <c r="U103" s="129"/>
    </row>
    <row r="104" spans="1:21">
      <c r="A104" s="129">
        <v>41183</v>
      </c>
      <c r="B104">
        <v>11.75</v>
      </c>
      <c r="C104">
        <f t="shared" si="27"/>
        <v>-2.1053409197832381E-2</v>
      </c>
      <c r="D104">
        <v>442.18</v>
      </c>
      <c r="E104">
        <f t="shared" si="27"/>
        <v>-8.4225247365645774E-3</v>
      </c>
      <c r="K104" s="129"/>
      <c r="U104" s="129"/>
    </row>
    <row r="105" spans="1:21">
      <c r="A105" s="129">
        <v>41153</v>
      </c>
      <c r="B105">
        <v>12</v>
      </c>
      <c r="C105">
        <f t="shared" si="27"/>
        <v>3.8221212820197671E-2</v>
      </c>
      <c r="D105">
        <v>445.92</v>
      </c>
      <c r="E105">
        <f t="shared" si="27"/>
        <v>2.4287913365491468E-2</v>
      </c>
      <c r="K105" s="129"/>
      <c r="U105" s="129"/>
    </row>
    <row r="106" spans="1:21">
      <c r="A106" s="129">
        <v>41122</v>
      </c>
      <c r="B106">
        <v>11.55</v>
      </c>
      <c r="C106">
        <f t="shared" si="27"/>
        <v>0.11454154173221241</v>
      </c>
      <c r="D106">
        <v>435.22</v>
      </c>
      <c r="E106">
        <f t="shared" si="27"/>
        <v>2.7746879212914442E-2</v>
      </c>
      <c r="K106" s="129"/>
      <c r="U106" s="129"/>
    </row>
    <row r="107" spans="1:21">
      <c r="A107" s="129">
        <v>41091</v>
      </c>
      <c r="B107">
        <v>10.3</v>
      </c>
      <c r="C107">
        <f t="shared" si="27"/>
        <v>-2.8710105882431253E-2</v>
      </c>
      <c r="D107">
        <v>423.31</v>
      </c>
      <c r="E107">
        <f t="shared" si="27"/>
        <v>3.907047993719065E-2</v>
      </c>
      <c r="K107" s="129"/>
      <c r="U107" s="129"/>
    </row>
    <row r="108" spans="1:21">
      <c r="A108" s="129">
        <v>41061</v>
      </c>
      <c r="B108">
        <v>10.6</v>
      </c>
      <c r="C108">
        <f t="shared" si="27"/>
        <v>0.25916185050336582</v>
      </c>
      <c r="D108">
        <v>407.09</v>
      </c>
      <c r="E108">
        <f t="shared" si="27"/>
        <v>5.7454677808974439E-2</v>
      </c>
      <c r="K108" s="129"/>
      <c r="U108" s="129"/>
    </row>
    <row r="109" spans="1:21">
      <c r="A109" s="129">
        <v>41030</v>
      </c>
      <c r="B109">
        <v>8.18</v>
      </c>
      <c r="C109">
        <f t="shared" si="27"/>
        <v>-9.5532426721563729E-2</v>
      </c>
      <c r="D109">
        <v>384.36</v>
      </c>
      <c r="E109">
        <f t="shared" si="27"/>
        <v>-9.1551908259332196E-2</v>
      </c>
      <c r="K109" s="129"/>
      <c r="U109" s="129"/>
    </row>
    <row r="110" spans="1:21">
      <c r="A110" s="129">
        <v>41000</v>
      </c>
      <c r="B110">
        <v>9</v>
      </c>
      <c r="C110">
        <f t="shared" si="27"/>
        <v>-4.3485111939738891E-2</v>
      </c>
      <c r="D110">
        <v>421.21</v>
      </c>
      <c r="E110">
        <f t="shared" si="27"/>
        <v>-1.2738725256792888E-2</v>
      </c>
      <c r="K110" s="129"/>
      <c r="U110" s="129"/>
    </row>
    <row r="111" spans="1:21">
      <c r="A111" s="129">
        <v>40969</v>
      </c>
      <c r="B111">
        <v>9.4</v>
      </c>
      <c r="C111">
        <f t="shared" si="27"/>
        <v>5.3333459753626029E-3</v>
      </c>
      <c r="D111">
        <v>426.61</v>
      </c>
      <c r="E111">
        <f t="shared" si="27"/>
        <v>-7.5660636952610541E-3</v>
      </c>
      <c r="K111" s="129"/>
      <c r="U111" s="129"/>
    </row>
    <row r="112" spans="1:21">
      <c r="A112" s="129">
        <v>40940</v>
      </c>
      <c r="B112">
        <v>9.35</v>
      </c>
      <c r="C112">
        <f t="shared" si="27"/>
        <v>-4.9044779065778928E-2</v>
      </c>
      <c r="D112">
        <v>429.85</v>
      </c>
      <c r="E112">
        <f t="shared" si="27"/>
        <v>7.859363982135803E-2</v>
      </c>
      <c r="K112" s="129"/>
      <c r="U112" s="129"/>
    </row>
    <row r="113" spans="1:21">
      <c r="A113" s="129">
        <v>40909</v>
      </c>
      <c r="B113">
        <v>9.82</v>
      </c>
      <c r="C113">
        <f t="shared" si="27"/>
        <v>0.15618941651710663</v>
      </c>
      <c r="D113">
        <v>397.36</v>
      </c>
      <c r="E113">
        <f t="shared" si="27"/>
        <v>3.1729215075036593E-2</v>
      </c>
      <c r="K113" s="129"/>
      <c r="U113" s="129"/>
    </row>
    <row r="114" spans="1:21">
      <c r="A114" s="129">
        <v>40878</v>
      </c>
      <c r="B114">
        <v>8.4</v>
      </c>
      <c r="C114">
        <f t="shared" si="27"/>
        <v>1.5597196813667988E-2</v>
      </c>
      <c r="D114">
        <v>384.95</v>
      </c>
      <c r="E114">
        <f t="shared" si="27"/>
        <v>1.0707858905261358E-2</v>
      </c>
      <c r="K114" s="129"/>
      <c r="U114" s="129"/>
    </row>
    <row r="115" spans="1:21">
      <c r="A115" s="129">
        <v>40848</v>
      </c>
      <c r="B115">
        <v>8.27</v>
      </c>
      <c r="C115">
        <f t="shared" si="27"/>
        <v>-3.9127694223862128E-2</v>
      </c>
      <c r="D115">
        <v>380.85</v>
      </c>
      <c r="E115">
        <f t="shared" si="27"/>
        <v>-8.809708381499538E-3</v>
      </c>
      <c r="K115" s="129"/>
      <c r="U115" s="129"/>
    </row>
    <row r="116" spans="1:21">
      <c r="A116" s="129">
        <v>40817</v>
      </c>
      <c r="B116">
        <v>8.6</v>
      </c>
      <c r="C116">
        <f t="shared" si="27"/>
        <v>3.912769422386219E-2</v>
      </c>
      <c r="D116">
        <v>384.22</v>
      </c>
      <c r="E116">
        <f t="shared" si="27"/>
        <v>9.8208551239881925E-2</v>
      </c>
      <c r="K116" s="129"/>
      <c r="U116" s="129"/>
    </row>
    <row r="117" spans="1:21">
      <c r="A117" s="129">
        <v>40787</v>
      </c>
      <c r="B117">
        <v>8.27</v>
      </c>
      <c r="C117">
        <f t="shared" si="27"/>
        <v>-0.14912858943819063</v>
      </c>
      <c r="D117">
        <v>348.28</v>
      </c>
      <c r="E117">
        <f t="shared" si="27"/>
        <v>-8.3130055538049363E-2</v>
      </c>
      <c r="K117" s="129"/>
      <c r="U117" s="129"/>
    </row>
    <row r="118" spans="1:21">
      <c r="A118" s="129">
        <v>40756</v>
      </c>
      <c r="B118">
        <v>9.6</v>
      </c>
      <c r="C118">
        <f t="shared" si="27"/>
        <v>-0.11778303565638351</v>
      </c>
      <c r="D118">
        <v>378.47</v>
      </c>
      <c r="E118">
        <f t="shared" si="27"/>
        <v>-9.8506951703451084E-2</v>
      </c>
      <c r="K118" s="129"/>
      <c r="U118" s="129"/>
    </row>
    <row r="119" spans="1:21">
      <c r="A119" s="129">
        <v>40725</v>
      </c>
      <c r="B119">
        <v>10.8</v>
      </c>
      <c r="C119">
        <f t="shared" si="27"/>
        <v>-0.16205585933437139</v>
      </c>
      <c r="D119">
        <v>417.65</v>
      </c>
      <c r="E119">
        <f t="shared" si="27"/>
        <v>-8.7726134130775169E-3</v>
      </c>
      <c r="K119" s="129"/>
      <c r="U119" s="129"/>
    </row>
    <row r="120" spans="1:21">
      <c r="A120" s="129">
        <v>40695</v>
      </c>
      <c r="B120">
        <v>12.7</v>
      </c>
      <c r="C120">
        <f t="shared" si="27"/>
        <v>-0.23410685611147944</v>
      </c>
      <c r="D120">
        <v>421.33</v>
      </c>
      <c r="E120">
        <f t="shared" si="27"/>
        <v>-4.5424398371710174E-2</v>
      </c>
      <c r="K120" s="129"/>
      <c r="U120" s="129"/>
    </row>
    <row r="121" spans="1:21">
      <c r="A121" s="129">
        <v>40664</v>
      </c>
      <c r="B121">
        <v>16.05</v>
      </c>
      <c r="C121">
        <f t="shared" si="27"/>
        <v>-6.3369613932589372E-2</v>
      </c>
      <c r="D121">
        <v>440.91</v>
      </c>
      <c r="E121">
        <f t="shared" si="27"/>
        <v>-1.537193381303258E-2</v>
      </c>
      <c r="K121" s="129"/>
      <c r="U121" s="129"/>
    </row>
    <row r="122" spans="1:21">
      <c r="A122" s="129">
        <v>40634</v>
      </c>
      <c r="B122">
        <v>17.100000000000001</v>
      </c>
      <c r="C122">
        <f t="shared" si="27"/>
        <v>5.8651194523980576E-3</v>
      </c>
      <c r="D122">
        <v>447.74</v>
      </c>
      <c r="E122">
        <f t="shared" si="27"/>
        <v>5.217500499721364E-3</v>
      </c>
      <c r="K122" s="129"/>
      <c r="U122" s="129"/>
    </row>
    <row r="123" spans="1:21">
      <c r="A123" s="129">
        <v>40603</v>
      </c>
      <c r="B123">
        <v>17</v>
      </c>
      <c r="C123">
        <f t="shared" si="27"/>
        <v>-2.8987536873252298E-2</v>
      </c>
      <c r="D123">
        <v>445.41</v>
      </c>
      <c r="E123">
        <f t="shared" si="27"/>
        <v>-1.6824257812841424E-3</v>
      </c>
      <c r="K123" s="129"/>
      <c r="U123" s="129"/>
    </row>
    <row r="124" spans="1:21">
      <c r="A124" s="129">
        <v>40575</v>
      </c>
      <c r="B124">
        <v>17.5</v>
      </c>
      <c r="C124">
        <f t="shared" si="27"/>
        <v>-5.014978368547144E-2</v>
      </c>
      <c r="D124">
        <v>446.16</v>
      </c>
      <c r="E124">
        <f t="shared" si="27"/>
        <v>3.6334439560743691E-2</v>
      </c>
      <c r="K124" s="129"/>
      <c r="U124" s="129"/>
    </row>
    <row r="125" spans="1:21">
      <c r="A125" s="129">
        <v>40544</v>
      </c>
      <c r="B125">
        <v>18.399999999999999</v>
      </c>
      <c r="C125">
        <f t="shared" si="27"/>
        <v>-7.5853342518259675E-2</v>
      </c>
      <c r="D125">
        <v>430.24</v>
      </c>
      <c r="E125">
        <f t="shared" si="27"/>
        <v>-2.1794968190108559E-2</v>
      </c>
      <c r="K125" s="129"/>
      <c r="U125" s="129"/>
    </row>
    <row r="126" spans="1:21">
      <c r="A126" s="129">
        <v>40513</v>
      </c>
      <c r="B126">
        <v>19.850000000000001</v>
      </c>
      <c r="C126">
        <f t="shared" si="27"/>
        <v>0.15499066307698339</v>
      </c>
      <c r="D126">
        <v>439.72</v>
      </c>
      <c r="E126">
        <f t="shared" si="27"/>
        <v>0.10454719740097983</v>
      </c>
      <c r="K126" s="129"/>
      <c r="U126" s="129"/>
    </row>
    <row r="127" spans="1:21">
      <c r="A127" s="129">
        <v>40483</v>
      </c>
      <c r="B127">
        <v>17</v>
      </c>
      <c r="C127">
        <f t="shared" si="27"/>
        <v>9.8845834636632643E-2</v>
      </c>
      <c r="D127">
        <v>396.07</v>
      </c>
      <c r="E127">
        <f t="shared" si="27"/>
        <v>-2.1357391739584453E-2</v>
      </c>
      <c r="K127" s="129"/>
      <c r="U127" s="129"/>
    </row>
    <row r="128" spans="1:21">
      <c r="A128" s="129">
        <v>40452</v>
      </c>
      <c r="B128">
        <v>15.4</v>
      </c>
      <c r="C128">
        <f t="shared" si="27"/>
        <v>0.10247866928293739</v>
      </c>
      <c r="D128">
        <v>404.62</v>
      </c>
      <c r="E128">
        <f t="shared" si="27"/>
        <v>5.9021007398947466E-2</v>
      </c>
      <c r="K128" s="129"/>
      <c r="U128" s="129"/>
    </row>
    <row r="129" spans="1:21">
      <c r="A129" s="129">
        <v>40422</v>
      </c>
      <c r="B129">
        <v>13.9</v>
      </c>
      <c r="C129">
        <f t="shared" si="27"/>
        <v>3.2909734088797958E-2</v>
      </c>
      <c r="D129">
        <v>381.43</v>
      </c>
      <c r="E129">
        <f t="shared" si="27"/>
        <v>7.8422927670542722E-2</v>
      </c>
      <c r="K129" s="129"/>
      <c r="U129" s="129"/>
    </row>
    <row r="130" spans="1:21">
      <c r="A130" s="129">
        <v>40391</v>
      </c>
      <c r="B130">
        <v>13.45</v>
      </c>
      <c r="C130" t="e">
        <f t="shared" si="27"/>
        <v>#DIV/0!</v>
      </c>
      <c r="D130">
        <v>352.66</v>
      </c>
      <c r="E130" t="e">
        <f t="shared" si="27"/>
        <v>#DIV/0!</v>
      </c>
      <c r="K130" s="129"/>
      <c r="U130" s="129"/>
    </row>
  </sheetData>
  <mergeCells count="6">
    <mergeCell ref="L1:M1"/>
    <mergeCell ref="N1:O1"/>
    <mergeCell ref="B1:C1"/>
    <mergeCell ref="D1:E1"/>
    <mergeCell ref="X1:Y1"/>
    <mergeCell ref="V1:W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4CEF7-9D3E-8C40-8015-ED796A903B21}">
  <dimension ref="B7:I37"/>
  <sheetViews>
    <sheetView topLeftCell="A4" zoomScale="130" zoomScaleNormal="130" workbookViewId="0">
      <selection activeCell="H44" sqref="H44"/>
    </sheetView>
  </sheetViews>
  <sheetFormatPr defaultColWidth="11" defaultRowHeight="15.95"/>
  <cols>
    <col min="2" max="2" width="27.5" customWidth="1"/>
    <col min="3" max="5" width="11.375" bestFit="1" customWidth="1"/>
    <col min="6" max="8" width="11" bestFit="1" customWidth="1"/>
  </cols>
  <sheetData>
    <row r="7" spans="2:9">
      <c r="B7" s="204" t="s">
        <v>260</v>
      </c>
      <c r="C7" s="204"/>
      <c r="D7" s="204"/>
      <c r="E7" s="204"/>
      <c r="F7" s="204"/>
      <c r="G7" s="204"/>
      <c r="H7" s="204"/>
    </row>
    <row r="8" spans="2:9">
      <c r="B8" s="4"/>
      <c r="C8" s="4">
        <v>2015</v>
      </c>
      <c r="D8" s="4">
        <v>2016</v>
      </c>
      <c r="E8" s="4">
        <v>2017</v>
      </c>
      <c r="F8" s="4">
        <v>2018</v>
      </c>
      <c r="G8" s="4">
        <v>2019</v>
      </c>
      <c r="H8" s="4">
        <v>2020</v>
      </c>
      <c r="I8" t="s">
        <v>150</v>
      </c>
    </row>
    <row r="9" spans="2:9">
      <c r="B9" s="6" t="s">
        <v>138</v>
      </c>
      <c r="C9" s="23">
        <f>'Profitability analysis'!C32</f>
        <v>3.6597861698368428E-2</v>
      </c>
      <c r="D9" s="23">
        <f>'Profitability analysis'!D32</f>
        <v>7.9107747043343377E-2</v>
      </c>
      <c r="E9" s="23">
        <f>'Profitability analysis'!E32</f>
        <v>3.1288223130297409E-2</v>
      </c>
      <c r="F9" s="23">
        <f>'Profitability analysis'!F32</f>
        <v>5.6900178932384866E-2</v>
      </c>
      <c r="G9" s="23">
        <f>'Profitability analysis'!G32</f>
        <v>2.6788936980071634E-2</v>
      </c>
      <c r="H9" s="23">
        <f>'Profitability analysis'!H32</f>
        <v>1.1162381704751163E-2</v>
      </c>
    </row>
    <row r="10" spans="2:9">
      <c r="B10" s="6" t="s">
        <v>261</v>
      </c>
      <c r="C10" s="26">
        <f>-'Cash Flow'!B38/'Income statement'!B14</f>
        <v>0.43375321413793522</v>
      </c>
      <c r="D10" s="26">
        <f>-'Cash Flow'!C38/'Income statement'!C14</f>
        <v>0.154108339534032</v>
      </c>
      <c r="E10" s="26">
        <f>-'Cash Flow'!D38/'Income statement'!D14</f>
        <v>0.41698376357201417</v>
      </c>
      <c r="F10" s="26">
        <f>-'Cash Flow'!E38/'Income statement'!E14</f>
        <v>0.21961876028397534</v>
      </c>
      <c r="G10" s="26">
        <f>-'Cash Flow'!F38/'Income statement'!F14</f>
        <v>0.52998501998723613</v>
      </c>
      <c r="H10" s="26">
        <f>-'Cash Flow'!G38/'Income statement'!G14</f>
        <v>0.82316208687474623</v>
      </c>
    </row>
    <row r="11" spans="2:9">
      <c r="B11" s="46" t="s">
        <v>262</v>
      </c>
      <c r="C11" s="45">
        <f>C9*(1-C10)</f>
        <v>2.0723421556125488E-2</v>
      </c>
      <c r="D11" s="45">
        <f t="shared" ref="D11:H11" si="0">D9*(1-D10)</f>
        <v>6.6916583502215493E-2</v>
      </c>
      <c r="E11" s="45">
        <f t="shared" si="0"/>
        <v>1.8241542093945049E-2</v>
      </c>
      <c r="F11" s="45">
        <f t="shared" si="0"/>
        <v>4.4403832175318132E-2</v>
      </c>
      <c r="G11" s="45">
        <f t="shared" si="0"/>
        <v>1.2591201679251559E-2</v>
      </c>
      <c r="H11" s="45">
        <f t="shared" si="0"/>
        <v>1.973932286175708E-3</v>
      </c>
      <c r="I11" s="17">
        <f>AVERAGE(C11:H11)</f>
        <v>2.7475085548838572E-2</v>
      </c>
    </row>
    <row r="12" spans="2:9">
      <c r="H12" s="15"/>
    </row>
    <row r="13" spans="2:9">
      <c r="H13" s="15"/>
    </row>
    <row r="14" spans="2:9">
      <c r="H14" s="15"/>
    </row>
    <row r="15" spans="2:9">
      <c r="H15" s="4"/>
    </row>
    <row r="20" spans="2:9">
      <c r="B20" s="205" t="s">
        <v>263</v>
      </c>
      <c r="C20" s="205"/>
      <c r="D20" s="205"/>
      <c r="E20" s="205"/>
      <c r="F20" s="205"/>
      <c r="G20" s="205"/>
      <c r="H20" s="205"/>
      <c r="I20" s="205"/>
    </row>
    <row r="21" spans="2:9">
      <c r="B21" s="4"/>
      <c r="C21" s="4">
        <v>2015</v>
      </c>
      <c r="D21" s="4">
        <v>2016</v>
      </c>
      <c r="E21" s="4">
        <v>2017</v>
      </c>
      <c r="F21" s="4">
        <v>2018</v>
      </c>
      <c r="G21" s="4">
        <v>2019</v>
      </c>
      <c r="H21" s="4">
        <v>2020</v>
      </c>
      <c r="I21" s="4" t="s">
        <v>150</v>
      </c>
    </row>
    <row r="22" spans="2:9">
      <c r="B22" s="46" t="s">
        <v>264</v>
      </c>
      <c r="C22" s="45">
        <f>LN('Income statement'!B2/12579465)</f>
        <v>6.6967285394818443E-2</v>
      </c>
      <c r="D22" s="45">
        <f>LN('Income statement'!C2/'Income statement'!B2)</f>
        <v>0.24989607674278472</v>
      </c>
      <c r="E22" s="45">
        <f>LN('Income statement'!D2/'Income statement'!C2)</f>
        <v>7.5495944859645808E-2</v>
      </c>
      <c r="F22" s="45">
        <f>LN('Income statement'!E2/'Income statement'!D2)</f>
        <v>6.3155962397571208E-2</v>
      </c>
      <c r="G22" s="45">
        <f>LN('Income statement'!F2/'Income statement'!E2)</f>
        <v>2.9271765644747968E-2</v>
      </c>
      <c r="H22" s="45">
        <f>LN('Income statement'!G2/'Income statement'!F2)</f>
        <v>-2.3139921724000423E-2</v>
      </c>
      <c r="I22" s="45">
        <f>AVERAGE(C22:H22)</f>
        <v>7.6941185552594618E-2</v>
      </c>
    </row>
    <row r="23" spans="2:9">
      <c r="B23" s="4" t="s">
        <v>174</v>
      </c>
      <c r="C23" s="55">
        <f>LN('Income statement'!B14/1461262)</f>
        <v>7.0794437901670365E-2</v>
      </c>
      <c r="D23" s="55">
        <f>LN('Income statement'!C14/'Income statement'!B14)</f>
        <v>1.0117776182264795</v>
      </c>
      <c r="E23" s="55">
        <f>LN('Income statement'!D14/'Income statement'!C14)</f>
        <v>-0.76850534568221163</v>
      </c>
      <c r="F23" s="55">
        <f>LN('Income statement'!E14/'Income statement'!D14)</f>
        <v>0.77069208939042033</v>
      </c>
      <c r="G23" s="55">
        <f>LN('Income statement'!F14/'Income statement'!E14)</f>
        <v>-0.58836886629777341</v>
      </c>
      <c r="H23" s="55">
        <f>LN('Income statement'!G14/'Income statement'!F14)</f>
        <v>-0.75977219266112495</v>
      </c>
      <c r="I23" s="55">
        <f t="shared" ref="I23:I26" si="1">AVERAGE(C23:H23)</f>
        <v>-4.389704318709E-2</v>
      </c>
    </row>
    <row r="24" spans="2:9">
      <c r="B24" s="46" t="s">
        <v>189</v>
      </c>
      <c r="C24" s="45">
        <f>LN('Balance sheet'!C21/8079596)</f>
        <v>8.1316483796416344E-2</v>
      </c>
      <c r="D24" s="45">
        <f>LN('Balance sheet'!D21/'Balance sheet'!C21)</f>
        <v>0.43020937531615272</v>
      </c>
      <c r="E24" s="45">
        <f>LN('Balance sheet'!E21/'Balance sheet'!D21)</f>
        <v>7.2047192786408087E-2</v>
      </c>
      <c r="F24" s="45">
        <f>LN('Balance sheet'!F21/'Balance sheet'!E21)</f>
        <v>0.16816679562814241</v>
      </c>
      <c r="G24" s="45">
        <f>LN('Balance sheet'!G21/'Balance sheet'!F21)</f>
        <v>3.6053150079081143E-2</v>
      </c>
      <c r="H24" s="45">
        <f>LN('Balance sheet'!H21/'Balance sheet'!G21)</f>
        <v>-7.3758229858690069E-3</v>
      </c>
      <c r="I24" s="45">
        <f t="shared" si="1"/>
        <v>0.13006952910338862</v>
      </c>
    </row>
    <row r="25" spans="2:9">
      <c r="B25" s="155" t="s">
        <v>265</v>
      </c>
      <c r="C25" s="55" t="s">
        <v>16</v>
      </c>
      <c r="D25" s="55" t="s">
        <v>16</v>
      </c>
      <c r="E25" s="55">
        <f>LN(-'Income statement'!M14/'Income statement'!L14)</f>
        <v>7.234149214579115E-2</v>
      </c>
      <c r="F25" s="55">
        <f>LN('Income statement'!N14/'Income statement'!M14)</f>
        <v>-0.40105902916226921</v>
      </c>
      <c r="G25" s="55">
        <f>LN('Income statement'!O14/'Income statement'!N14)</f>
        <v>-5.1793320646862796E-2</v>
      </c>
      <c r="H25" s="55">
        <f>LN('Income statement'!P14/'Income statement'!O14)</f>
        <v>0.26084440074669457</v>
      </c>
      <c r="I25" s="55">
        <f t="shared" si="1"/>
        <v>-2.9916614229161573E-2</v>
      </c>
    </row>
    <row r="26" spans="2:9">
      <c r="B26" s="140" t="s">
        <v>266</v>
      </c>
      <c r="C26" s="154">
        <f>C11</f>
        <v>2.0723421556125488E-2</v>
      </c>
      <c r="D26" s="154">
        <f t="shared" ref="D26:G26" si="2">D11</f>
        <v>6.6916583502215493E-2</v>
      </c>
      <c r="E26" s="154">
        <f t="shared" si="2"/>
        <v>1.8241542093945049E-2</v>
      </c>
      <c r="F26" s="154">
        <f t="shared" si="2"/>
        <v>4.4403832175318132E-2</v>
      </c>
      <c r="G26" s="154">
        <f t="shared" si="2"/>
        <v>1.2591201679251559E-2</v>
      </c>
      <c r="H26" s="154">
        <f t="shared" ref="H26" si="3">H11</f>
        <v>1.973932286175708E-3</v>
      </c>
      <c r="I26" s="154">
        <f t="shared" si="1"/>
        <v>2.7475085548838572E-2</v>
      </c>
    </row>
    <row r="33" spans="8:8">
      <c r="H33" s="14"/>
    </row>
    <row r="34" spans="8:8">
      <c r="H34" s="14"/>
    </row>
    <row r="35" spans="8:8">
      <c r="H35" s="14"/>
    </row>
    <row r="36" spans="8:8">
      <c r="H36" s="14"/>
    </row>
    <row r="37" spans="8:8">
      <c r="H37" s="14"/>
    </row>
  </sheetData>
  <mergeCells count="2">
    <mergeCell ref="B7:H7"/>
    <mergeCell ref="B20:I2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FB115-1C78-C846-AEA7-A728736B99F6}">
  <dimension ref="B3:M27"/>
  <sheetViews>
    <sheetView tabSelected="1" workbookViewId="0">
      <selection activeCell="J42" sqref="J42"/>
    </sheetView>
  </sheetViews>
  <sheetFormatPr defaultColWidth="11" defaultRowHeight="15.95"/>
  <cols>
    <col min="2" max="2" width="21.5" customWidth="1"/>
    <col min="3" max="3" width="13" bestFit="1" customWidth="1"/>
    <col min="4" max="7" width="14" bestFit="1" customWidth="1"/>
    <col min="8" max="8" width="14.875" customWidth="1"/>
    <col min="9" max="9" width="10.875" customWidth="1"/>
    <col min="10" max="10" width="17.5" customWidth="1"/>
  </cols>
  <sheetData>
    <row r="3" spans="2:13">
      <c r="B3" s="4"/>
      <c r="C3" s="4">
        <v>2015</v>
      </c>
      <c r="D3" s="4">
        <v>2016</v>
      </c>
      <c r="E3" s="4">
        <v>2017</v>
      </c>
      <c r="F3" s="4">
        <v>2018</v>
      </c>
      <c r="G3" s="4">
        <v>2019</v>
      </c>
      <c r="H3" s="4">
        <v>2020</v>
      </c>
    </row>
    <row r="4" spans="2:13">
      <c r="B4" s="183" t="str">
        <f>B13</f>
        <v>Financial leverage</v>
      </c>
      <c r="C4" s="183">
        <f t="shared" ref="C4:H4" si="0">C13</f>
        <v>0.14376318168810501</v>
      </c>
      <c r="D4" s="183">
        <f t="shared" si="0"/>
        <v>0.18068096696905908</v>
      </c>
      <c r="E4" s="183">
        <f t="shared" si="0"/>
        <v>0.1057492127189648</v>
      </c>
      <c r="F4" s="183">
        <f t="shared" si="0"/>
        <v>9.2268369450966448E-2</v>
      </c>
      <c r="G4" s="183">
        <f t="shared" si="0"/>
        <v>0.14139141666534372</v>
      </c>
      <c r="H4" s="183">
        <f t="shared" si="0"/>
        <v>0.16810127779703801</v>
      </c>
    </row>
    <row r="5" spans="2:13">
      <c r="B5" s="46" t="s">
        <v>267</v>
      </c>
      <c r="C5" s="181">
        <f t="shared" ref="C5:H5" si="1">C19</f>
        <v>2.5435216130702556</v>
      </c>
      <c r="D5" s="181">
        <f t="shared" si="1"/>
        <v>2.9049207295648376</v>
      </c>
      <c r="E5" s="181">
        <f t="shared" si="1"/>
        <v>2.9798221969982217</v>
      </c>
      <c r="F5" s="181">
        <f t="shared" si="1"/>
        <v>2.9910671239231883</v>
      </c>
      <c r="G5" s="181">
        <f t="shared" si="1"/>
        <v>2.8107746375850113</v>
      </c>
      <c r="H5" s="181">
        <f t="shared" si="1"/>
        <v>2.6781241091165708</v>
      </c>
    </row>
    <row r="6" spans="2:13">
      <c r="B6" s="4"/>
      <c r="C6" s="4"/>
      <c r="D6" s="4"/>
      <c r="E6" s="4"/>
    </row>
    <row r="7" spans="2:13">
      <c r="B7" s="4"/>
      <c r="C7" s="4"/>
      <c r="D7" s="4"/>
      <c r="E7" s="4"/>
      <c r="F7" s="4"/>
      <c r="G7" s="4"/>
    </row>
    <row r="8" spans="2:13">
      <c r="B8" s="4"/>
      <c r="C8" s="4"/>
      <c r="D8" s="4"/>
      <c r="E8" s="4"/>
      <c r="F8" s="4"/>
      <c r="G8" s="4"/>
    </row>
    <row r="9" spans="2:13">
      <c r="B9" s="199" t="s">
        <v>268</v>
      </c>
      <c r="C9" s="199"/>
      <c r="D9" s="199"/>
      <c r="E9" s="199"/>
      <c r="G9" s="4"/>
      <c r="J9" s="4"/>
      <c r="K9" s="4"/>
      <c r="L9" s="4"/>
      <c r="M9" s="4"/>
    </row>
    <row r="10" spans="2:13">
      <c r="B10" s="4"/>
      <c r="C10" s="4">
        <v>2015</v>
      </c>
      <c r="D10" s="4">
        <v>2016</v>
      </c>
      <c r="E10" s="4">
        <v>2017</v>
      </c>
      <c r="F10" s="4">
        <v>2018</v>
      </c>
      <c r="G10" s="4">
        <v>2019</v>
      </c>
      <c r="H10" s="4">
        <v>2020</v>
      </c>
    </row>
    <row r="11" spans="2:13">
      <c r="B11" s="4" t="s">
        <v>269</v>
      </c>
      <c r="C11" s="91">
        <f>'Balance sheet'!AD38</f>
        <v>1259948</v>
      </c>
      <c r="D11" s="91">
        <f>'Balance sheet'!AE38</f>
        <v>2434753</v>
      </c>
      <c r="E11" s="91">
        <f>'Balance sheet'!AF38</f>
        <v>1531473</v>
      </c>
      <c r="F11" s="91">
        <f>'Balance sheet'!AG38</f>
        <v>1580953</v>
      </c>
      <c r="G11" s="91">
        <f>'Balance sheet'!AH38</f>
        <v>2511579</v>
      </c>
      <c r="H11" s="91">
        <f>'Balance sheet'!AI38</f>
        <v>2964091</v>
      </c>
    </row>
    <row r="12" spans="2:13">
      <c r="B12" s="4" t="s">
        <v>270</v>
      </c>
      <c r="C12" s="91">
        <f>'Balance sheet'!AD32</f>
        <v>8764052</v>
      </c>
      <c r="D12" s="91">
        <f>'Balance sheet'!AE32</f>
        <v>13475426</v>
      </c>
      <c r="E12" s="91">
        <f>'Balance sheet'!AF32</f>
        <v>14482122</v>
      </c>
      <c r="F12" s="91">
        <f>'Balance sheet'!AG32</f>
        <v>17134290</v>
      </c>
      <c r="G12" s="91">
        <f>'Balance sheet'!AH32</f>
        <v>17763306</v>
      </c>
      <c r="H12" s="91">
        <f>'Balance sheet'!AI32</f>
        <v>17632769</v>
      </c>
    </row>
    <row r="13" spans="2:13">
      <c r="B13" s="46" t="s">
        <v>268</v>
      </c>
      <c r="C13" s="45">
        <f>C11/C12</f>
        <v>0.14376318168810501</v>
      </c>
      <c r="D13" s="45">
        <f t="shared" ref="D13:H13" si="2">D11/D12</f>
        <v>0.18068096696905908</v>
      </c>
      <c r="E13" s="45">
        <f t="shared" si="2"/>
        <v>0.1057492127189648</v>
      </c>
      <c r="F13" s="45">
        <f t="shared" si="2"/>
        <v>9.2268369450966448E-2</v>
      </c>
      <c r="G13" s="45">
        <f t="shared" si="2"/>
        <v>0.14139141666534372</v>
      </c>
      <c r="H13" s="45">
        <f t="shared" si="2"/>
        <v>0.16810127779703801</v>
      </c>
    </row>
    <row r="14" spans="2:13">
      <c r="B14" s="4"/>
      <c r="C14" s="4"/>
      <c r="D14" s="4"/>
      <c r="E14" s="4"/>
      <c r="G14" s="4"/>
    </row>
    <row r="15" spans="2:13">
      <c r="B15" s="199" t="s">
        <v>267</v>
      </c>
      <c r="C15" s="199"/>
      <c r="D15" s="199"/>
      <c r="E15" s="199"/>
      <c r="G15" s="4"/>
    </row>
    <row r="16" spans="2:13">
      <c r="B16" s="4"/>
      <c r="C16" s="4">
        <v>2015</v>
      </c>
      <c r="D16" s="4">
        <v>2016</v>
      </c>
      <c r="E16" s="4">
        <v>2017</v>
      </c>
      <c r="F16" s="4">
        <v>2018</v>
      </c>
      <c r="G16" s="4">
        <v>2019</v>
      </c>
      <c r="H16" s="4">
        <v>2020</v>
      </c>
      <c r="J16" s="4"/>
      <c r="K16" s="4"/>
      <c r="L16" s="4"/>
      <c r="M16" s="4"/>
    </row>
    <row r="17" spans="2:8">
      <c r="B17" s="4" t="s">
        <v>59</v>
      </c>
      <c r="C17" s="3">
        <f>'Balance sheet'!C12</f>
        <v>7997127</v>
      </c>
      <c r="D17" s="3">
        <f>'Balance sheet'!D12</f>
        <v>12004399</v>
      </c>
      <c r="E17" s="3">
        <f>'Balance sheet'!E12</f>
        <v>11372405</v>
      </c>
      <c r="F17" s="3">
        <f>'Balance sheet'!F12</f>
        <v>12494818</v>
      </c>
      <c r="G17" s="3">
        <f>'Balance sheet'!G12</f>
        <v>12392607</v>
      </c>
      <c r="H17" s="3">
        <f>'Balance sheet'!H12</f>
        <v>11460925</v>
      </c>
    </row>
    <row r="18" spans="2:8">
      <c r="B18" s="4" t="s">
        <v>271</v>
      </c>
      <c r="C18" s="91">
        <f>'Balance sheet'!C34</f>
        <v>3144116</v>
      </c>
      <c r="D18" s="91">
        <f>'Balance sheet'!D34</f>
        <v>4132436</v>
      </c>
      <c r="E18" s="91">
        <f>'Balance sheet'!E34</f>
        <v>3816471</v>
      </c>
      <c r="F18" s="91">
        <f>'Balance sheet'!F34</f>
        <v>4177378</v>
      </c>
      <c r="G18" s="91">
        <f>'Balance sheet'!G34</f>
        <v>4408965</v>
      </c>
      <c r="H18" s="91">
        <f>'Balance sheet'!H34</f>
        <v>4279460</v>
      </c>
    </row>
    <row r="19" spans="2:8">
      <c r="B19" s="46" t="s">
        <v>267</v>
      </c>
      <c r="C19" s="182">
        <f>C17/C18</f>
        <v>2.5435216130702556</v>
      </c>
      <c r="D19" s="182">
        <f t="shared" ref="D19:H19" si="3">D17/D18</f>
        <v>2.9049207295648376</v>
      </c>
      <c r="E19" s="182">
        <f t="shared" si="3"/>
        <v>2.9798221969982217</v>
      </c>
      <c r="F19" s="182">
        <f t="shared" si="3"/>
        <v>2.9910671239231883</v>
      </c>
      <c r="G19" s="182">
        <f t="shared" si="3"/>
        <v>2.8107746375850113</v>
      </c>
      <c r="H19" s="182">
        <f t="shared" si="3"/>
        <v>2.6781241091165708</v>
      </c>
    </row>
    <row r="20" spans="2:8">
      <c r="G20" s="4"/>
    </row>
    <row r="21" spans="2:8">
      <c r="G21" s="4"/>
    </row>
    <row r="22" spans="2:8">
      <c r="B22" s="4"/>
      <c r="C22" s="4"/>
      <c r="D22" s="4"/>
      <c r="E22" s="4"/>
      <c r="G22" s="4"/>
    </row>
    <row r="23" spans="2:8">
      <c r="B23" s="4"/>
      <c r="G23" s="4"/>
    </row>
    <row r="24" spans="2:8">
      <c r="B24" s="4"/>
      <c r="G24" s="4"/>
    </row>
    <row r="25" spans="2:8">
      <c r="B25" s="4"/>
      <c r="C25" s="4"/>
      <c r="D25" s="4"/>
      <c r="E25" s="4"/>
      <c r="F25" s="4"/>
      <c r="G25" s="4"/>
    </row>
    <row r="26" spans="2:8">
      <c r="B26" s="4"/>
      <c r="C26" s="4"/>
      <c r="D26" s="4"/>
      <c r="E26" s="4"/>
      <c r="F26" s="4"/>
      <c r="G26" s="4"/>
    </row>
    <row r="27" spans="2:8">
      <c r="B27" s="4"/>
      <c r="C27" s="4"/>
      <c r="D27" s="4"/>
      <c r="E27" s="4"/>
      <c r="F27" s="4"/>
      <c r="G27" s="4"/>
    </row>
  </sheetData>
  <mergeCells count="2">
    <mergeCell ref="B15:E15"/>
    <mergeCell ref="B9:E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D6875-28F2-4244-A5D6-401FD5F34C20}">
  <dimension ref="A1:AO52"/>
  <sheetViews>
    <sheetView topLeftCell="G1" zoomScale="69" zoomScaleNormal="69" workbookViewId="0">
      <selection activeCell="Y52" sqref="Y52"/>
    </sheetView>
  </sheetViews>
  <sheetFormatPr defaultColWidth="10.875" defaultRowHeight="15.95"/>
  <cols>
    <col min="1" max="1" width="41.875" style="16" customWidth="1"/>
    <col min="2" max="2" width="2.5" style="111" customWidth="1"/>
    <col min="3" max="3" width="11" style="16" customWidth="1"/>
    <col min="4" max="8" width="10.875" style="16" customWidth="1"/>
    <col min="9" max="9" width="13" style="16" customWidth="1"/>
    <col min="10" max="10" width="38.625" style="16" customWidth="1"/>
    <col min="11" max="11" width="2.125" style="16" customWidth="1"/>
    <col min="12" max="15" width="10.875" style="16" customWidth="1"/>
    <col min="16" max="16" width="11" style="16" customWidth="1"/>
    <col min="17" max="17" width="10.875" style="16" customWidth="1"/>
    <col min="18" max="18" width="10.875" style="16"/>
    <col min="19" max="19" width="38.625" style="16" customWidth="1"/>
    <col min="20" max="20" width="2.375" style="16" customWidth="1"/>
    <col min="21" max="25" width="10.875" style="16"/>
    <col min="26" max="27" width="10.875" style="16" customWidth="1"/>
    <col min="28" max="28" width="38.625" style="16" customWidth="1"/>
    <col min="29" max="29" width="2.875" style="16" customWidth="1"/>
    <col min="30" max="33" width="10.875" style="16"/>
    <col min="34" max="34" width="11.125" style="16" customWidth="1"/>
    <col min="35" max="37" width="10.875" style="16"/>
    <col min="38" max="38" width="28" style="16" bestFit="1" customWidth="1"/>
    <col min="39" max="50" width="10.875" style="16"/>
    <col min="51" max="51" width="59" style="16" customWidth="1"/>
    <col min="52" max="16384" width="10.875" style="16"/>
  </cols>
  <sheetData>
    <row r="1" spans="1:41" s="78" customFormat="1" ht="17.100000000000001" thickBot="1">
      <c r="A1" s="34"/>
      <c r="B1" s="116"/>
      <c r="C1" s="34">
        <v>2015</v>
      </c>
      <c r="D1" s="34">
        <v>2016</v>
      </c>
      <c r="E1" s="34">
        <v>2017</v>
      </c>
      <c r="F1" s="34">
        <v>2018</v>
      </c>
      <c r="G1" s="34">
        <v>2019</v>
      </c>
      <c r="H1" s="34">
        <v>2020</v>
      </c>
      <c r="J1" s="11" t="s">
        <v>37</v>
      </c>
      <c r="K1" s="11"/>
      <c r="L1" s="108">
        <v>2015</v>
      </c>
      <c r="M1" s="108">
        <v>2016</v>
      </c>
      <c r="N1" s="108">
        <v>2017</v>
      </c>
      <c r="O1" s="108">
        <v>2018</v>
      </c>
      <c r="P1" s="108">
        <v>2019</v>
      </c>
      <c r="Q1" s="108">
        <v>2020</v>
      </c>
      <c r="S1" s="11" t="s">
        <v>38</v>
      </c>
      <c r="T1" s="11"/>
      <c r="U1" s="34">
        <v>2015</v>
      </c>
      <c r="V1" s="34">
        <v>2016</v>
      </c>
      <c r="W1" s="34">
        <v>2017</v>
      </c>
      <c r="X1" s="34">
        <v>2018</v>
      </c>
      <c r="Y1" s="34">
        <v>2019</v>
      </c>
      <c r="Z1" s="34">
        <v>2020</v>
      </c>
      <c r="AA1" s="31"/>
      <c r="AB1" s="11" t="s">
        <v>39</v>
      </c>
      <c r="AC1" s="11"/>
      <c r="AD1" s="34">
        <v>2015</v>
      </c>
      <c r="AE1" s="34">
        <v>2016</v>
      </c>
      <c r="AF1" s="34">
        <v>2017</v>
      </c>
      <c r="AG1" s="34">
        <v>2018</v>
      </c>
      <c r="AH1" s="34">
        <v>2019</v>
      </c>
      <c r="AI1" s="34">
        <v>2020</v>
      </c>
      <c r="AL1" s="197" t="s">
        <v>40</v>
      </c>
      <c r="AM1" s="197"/>
      <c r="AN1" s="197"/>
      <c r="AO1" s="197"/>
    </row>
    <row r="2" spans="1:41" ht="17.100000000000001" thickBot="1">
      <c r="A2" s="35" t="s">
        <v>41</v>
      </c>
      <c r="B2" s="109"/>
      <c r="J2" s="35" t="s">
        <v>41</v>
      </c>
      <c r="K2" s="35"/>
      <c r="S2" s="35" t="s">
        <v>41</v>
      </c>
      <c r="T2" s="35"/>
      <c r="AB2" s="35" t="s">
        <v>41</v>
      </c>
      <c r="AC2" s="35"/>
      <c r="AL2" s="77"/>
      <c r="AM2" s="34">
        <v>2018</v>
      </c>
      <c r="AN2" s="34">
        <v>2019</v>
      </c>
      <c r="AO2" s="34">
        <v>2020</v>
      </c>
    </row>
    <row r="3" spans="1:41">
      <c r="A3" s="36" t="s">
        <v>42</v>
      </c>
      <c r="B3" s="110"/>
      <c r="C3" s="10">
        <f t="shared" ref="C3:F3" si="0">SUM(C4:C10)</f>
        <v>7986576</v>
      </c>
      <c r="D3" s="10">
        <f t="shared" si="0"/>
        <v>13074188</v>
      </c>
      <c r="E3" s="10">
        <f t="shared" si="0"/>
        <v>14285707</v>
      </c>
      <c r="F3" s="10">
        <f t="shared" si="0"/>
        <v>15877914</v>
      </c>
      <c r="G3" s="10">
        <f>SUM(G4:G10)</f>
        <v>17796824</v>
      </c>
      <c r="H3" s="10">
        <f>SUM(H4:H10)</f>
        <v>18702174</v>
      </c>
      <c r="J3" s="16" t="str">
        <f t="shared" ref="J3:Q9" si="1">A4</f>
        <v>Deferred tax assets</v>
      </c>
      <c r="K3" s="16" t="str">
        <f t="shared" si="1"/>
        <v>O</v>
      </c>
      <c r="L3" s="16">
        <f t="shared" si="1"/>
        <v>41536</v>
      </c>
      <c r="M3" s="16">
        <f t="shared" si="1"/>
        <v>31059</v>
      </c>
      <c r="N3" s="16">
        <f t="shared" si="1"/>
        <v>28852</v>
      </c>
      <c r="O3" s="16">
        <f t="shared" si="1"/>
        <v>14311</v>
      </c>
      <c r="P3" s="16">
        <f t="shared" si="1"/>
        <v>2932</v>
      </c>
      <c r="Q3" s="16">
        <f t="shared" si="1"/>
        <v>18110</v>
      </c>
      <c r="S3" s="16" t="str">
        <f>J3</f>
        <v>Deferred tax assets</v>
      </c>
      <c r="T3" s="16" t="str">
        <f t="shared" ref="T3:T9" si="2">K3</f>
        <v>O</v>
      </c>
      <c r="U3" s="16">
        <f t="shared" ref="U3:Z9" si="3">C4</f>
        <v>41536</v>
      </c>
      <c r="V3" s="16">
        <f t="shared" si="3"/>
        <v>31059</v>
      </c>
      <c r="W3" s="16">
        <f t="shared" si="3"/>
        <v>28852</v>
      </c>
      <c r="X3" s="16">
        <f t="shared" si="3"/>
        <v>14311</v>
      </c>
      <c r="Y3" s="16">
        <f t="shared" si="3"/>
        <v>2932</v>
      </c>
      <c r="Z3" s="16">
        <f t="shared" si="3"/>
        <v>18110</v>
      </c>
      <c r="AA3" s="37"/>
      <c r="AB3" s="16" t="str">
        <f t="shared" ref="AB3:AI9" si="4">A4</f>
        <v>Deferred tax assets</v>
      </c>
      <c r="AC3" s="16" t="str">
        <f t="shared" si="4"/>
        <v>O</v>
      </c>
      <c r="AD3" s="16">
        <f t="shared" si="4"/>
        <v>41536</v>
      </c>
      <c r="AE3" s="16">
        <f t="shared" si="4"/>
        <v>31059</v>
      </c>
      <c r="AF3" s="16">
        <f t="shared" si="4"/>
        <v>28852</v>
      </c>
      <c r="AG3" s="16">
        <f t="shared" si="4"/>
        <v>14311</v>
      </c>
      <c r="AH3" s="16">
        <f t="shared" si="4"/>
        <v>2932</v>
      </c>
      <c r="AI3" s="16">
        <f t="shared" si="4"/>
        <v>18110</v>
      </c>
      <c r="AL3" s="193" t="s">
        <v>41</v>
      </c>
      <c r="AM3" s="194"/>
      <c r="AN3" s="194"/>
      <c r="AO3" s="194"/>
    </row>
    <row r="4" spans="1:41">
      <c r="A4" s="97" t="s">
        <v>43</v>
      </c>
      <c r="B4" s="111" t="s">
        <v>44</v>
      </c>
      <c r="C4" s="16">
        <v>41536</v>
      </c>
      <c r="D4" s="16">
        <v>31059</v>
      </c>
      <c r="E4" s="16">
        <v>28852</v>
      </c>
      <c r="F4" s="16">
        <v>14311</v>
      </c>
      <c r="G4" s="16">
        <v>2932</v>
      </c>
      <c r="H4" s="16">
        <v>18110</v>
      </c>
      <c r="J4" s="16" t="str">
        <f t="shared" si="1"/>
        <v>Intangibles</v>
      </c>
      <c r="K4" s="16" t="str">
        <f t="shared" si="1"/>
        <v>O</v>
      </c>
      <c r="L4" s="16">
        <f t="shared" si="1"/>
        <v>4349916</v>
      </c>
      <c r="M4" s="16">
        <f t="shared" si="1"/>
        <v>8018448</v>
      </c>
      <c r="N4" s="16">
        <f t="shared" si="1"/>
        <v>8019627</v>
      </c>
      <c r="O4" s="16">
        <f t="shared" si="1"/>
        <v>8166075</v>
      </c>
      <c r="P4" s="16">
        <f t="shared" si="1"/>
        <v>8150610</v>
      </c>
      <c r="Q4" s="16">
        <f t="shared" si="1"/>
        <v>8307280</v>
      </c>
      <c r="S4" s="16" t="str">
        <f t="shared" ref="S4:S9" si="5">J4</f>
        <v>Intangibles</v>
      </c>
      <c r="T4" s="16" t="str">
        <f t="shared" si="2"/>
        <v>O</v>
      </c>
      <c r="U4" s="16">
        <f t="shared" si="3"/>
        <v>4349916</v>
      </c>
      <c r="V4" s="16">
        <f t="shared" si="3"/>
        <v>8018448</v>
      </c>
      <c r="W4" s="16">
        <f t="shared" si="3"/>
        <v>8019627</v>
      </c>
      <c r="X4" s="16">
        <f t="shared" si="3"/>
        <v>8166075</v>
      </c>
      <c r="Y4" s="16">
        <f t="shared" si="3"/>
        <v>8150610</v>
      </c>
      <c r="Z4" s="16">
        <f t="shared" si="3"/>
        <v>8307280</v>
      </c>
      <c r="AA4" s="37"/>
      <c r="AB4" s="16" t="str">
        <f t="shared" si="4"/>
        <v>Intangibles</v>
      </c>
      <c r="AC4" s="16" t="str">
        <f t="shared" si="4"/>
        <v>O</v>
      </c>
      <c r="AD4" s="16">
        <f t="shared" si="4"/>
        <v>4349916</v>
      </c>
      <c r="AE4" s="16">
        <f t="shared" si="4"/>
        <v>8018448</v>
      </c>
      <c r="AF4" s="16">
        <f t="shared" si="4"/>
        <v>8019627</v>
      </c>
      <c r="AG4" s="16">
        <f t="shared" si="4"/>
        <v>8166075</v>
      </c>
      <c r="AH4" s="16">
        <f t="shared" si="4"/>
        <v>8150610</v>
      </c>
      <c r="AI4" s="16">
        <f t="shared" si="4"/>
        <v>8307280</v>
      </c>
      <c r="AL4" s="32" t="s">
        <v>45</v>
      </c>
      <c r="AM4" s="32">
        <v>13433957</v>
      </c>
      <c r="AN4" s="32">
        <v>15322294</v>
      </c>
      <c r="AO4" s="32">
        <v>16381804</v>
      </c>
    </row>
    <row r="5" spans="1:41">
      <c r="A5" s="97" t="s">
        <v>46</v>
      </c>
      <c r="B5" s="111" t="s">
        <v>44</v>
      </c>
      <c r="C5" s="16">
        <v>4349916</v>
      </c>
      <c r="D5" s="16">
        <v>8018448</v>
      </c>
      <c r="E5" s="16">
        <v>8019627</v>
      </c>
      <c r="F5" s="16">
        <v>8166075</v>
      </c>
      <c r="G5" s="16">
        <v>8150610</v>
      </c>
      <c r="H5" s="16">
        <v>8307280</v>
      </c>
      <c r="J5" s="16" t="str">
        <f t="shared" si="1"/>
        <v>Right-of-use assets</v>
      </c>
      <c r="K5" s="16" t="str">
        <f t="shared" si="1"/>
        <v>O</v>
      </c>
      <c r="L5" s="16">
        <f t="shared" si="1"/>
        <v>0</v>
      </c>
      <c r="M5" s="16">
        <f t="shared" si="1"/>
        <v>0</v>
      </c>
      <c r="N5" s="16">
        <f t="shared" si="1"/>
        <v>0</v>
      </c>
      <c r="O5" s="16">
        <f t="shared" si="1"/>
        <v>0</v>
      </c>
      <c r="P5" s="16">
        <f t="shared" si="1"/>
        <v>2378102</v>
      </c>
      <c r="Q5" s="16">
        <f t="shared" si="1"/>
        <v>2429037</v>
      </c>
      <c r="S5" s="16" t="str">
        <f t="shared" si="5"/>
        <v>Right-of-use assets</v>
      </c>
      <c r="T5" s="16" t="str">
        <f t="shared" si="2"/>
        <v>O</v>
      </c>
      <c r="U5" s="16">
        <f t="shared" si="3"/>
        <v>0</v>
      </c>
      <c r="V5" s="16">
        <f t="shared" si="3"/>
        <v>0</v>
      </c>
      <c r="W5" s="16">
        <f t="shared" si="3"/>
        <v>0</v>
      </c>
      <c r="X5" s="16">
        <f t="shared" si="3"/>
        <v>0</v>
      </c>
      <c r="Y5" s="16">
        <f t="shared" si="3"/>
        <v>2378102</v>
      </c>
      <c r="Z5" s="16">
        <f t="shared" si="3"/>
        <v>2429037</v>
      </c>
      <c r="AA5" s="37"/>
      <c r="AB5" s="16" t="str">
        <f t="shared" si="4"/>
        <v>Right-of-use assets</v>
      </c>
      <c r="AC5" s="16" t="str">
        <f t="shared" si="4"/>
        <v>O</v>
      </c>
      <c r="AD5" s="16">
        <f t="shared" si="4"/>
        <v>0</v>
      </c>
      <c r="AE5" s="16">
        <f t="shared" si="4"/>
        <v>0</v>
      </c>
      <c r="AF5" s="16">
        <f t="shared" si="4"/>
        <v>0</v>
      </c>
      <c r="AG5" s="16">
        <f t="shared" si="4"/>
        <v>0</v>
      </c>
      <c r="AH5" s="16">
        <f t="shared" si="4"/>
        <v>2378102</v>
      </c>
      <c r="AI5" s="16">
        <f t="shared" si="4"/>
        <v>2429037</v>
      </c>
      <c r="AL5" s="32" t="s">
        <v>47</v>
      </c>
      <c r="AM5" s="32">
        <v>5281286</v>
      </c>
      <c r="AN5" s="32">
        <v>4952590</v>
      </c>
      <c r="AO5" s="32">
        <v>4215056</v>
      </c>
    </row>
    <row r="6" spans="1:41">
      <c r="A6" s="97" t="s">
        <v>48</v>
      </c>
      <c r="B6" s="111" t="s">
        <v>44</v>
      </c>
      <c r="G6" s="16">
        <v>2378102</v>
      </c>
      <c r="H6" s="16">
        <v>2429037</v>
      </c>
      <c r="J6" s="16" t="str">
        <f t="shared" si="1"/>
        <v>Fixed assets</v>
      </c>
      <c r="K6" s="16" t="str">
        <f t="shared" si="1"/>
        <v>O</v>
      </c>
      <c r="L6" s="16">
        <f t="shared" si="1"/>
        <v>2899633</v>
      </c>
      <c r="M6" s="16">
        <f t="shared" si="1"/>
        <v>4209108</v>
      </c>
      <c r="N6" s="16">
        <f t="shared" si="1"/>
        <v>5148271</v>
      </c>
      <c r="O6" s="16">
        <f t="shared" si="1"/>
        <v>6606948</v>
      </c>
      <c r="P6" s="16">
        <f t="shared" si="1"/>
        <v>6230105</v>
      </c>
      <c r="Q6" s="16">
        <f t="shared" si="1"/>
        <v>6797080</v>
      </c>
      <c r="S6" s="16" t="str">
        <f t="shared" si="5"/>
        <v>Fixed assets</v>
      </c>
      <c r="T6" s="16" t="str">
        <f t="shared" si="2"/>
        <v>O</v>
      </c>
      <c r="U6" s="16">
        <f t="shared" si="3"/>
        <v>2899633</v>
      </c>
      <c r="V6" s="16">
        <f t="shared" si="3"/>
        <v>4209108</v>
      </c>
      <c r="W6" s="16">
        <f t="shared" si="3"/>
        <v>5148271</v>
      </c>
      <c r="X6" s="16">
        <f t="shared" si="3"/>
        <v>6606948</v>
      </c>
      <c r="Y6" s="16">
        <f t="shared" si="3"/>
        <v>6230105</v>
      </c>
      <c r="Z6" s="16">
        <f t="shared" si="3"/>
        <v>6797080</v>
      </c>
      <c r="AA6" s="37"/>
      <c r="AB6" s="16" t="str">
        <f t="shared" si="4"/>
        <v>Fixed assets</v>
      </c>
      <c r="AC6" s="16" t="str">
        <f t="shared" si="4"/>
        <v>O</v>
      </c>
      <c r="AD6" s="16">
        <f t="shared" si="4"/>
        <v>2899633</v>
      </c>
      <c r="AE6" s="16">
        <f t="shared" si="4"/>
        <v>4209108</v>
      </c>
      <c r="AF6" s="16">
        <f t="shared" si="4"/>
        <v>5148271</v>
      </c>
      <c r="AG6" s="16">
        <f t="shared" si="4"/>
        <v>6606948</v>
      </c>
      <c r="AH6" s="16">
        <f t="shared" si="4"/>
        <v>6230105</v>
      </c>
      <c r="AI6" s="16">
        <f t="shared" si="4"/>
        <v>6797080</v>
      </c>
      <c r="AL6" s="29" t="s">
        <v>49</v>
      </c>
      <c r="AM6" s="29">
        <v>18715243</v>
      </c>
      <c r="AN6" s="29">
        <v>20274884</v>
      </c>
      <c r="AO6" s="29">
        <v>20596860</v>
      </c>
    </row>
    <row r="7" spans="1:41">
      <c r="A7" s="97" t="s">
        <v>50</v>
      </c>
      <c r="B7" s="111" t="s">
        <v>44</v>
      </c>
      <c r="C7" s="16">
        <v>2899633</v>
      </c>
      <c r="D7" s="16">
        <v>4209108</v>
      </c>
      <c r="E7" s="16">
        <v>5148271</v>
      </c>
      <c r="F7" s="16">
        <v>6606948</v>
      </c>
      <c r="G7" s="16">
        <v>6230105</v>
      </c>
      <c r="H7" s="16">
        <v>6797080</v>
      </c>
      <c r="J7" s="16" t="str">
        <f t="shared" si="1"/>
        <v>Shares in associates</v>
      </c>
      <c r="K7" s="16" t="str">
        <f t="shared" si="1"/>
        <v>O</v>
      </c>
      <c r="L7" s="16">
        <f t="shared" si="1"/>
        <v>670952</v>
      </c>
      <c r="M7" s="16">
        <f t="shared" si="1"/>
        <v>730875</v>
      </c>
      <c r="N7" s="16">
        <f t="shared" si="1"/>
        <v>960587</v>
      </c>
      <c r="O7" s="16">
        <f t="shared" si="1"/>
        <v>1015556</v>
      </c>
      <c r="P7" s="16">
        <f t="shared" si="1"/>
        <v>950017</v>
      </c>
      <c r="Q7" s="16">
        <f t="shared" si="1"/>
        <v>1055463</v>
      </c>
      <c r="S7" s="16" t="str">
        <f t="shared" si="5"/>
        <v>Shares in associates</v>
      </c>
      <c r="T7" s="16" t="str">
        <f t="shared" si="2"/>
        <v>O</v>
      </c>
      <c r="U7" s="16">
        <f t="shared" si="3"/>
        <v>670952</v>
      </c>
      <c r="V7" s="16">
        <f t="shared" si="3"/>
        <v>730875</v>
      </c>
      <c r="W7" s="16">
        <f t="shared" si="3"/>
        <v>960587</v>
      </c>
      <c r="X7" s="16">
        <f t="shared" si="3"/>
        <v>1015556</v>
      </c>
      <c r="Y7" s="16">
        <f t="shared" si="3"/>
        <v>950017</v>
      </c>
      <c r="Z7" s="16">
        <f t="shared" si="3"/>
        <v>1055463</v>
      </c>
      <c r="AA7" s="37"/>
      <c r="AB7" s="16" t="str">
        <f t="shared" si="4"/>
        <v>Shares in associates</v>
      </c>
      <c r="AC7" s="16" t="str">
        <f t="shared" si="4"/>
        <v>O</v>
      </c>
      <c r="AD7" s="16">
        <f t="shared" si="4"/>
        <v>670952</v>
      </c>
      <c r="AE7" s="16">
        <f t="shared" si="4"/>
        <v>730875</v>
      </c>
      <c r="AF7" s="16">
        <f t="shared" si="4"/>
        <v>960587</v>
      </c>
      <c r="AG7" s="16">
        <f t="shared" si="4"/>
        <v>1015556</v>
      </c>
      <c r="AH7" s="16">
        <f t="shared" si="4"/>
        <v>950017</v>
      </c>
      <c r="AI7" s="16">
        <f t="shared" si="4"/>
        <v>1055463</v>
      </c>
      <c r="AL7" s="32"/>
      <c r="AM7" s="32"/>
      <c r="AN7" s="32"/>
      <c r="AO7" s="32"/>
    </row>
    <row r="8" spans="1:41">
      <c r="A8" s="97" t="s">
        <v>51</v>
      </c>
      <c r="B8" s="111" t="s">
        <v>44</v>
      </c>
      <c r="C8" s="16">
        <v>670952</v>
      </c>
      <c r="D8" s="16">
        <v>730875</v>
      </c>
      <c r="E8" s="16">
        <v>960587</v>
      </c>
      <c r="F8" s="16">
        <v>1015556</v>
      </c>
      <c r="G8" s="16">
        <v>950017</v>
      </c>
      <c r="H8" s="16">
        <v>1055463</v>
      </c>
      <c r="J8" s="16" t="str">
        <f t="shared" si="1"/>
        <v>Other investments</v>
      </c>
      <c r="K8" s="16" t="str">
        <f t="shared" si="1"/>
        <v>O</v>
      </c>
      <c r="L8" s="16">
        <f t="shared" si="1"/>
        <v>7293</v>
      </c>
      <c r="M8" s="16">
        <f t="shared" si="1"/>
        <v>8019</v>
      </c>
      <c r="N8" s="16">
        <f t="shared" si="1"/>
        <v>5534</v>
      </c>
      <c r="O8" s="16">
        <f t="shared" si="1"/>
        <v>7247</v>
      </c>
      <c r="P8" s="16">
        <f t="shared" si="1"/>
        <v>13825</v>
      </c>
      <c r="Q8" s="16">
        <f t="shared" si="1"/>
        <v>15917</v>
      </c>
      <c r="S8" s="16" t="str">
        <f t="shared" si="5"/>
        <v>Other investments</v>
      </c>
      <c r="T8" s="16" t="str">
        <f t="shared" si="2"/>
        <v>O</v>
      </c>
      <c r="U8" s="16">
        <f t="shared" si="3"/>
        <v>7293</v>
      </c>
      <c r="V8" s="16">
        <f t="shared" si="3"/>
        <v>8019</v>
      </c>
      <c r="W8" s="16">
        <f t="shared" si="3"/>
        <v>5534</v>
      </c>
      <c r="X8" s="16">
        <f t="shared" si="3"/>
        <v>7247</v>
      </c>
      <c r="Y8" s="16">
        <f t="shared" si="3"/>
        <v>13825</v>
      </c>
      <c r="Z8" s="16">
        <f t="shared" si="3"/>
        <v>15917</v>
      </c>
      <c r="AA8" s="37"/>
      <c r="AB8" s="16" t="str">
        <f t="shared" si="4"/>
        <v>Other investments</v>
      </c>
      <c r="AC8" s="16" t="str">
        <f t="shared" si="4"/>
        <v>O</v>
      </c>
      <c r="AD8" s="16">
        <f t="shared" si="4"/>
        <v>7293</v>
      </c>
      <c r="AE8" s="16">
        <f t="shared" si="4"/>
        <v>8019</v>
      </c>
      <c r="AF8" s="16">
        <f t="shared" si="4"/>
        <v>5534</v>
      </c>
      <c r="AG8" s="16">
        <f t="shared" si="4"/>
        <v>7247</v>
      </c>
      <c r="AH8" s="16">
        <f t="shared" si="4"/>
        <v>13825</v>
      </c>
      <c r="AI8" s="16">
        <f t="shared" si="4"/>
        <v>15917</v>
      </c>
      <c r="AL8" s="192" t="s">
        <v>52</v>
      </c>
      <c r="AM8" s="192"/>
      <c r="AN8" s="192"/>
      <c r="AO8" s="192"/>
    </row>
    <row r="9" spans="1:41">
      <c r="A9" s="97" t="s">
        <v>53</v>
      </c>
      <c r="B9" s="111" t="s">
        <v>44</v>
      </c>
      <c r="C9" s="16">
        <v>7293</v>
      </c>
      <c r="D9" s="16">
        <v>8019</v>
      </c>
      <c r="E9" s="16">
        <v>5534</v>
      </c>
      <c r="F9" s="16">
        <v>7247</v>
      </c>
      <c r="G9" s="16">
        <v>13825</v>
      </c>
      <c r="H9" s="16">
        <v>15917</v>
      </c>
      <c r="J9" s="16" t="str">
        <f t="shared" si="1"/>
        <v>Long term receivables</v>
      </c>
      <c r="K9" s="16" t="str">
        <f t="shared" si="1"/>
        <v>O</v>
      </c>
      <c r="L9" s="16">
        <f t="shared" si="1"/>
        <v>17246</v>
      </c>
      <c r="M9" s="16">
        <f t="shared" si="1"/>
        <v>76679</v>
      </c>
      <c r="N9" s="16">
        <f t="shared" si="1"/>
        <v>122836</v>
      </c>
      <c r="O9" s="16">
        <f t="shared" si="1"/>
        <v>67777</v>
      </c>
      <c r="P9" s="16">
        <f t="shared" si="1"/>
        <v>71233</v>
      </c>
      <c r="Q9" s="16">
        <f t="shared" si="1"/>
        <v>79287</v>
      </c>
      <c r="S9" s="16" t="str">
        <f t="shared" si="5"/>
        <v>Long term receivables</v>
      </c>
      <c r="T9" s="16" t="str">
        <f t="shared" si="2"/>
        <v>O</v>
      </c>
      <c r="U9" s="16">
        <f t="shared" si="3"/>
        <v>17246</v>
      </c>
      <c r="V9" s="16">
        <f t="shared" si="3"/>
        <v>76679</v>
      </c>
      <c r="W9" s="16">
        <f t="shared" si="3"/>
        <v>122836</v>
      </c>
      <c r="X9" s="16">
        <f t="shared" si="3"/>
        <v>67777</v>
      </c>
      <c r="Y9" s="16">
        <f t="shared" si="3"/>
        <v>71233</v>
      </c>
      <c r="Z9" s="16">
        <f t="shared" si="3"/>
        <v>79287</v>
      </c>
      <c r="AA9" s="37"/>
      <c r="AB9" s="16" t="str">
        <f t="shared" si="4"/>
        <v>Long term receivables</v>
      </c>
      <c r="AC9" s="16" t="str">
        <f t="shared" si="4"/>
        <v>O</v>
      </c>
      <c r="AD9" s="16">
        <f t="shared" si="4"/>
        <v>17246</v>
      </c>
      <c r="AE9" s="16">
        <f t="shared" si="4"/>
        <v>76679</v>
      </c>
      <c r="AF9" s="16">
        <f t="shared" si="4"/>
        <v>122836</v>
      </c>
      <c r="AG9" s="16">
        <f t="shared" si="4"/>
        <v>67777</v>
      </c>
      <c r="AH9" s="16">
        <f t="shared" si="4"/>
        <v>71233</v>
      </c>
      <c r="AI9" s="16">
        <f t="shared" si="4"/>
        <v>79287</v>
      </c>
      <c r="AL9" s="32" t="s">
        <v>54</v>
      </c>
      <c r="AM9" s="32">
        <v>17134290</v>
      </c>
      <c r="AN9" s="32">
        <v>17763306</v>
      </c>
      <c r="AO9" s="32">
        <v>17632769</v>
      </c>
    </row>
    <row r="10" spans="1:41">
      <c r="A10" s="97" t="s">
        <v>55</v>
      </c>
      <c r="B10" s="111" t="s">
        <v>44</v>
      </c>
      <c r="C10" s="16">
        <v>17246</v>
      </c>
      <c r="D10" s="16">
        <v>76679</v>
      </c>
      <c r="E10" s="16">
        <v>122836</v>
      </c>
      <c r="F10" s="16">
        <v>67777</v>
      </c>
      <c r="G10" s="16">
        <v>71233</v>
      </c>
      <c r="H10" s="16">
        <v>79287</v>
      </c>
      <c r="S10" s="117" t="str">
        <f>A30</f>
        <v>Deferred tax</v>
      </c>
      <c r="T10" s="118" t="str">
        <f>B30</f>
        <v>O</v>
      </c>
      <c r="U10" s="37">
        <f t="shared" ref="U10:Z10" si="6">-C30</f>
        <v>-1567973</v>
      </c>
      <c r="V10" s="37">
        <f t="shared" si="6"/>
        <v>-2802271</v>
      </c>
      <c r="W10" s="37">
        <f t="shared" si="6"/>
        <v>-2313950</v>
      </c>
      <c r="X10" s="37">
        <f t="shared" si="6"/>
        <v>-2443957</v>
      </c>
      <c r="Y10" s="37">
        <f t="shared" si="6"/>
        <v>-2474530</v>
      </c>
      <c r="Z10" s="37">
        <f t="shared" si="6"/>
        <v>-2320370</v>
      </c>
      <c r="AA10" s="53"/>
      <c r="AB10" s="117" t="str">
        <f>A30</f>
        <v>Deferred tax</v>
      </c>
      <c r="AC10" s="118" t="str">
        <f>B30</f>
        <v>O</v>
      </c>
      <c r="AD10" s="117">
        <f t="shared" ref="AD10:AI10" si="7">-C30</f>
        <v>-1567973</v>
      </c>
      <c r="AE10" s="117">
        <f t="shared" si="7"/>
        <v>-2802271</v>
      </c>
      <c r="AF10" s="117">
        <f t="shared" si="7"/>
        <v>-2313950</v>
      </c>
      <c r="AG10" s="117">
        <f t="shared" si="7"/>
        <v>-2443957</v>
      </c>
      <c r="AH10" s="117">
        <f t="shared" si="7"/>
        <v>-2474530</v>
      </c>
      <c r="AI10" s="117">
        <f t="shared" si="7"/>
        <v>-2320370</v>
      </c>
      <c r="AJ10" s="14"/>
      <c r="AK10" s="14"/>
      <c r="AL10" s="32" t="s">
        <v>56</v>
      </c>
      <c r="AM10" s="32">
        <v>1580953</v>
      </c>
      <c r="AN10" s="32">
        <v>2511579</v>
      </c>
      <c r="AO10" s="32">
        <v>2964091</v>
      </c>
    </row>
    <row r="11" spans="1:41">
      <c r="J11" s="36" t="s">
        <v>57</v>
      </c>
      <c r="K11" s="36"/>
      <c r="L11" s="10">
        <f>SUM(L3:L10)</f>
        <v>7986576</v>
      </c>
      <c r="M11" s="10">
        <f>SUM(M3:M10)</f>
        <v>13074188</v>
      </c>
      <c r="N11" s="10">
        <f t="shared" ref="N11:Q11" si="8">SUM(N3:N10)</f>
        <v>14285707</v>
      </c>
      <c r="O11" s="10">
        <f t="shared" si="8"/>
        <v>15877914</v>
      </c>
      <c r="P11" s="10">
        <f t="shared" si="8"/>
        <v>17796824</v>
      </c>
      <c r="Q11" s="10">
        <f t="shared" si="8"/>
        <v>18702174</v>
      </c>
      <c r="S11" s="36" t="s">
        <v>45</v>
      </c>
      <c r="T11" s="36"/>
      <c r="U11" s="10">
        <f>SUM(U3:U10)</f>
        <v>6418603</v>
      </c>
      <c r="V11" s="10">
        <f t="shared" ref="V11:Z11" si="9">SUM(V3:V10)</f>
        <v>10271917</v>
      </c>
      <c r="W11" s="10">
        <f t="shared" si="9"/>
        <v>11971757</v>
      </c>
      <c r="X11" s="10">
        <f t="shared" si="9"/>
        <v>13433957</v>
      </c>
      <c r="Y11" s="10">
        <f t="shared" si="9"/>
        <v>15322294</v>
      </c>
      <c r="Z11" s="10">
        <f t="shared" si="9"/>
        <v>16381804</v>
      </c>
      <c r="AA11" s="54"/>
      <c r="AB11" s="36" t="s">
        <v>45</v>
      </c>
      <c r="AC11" s="36"/>
      <c r="AD11" s="10">
        <f>SUM(AD3:AD10)</f>
        <v>6418603</v>
      </c>
      <c r="AE11" s="10">
        <f t="shared" ref="AE11:AI11" si="10">SUM(AE3:AE10)</f>
        <v>10271917</v>
      </c>
      <c r="AF11" s="10">
        <f t="shared" si="10"/>
        <v>11971757</v>
      </c>
      <c r="AG11" s="10">
        <f t="shared" si="10"/>
        <v>13433957</v>
      </c>
      <c r="AH11" s="10">
        <f t="shared" si="10"/>
        <v>15322294</v>
      </c>
      <c r="AI11" s="10">
        <f t="shared" si="10"/>
        <v>16381804</v>
      </c>
      <c r="AJ11" s="14"/>
      <c r="AK11" s="14"/>
      <c r="AL11" s="29" t="s">
        <v>58</v>
      </c>
      <c r="AM11" s="29">
        <v>18715243</v>
      </c>
      <c r="AN11" s="29">
        <v>20274885</v>
      </c>
      <c r="AO11" s="29">
        <v>20596860</v>
      </c>
    </row>
    <row r="12" spans="1:41">
      <c r="A12" s="36" t="s">
        <v>59</v>
      </c>
      <c r="B12" s="110"/>
      <c r="C12" s="10">
        <f t="shared" ref="C12:G12" si="11">SUM(C13:C17)</f>
        <v>7997127</v>
      </c>
      <c r="D12" s="10">
        <f t="shared" si="11"/>
        <v>12004399</v>
      </c>
      <c r="E12" s="10">
        <f t="shared" si="11"/>
        <v>11372405</v>
      </c>
      <c r="F12" s="10">
        <f t="shared" si="11"/>
        <v>12494818</v>
      </c>
      <c r="G12" s="10">
        <f t="shared" si="11"/>
        <v>12392607</v>
      </c>
      <c r="H12" s="10">
        <f>SUM(H13:H17)</f>
        <v>11460925</v>
      </c>
      <c r="J12" s="38"/>
      <c r="K12" s="38"/>
      <c r="L12" s="32"/>
      <c r="M12" s="32"/>
      <c r="N12" s="32"/>
      <c r="O12" s="32"/>
      <c r="P12" s="32"/>
      <c r="Q12" s="32"/>
      <c r="AA12" s="32"/>
      <c r="AJ12" s="32"/>
      <c r="AK12" s="32"/>
    </row>
    <row r="13" spans="1:41">
      <c r="A13" s="97" t="s">
        <v>60</v>
      </c>
      <c r="B13" s="111" t="s">
        <v>44</v>
      </c>
      <c r="C13" s="16">
        <v>4320830</v>
      </c>
      <c r="D13" s="16">
        <v>6418313</v>
      </c>
      <c r="E13" s="16">
        <v>4458095</v>
      </c>
      <c r="F13" s="16">
        <v>5564447</v>
      </c>
      <c r="G13" s="16">
        <v>5574921</v>
      </c>
      <c r="H13" s="16">
        <v>4913512</v>
      </c>
      <c r="J13" s="32" t="str">
        <f t="shared" ref="J13:Q13" si="12">A17</f>
        <v>Cash and cash equivalents</v>
      </c>
      <c r="K13" s="32" t="str">
        <f t="shared" si="12"/>
        <v>F</v>
      </c>
      <c r="L13" s="32">
        <f t="shared" si="12"/>
        <v>1247614</v>
      </c>
      <c r="M13" s="32">
        <f t="shared" si="12"/>
        <v>2233700</v>
      </c>
      <c r="N13" s="32">
        <f t="shared" si="12"/>
        <v>3514096</v>
      </c>
      <c r="O13" s="32">
        <f t="shared" si="12"/>
        <v>3036154</v>
      </c>
      <c r="P13" s="32">
        <f t="shared" si="12"/>
        <v>3031052</v>
      </c>
      <c r="Q13" s="32">
        <f t="shared" si="12"/>
        <v>2966409</v>
      </c>
      <c r="S13" s="16" t="str">
        <f t="shared" ref="S13:Z16" si="13">A13</f>
        <v>Biological assets</v>
      </c>
      <c r="T13" s="16" t="str">
        <f t="shared" si="13"/>
        <v>O</v>
      </c>
      <c r="U13" s="16">
        <f t="shared" si="13"/>
        <v>4320830</v>
      </c>
      <c r="V13" s="16">
        <f t="shared" si="13"/>
        <v>6418313</v>
      </c>
      <c r="W13" s="16">
        <f t="shared" si="13"/>
        <v>4458095</v>
      </c>
      <c r="X13" s="16">
        <f t="shared" si="13"/>
        <v>5564447</v>
      </c>
      <c r="Y13" s="16">
        <f t="shared" si="13"/>
        <v>5574921</v>
      </c>
      <c r="Z13" s="16">
        <f t="shared" si="13"/>
        <v>4913512</v>
      </c>
      <c r="AA13" s="52"/>
      <c r="AB13" s="16" t="str">
        <f t="shared" ref="AB13:AI16" si="14">A13</f>
        <v>Biological assets</v>
      </c>
      <c r="AC13" s="16" t="str">
        <f t="shared" si="14"/>
        <v>O</v>
      </c>
      <c r="AD13" s="16">
        <f t="shared" si="14"/>
        <v>4320830</v>
      </c>
      <c r="AE13" s="16">
        <f t="shared" si="14"/>
        <v>6418313</v>
      </c>
      <c r="AF13" s="16">
        <f t="shared" si="14"/>
        <v>4458095</v>
      </c>
      <c r="AG13" s="16">
        <f t="shared" si="14"/>
        <v>5564447</v>
      </c>
      <c r="AH13" s="16">
        <f t="shared" si="14"/>
        <v>5574921</v>
      </c>
      <c r="AI13" s="16">
        <f t="shared" si="14"/>
        <v>4913512</v>
      </c>
      <c r="AJ13" s="13"/>
      <c r="AK13" s="13"/>
    </row>
    <row r="14" spans="1:41">
      <c r="A14" s="97" t="s">
        <v>61</v>
      </c>
      <c r="B14" s="111" t="s">
        <v>44</v>
      </c>
      <c r="C14" s="16">
        <v>552065</v>
      </c>
      <c r="D14" s="16">
        <v>721803</v>
      </c>
      <c r="E14" s="16">
        <v>991186</v>
      </c>
      <c r="F14" s="16">
        <v>1315292</v>
      </c>
      <c r="G14" s="16">
        <v>1031155</v>
      </c>
      <c r="H14" s="16">
        <v>1094571</v>
      </c>
      <c r="J14" s="36" t="s">
        <v>62</v>
      </c>
      <c r="K14" s="36"/>
      <c r="L14" s="10">
        <f>L13</f>
        <v>1247614</v>
      </c>
      <c r="M14" s="10">
        <f>M13</f>
        <v>2233700</v>
      </c>
      <c r="N14" s="10">
        <f t="shared" ref="N14:Q14" si="15">N13</f>
        <v>3514096</v>
      </c>
      <c r="O14" s="10">
        <f t="shared" si="15"/>
        <v>3036154</v>
      </c>
      <c r="P14" s="10">
        <f t="shared" si="15"/>
        <v>3031052</v>
      </c>
      <c r="Q14" s="10">
        <f t="shared" si="15"/>
        <v>2966409</v>
      </c>
      <c r="S14" s="16" t="str">
        <f t="shared" si="13"/>
        <v>Other inventories</v>
      </c>
      <c r="T14" s="16" t="str">
        <f t="shared" si="13"/>
        <v>O</v>
      </c>
      <c r="U14" s="16">
        <f t="shared" si="13"/>
        <v>552065</v>
      </c>
      <c r="V14" s="16">
        <f t="shared" si="13"/>
        <v>721803</v>
      </c>
      <c r="W14" s="16">
        <f t="shared" si="13"/>
        <v>991186</v>
      </c>
      <c r="X14" s="16">
        <f t="shared" si="13"/>
        <v>1315292</v>
      </c>
      <c r="Y14" s="16">
        <f t="shared" si="13"/>
        <v>1031155</v>
      </c>
      <c r="Z14" s="16">
        <f t="shared" si="13"/>
        <v>1094571</v>
      </c>
      <c r="AA14" s="53"/>
      <c r="AB14" s="16" t="str">
        <f t="shared" si="14"/>
        <v>Other inventories</v>
      </c>
      <c r="AC14" s="16" t="str">
        <f t="shared" si="14"/>
        <v>O</v>
      </c>
      <c r="AD14" s="16">
        <f t="shared" si="14"/>
        <v>552065</v>
      </c>
      <c r="AE14" s="16">
        <f t="shared" si="14"/>
        <v>721803</v>
      </c>
      <c r="AF14" s="16">
        <f t="shared" si="14"/>
        <v>991186</v>
      </c>
      <c r="AG14" s="16">
        <f t="shared" si="14"/>
        <v>1315292</v>
      </c>
      <c r="AH14" s="16">
        <f t="shared" si="14"/>
        <v>1031155</v>
      </c>
      <c r="AI14" s="16">
        <f t="shared" si="14"/>
        <v>1094571</v>
      </c>
      <c r="AJ14" s="32"/>
      <c r="AK14" s="32"/>
    </row>
    <row r="15" spans="1:41">
      <c r="A15" s="97" t="s">
        <v>63</v>
      </c>
      <c r="B15" s="111" t="s">
        <v>44</v>
      </c>
      <c r="C15" s="16">
        <v>1568820</v>
      </c>
      <c r="D15" s="16">
        <v>2209281</v>
      </c>
      <c r="E15" s="16">
        <v>1972438</v>
      </c>
      <c r="F15" s="16">
        <v>2152414</v>
      </c>
      <c r="G15" s="16">
        <v>2244348</v>
      </c>
      <c r="H15" s="16">
        <v>1867505</v>
      </c>
      <c r="S15" s="16" t="str">
        <f t="shared" si="13"/>
        <v>Trade receivables</v>
      </c>
      <c r="T15" s="16" t="str">
        <f t="shared" si="13"/>
        <v>O</v>
      </c>
      <c r="U15" s="16">
        <f t="shared" si="13"/>
        <v>1568820</v>
      </c>
      <c r="V15" s="16">
        <f t="shared" si="13"/>
        <v>2209281</v>
      </c>
      <c r="W15" s="16">
        <f t="shared" si="13"/>
        <v>1972438</v>
      </c>
      <c r="X15" s="16">
        <f t="shared" si="13"/>
        <v>2152414</v>
      </c>
      <c r="Y15" s="16">
        <f t="shared" si="13"/>
        <v>2244348</v>
      </c>
      <c r="Z15" s="16">
        <f t="shared" si="13"/>
        <v>1867505</v>
      </c>
      <c r="AA15" s="53"/>
      <c r="AB15" s="16" t="str">
        <f t="shared" si="14"/>
        <v>Trade receivables</v>
      </c>
      <c r="AC15" s="16" t="str">
        <f t="shared" si="14"/>
        <v>O</v>
      </c>
      <c r="AD15" s="16">
        <f t="shared" si="14"/>
        <v>1568820</v>
      </c>
      <c r="AE15" s="16">
        <f t="shared" si="14"/>
        <v>2209281</v>
      </c>
      <c r="AF15" s="16">
        <f t="shared" si="14"/>
        <v>1972438</v>
      </c>
      <c r="AG15" s="16">
        <f t="shared" si="14"/>
        <v>2152414</v>
      </c>
      <c r="AH15" s="16">
        <f t="shared" si="14"/>
        <v>2244348</v>
      </c>
      <c r="AI15" s="16">
        <f t="shared" si="14"/>
        <v>1867505</v>
      </c>
      <c r="AJ15" s="42"/>
      <c r="AK15" s="32"/>
    </row>
    <row r="16" spans="1:41">
      <c r="A16" s="97" t="s">
        <v>64</v>
      </c>
      <c r="B16" s="111" t="s">
        <v>44</v>
      </c>
      <c r="C16" s="16">
        <v>307798</v>
      </c>
      <c r="D16" s="16">
        <v>421302</v>
      </c>
      <c r="E16" s="16">
        <v>436590</v>
      </c>
      <c r="F16" s="16">
        <v>426511</v>
      </c>
      <c r="G16" s="16">
        <v>511131</v>
      </c>
      <c r="H16" s="16">
        <v>618928</v>
      </c>
      <c r="J16" s="16" t="str">
        <f t="shared" ref="J16:Q19" si="16">A13</f>
        <v>Biological assets</v>
      </c>
      <c r="K16" s="16" t="str">
        <f t="shared" si="16"/>
        <v>O</v>
      </c>
      <c r="L16" s="16">
        <f t="shared" si="16"/>
        <v>4320830</v>
      </c>
      <c r="M16" s="16">
        <f t="shared" si="16"/>
        <v>6418313</v>
      </c>
      <c r="N16" s="16">
        <f t="shared" si="16"/>
        <v>4458095</v>
      </c>
      <c r="O16" s="16">
        <f t="shared" si="16"/>
        <v>5564447</v>
      </c>
      <c r="P16" s="16">
        <f t="shared" si="16"/>
        <v>5574921</v>
      </c>
      <c r="Q16" s="16">
        <f t="shared" si="16"/>
        <v>4913512</v>
      </c>
      <c r="S16" s="16" t="str">
        <f t="shared" si="13"/>
        <v>Other receivables</v>
      </c>
      <c r="T16" s="16" t="str">
        <f t="shared" si="13"/>
        <v>O</v>
      </c>
      <c r="U16" s="16">
        <f t="shared" si="13"/>
        <v>307798</v>
      </c>
      <c r="V16" s="16">
        <f t="shared" si="13"/>
        <v>421302</v>
      </c>
      <c r="W16" s="16">
        <f t="shared" si="13"/>
        <v>436590</v>
      </c>
      <c r="X16" s="16">
        <f t="shared" si="13"/>
        <v>426511</v>
      </c>
      <c r="Y16" s="16">
        <f t="shared" si="13"/>
        <v>511131</v>
      </c>
      <c r="Z16" s="16">
        <f t="shared" si="13"/>
        <v>618928</v>
      </c>
      <c r="AA16" s="53"/>
      <c r="AB16" s="16" t="str">
        <f t="shared" si="14"/>
        <v>Other receivables</v>
      </c>
      <c r="AC16" s="16" t="str">
        <f t="shared" si="14"/>
        <v>O</v>
      </c>
      <c r="AD16" s="16">
        <f t="shared" si="14"/>
        <v>307798</v>
      </c>
      <c r="AE16" s="16">
        <f t="shared" si="14"/>
        <v>421302</v>
      </c>
      <c r="AF16" s="16">
        <f t="shared" si="14"/>
        <v>436590</v>
      </c>
      <c r="AG16" s="16">
        <f t="shared" si="14"/>
        <v>426511</v>
      </c>
      <c r="AH16" s="16">
        <f t="shared" si="14"/>
        <v>511131</v>
      </c>
      <c r="AI16" s="16">
        <f t="shared" si="14"/>
        <v>618928</v>
      </c>
      <c r="AJ16" s="42"/>
      <c r="AK16" s="32"/>
    </row>
    <row r="17" spans="1:37">
      <c r="A17" s="97" t="s">
        <v>65</v>
      </c>
      <c r="B17" s="111" t="s">
        <v>66</v>
      </c>
      <c r="C17" s="16">
        <v>1247614</v>
      </c>
      <c r="D17" s="16">
        <v>2233700</v>
      </c>
      <c r="E17" s="16">
        <v>3514096</v>
      </c>
      <c r="F17" s="16">
        <v>3036154</v>
      </c>
      <c r="G17" s="16">
        <v>3031052</v>
      </c>
      <c r="H17" s="16">
        <v>2966409</v>
      </c>
      <c r="J17" s="16" t="str">
        <f t="shared" si="16"/>
        <v>Other inventories</v>
      </c>
      <c r="K17" s="16" t="str">
        <f t="shared" si="16"/>
        <v>O</v>
      </c>
      <c r="L17" s="16">
        <f t="shared" si="16"/>
        <v>552065</v>
      </c>
      <c r="M17" s="16">
        <f t="shared" si="16"/>
        <v>721803</v>
      </c>
      <c r="N17" s="16">
        <f t="shared" si="16"/>
        <v>991186</v>
      </c>
      <c r="O17" s="16">
        <f t="shared" si="16"/>
        <v>1315292</v>
      </c>
      <c r="P17" s="16">
        <f t="shared" si="16"/>
        <v>1031155</v>
      </c>
      <c r="Q17" s="16">
        <f t="shared" si="16"/>
        <v>1094571</v>
      </c>
      <c r="S17" s="117" t="str">
        <f t="shared" ref="S17:T21" si="17">A35</f>
        <v>Trade payables</v>
      </c>
      <c r="T17" s="117" t="str">
        <f t="shared" si="17"/>
        <v>O</v>
      </c>
      <c r="U17" s="117">
        <f t="shared" ref="U17:Z21" si="18">-C35</f>
        <v>-915981</v>
      </c>
      <c r="V17" s="117">
        <f t="shared" si="18"/>
        <v>-1366634</v>
      </c>
      <c r="W17" s="117">
        <f t="shared" si="18"/>
        <v>-1310098</v>
      </c>
      <c r="X17" s="117">
        <f t="shared" si="18"/>
        <v>-1486119</v>
      </c>
      <c r="Y17" s="117">
        <f t="shared" si="18"/>
        <v>-1554071</v>
      </c>
      <c r="Z17" s="117">
        <f t="shared" si="18"/>
        <v>-1194471</v>
      </c>
      <c r="AA17" s="53"/>
      <c r="AB17" s="117" t="str">
        <f t="shared" ref="AB17:AC21" si="19">A35</f>
        <v>Trade payables</v>
      </c>
      <c r="AC17" s="16" t="str">
        <f t="shared" si="19"/>
        <v>O</v>
      </c>
      <c r="AD17" s="16">
        <f t="shared" ref="AD17:AI21" si="20">-C35</f>
        <v>-915981</v>
      </c>
      <c r="AE17" s="16">
        <f t="shared" si="20"/>
        <v>-1366634</v>
      </c>
      <c r="AF17" s="16">
        <f t="shared" si="20"/>
        <v>-1310098</v>
      </c>
      <c r="AG17" s="16">
        <f t="shared" si="20"/>
        <v>-1486119</v>
      </c>
      <c r="AH17" s="16">
        <f t="shared" si="20"/>
        <v>-1554071</v>
      </c>
      <c r="AI17" s="16">
        <f t="shared" si="20"/>
        <v>-1194471</v>
      </c>
      <c r="AJ17" s="42"/>
      <c r="AK17" s="32"/>
    </row>
    <row r="18" spans="1:37">
      <c r="A18" s="39" t="s">
        <v>67</v>
      </c>
      <c r="B18" s="112"/>
      <c r="C18" s="39">
        <f t="shared" ref="C18:G18" si="21">C3+C12</f>
        <v>15983703</v>
      </c>
      <c r="D18" s="39">
        <f t="shared" si="21"/>
        <v>25078587</v>
      </c>
      <c r="E18" s="39">
        <f t="shared" si="21"/>
        <v>25658112</v>
      </c>
      <c r="F18" s="39">
        <f t="shared" si="21"/>
        <v>28372732</v>
      </c>
      <c r="G18" s="39">
        <f t="shared" si="21"/>
        <v>30189431</v>
      </c>
      <c r="H18" s="39">
        <f>H3+H12</f>
        <v>30163099</v>
      </c>
      <c r="J18" s="16" t="str">
        <f t="shared" si="16"/>
        <v>Trade receivables</v>
      </c>
      <c r="K18" s="16" t="str">
        <f t="shared" si="16"/>
        <v>O</v>
      </c>
      <c r="L18" s="16">
        <f t="shared" si="16"/>
        <v>1568820</v>
      </c>
      <c r="M18" s="16">
        <f t="shared" si="16"/>
        <v>2209281</v>
      </c>
      <c r="N18" s="16">
        <f t="shared" si="16"/>
        <v>1972438</v>
      </c>
      <c r="O18" s="16">
        <f t="shared" si="16"/>
        <v>2152414</v>
      </c>
      <c r="P18" s="16">
        <f t="shared" si="16"/>
        <v>2244348</v>
      </c>
      <c r="Q18" s="16">
        <f t="shared" si="16"/>
        <v>1867505</v>
      </c>
      <c r="S18" s="117" t="str">
        <f t="shared" si="17"/>
        <v>Short-term loans</v>
      </c>
      <c r="T18" s="117" t="str">
        <f t="shared" si="17"/>
        <v>O</v>
      </c>
      <c r="U18" s="117">
        <f t="shared" si="18"/>
        <v>-1465144</v>
      </c>
      <c r="V18" s="117">
        <f t="shared" si="18"/>
        <v>-1094089</v>
      </c>
      <c r="W18" s="117">
        <f t="shared" si="18"/>
        <v>-830009</v>
      </c>
      <c r="X18" s="117">
        <f t="shared" si="18"/>
        <v>-1031868</v>
      </c>
      <c r="Y18" s="117">
        <f t="shared" si="18"/>
        <v>-1401807</v>
      </c>
      <c r="Z18" s="117">
        <f t="shared" si="18"/>
        <v>-1652258</v>
      </c>
      <c r="AA18" s="53"/>
      <c r="AB18" s="117" t="str">
        <f t="shared" si="19"/>
        <v>Short-term loans</v>
      </c>
      <c r="AC18" s="16" t="str">
        <f t="shared" si="19"/>
        <v>O</v>
      </c>
      <c r="AD18" s="16">
        <f t="shared" si="20"/>
        <v>-1465144</v>
      </c>
      <c r="AE18" s="16">
        <f t="shared" si="20"/>
        <v>-1094089</v>
      </c>
      <c r="AF18" s="16">
        <f t="shared" si="20"/>
        <v>-830009</v>
      </c>
      <c r="AG18" s="16">
        <f t="shared" si="20"/>
        <v>-1031868</v>
      </c>
      <c r="AH18" s="16">
        <f t="shared" si="20"/>
        <v>-1401807</v>
      </c>
      <c r="AI18" s="16">
        <f t="shared" si="20"/>
        <v>-1652258</v>
      </c>
      <c r="AJ18" s="42"/>
      <c r="AK18" s="32"/>
    </row>
    <row r="19" spans="1:37">
      <c r="J19" s="16" t="str">
        <f t="shared" si="16"/>
        <v>Other receivables</v>
      </c>
      <c r="K19" s="16" t="str">
        <f t="shared" si="16"/>
        <v>O</v>
      </c>
      <c r="L19" s="16">
        <f t="shared" si="16"/>
        <v>307798</v>
      </c>
      <c r="M19" s="16">
        <f t="shared" si="16"/>
        <v>421302</v>
      </c>
      <c r="N19" s="16">
        <f t="shared" si="16"/>
        <v>436590</v>
      </c>
      <c r="O19" s="16">
        <f t="shared" si="16"/>
        <v>426511</v>
      </c>
      <c r="P19" s="16">
        <f t="shared" si="16"/>
        <v>511131</v>
      </c>
      <c r="Q19" s="16">
        <f t="shared" si="16"/>
        <v>618928</v>
      </c>
      <c r="S19" s="117" t="str">
        <f t="shared" si="17"/>
        <v>Public duties payable</v>
      </c>
      <c r="T19" s="117" t="str">
        <f t="shared" si="17"/>
        <v>O</v>
      </c>
      <c r="U19" s="117">
        <f t="shared" si="18"/>
        <v>-123457</v>
      </c>
      <c r="V19" s="117">
        <f t="shared" si="18"/>
        <v>-263991</v>
      </c>
      <c r="W19" s="117">
        <f t="shared" si="18"/>
        <v>-233982</v>
      </c>
      <c r="X19" s="117">
        <f t="shared" si="18"/>
        <v>-226513</v>
      </c>
      <c r="Y19" s="117">
        <f t="shared" si="18"/>
        <v>-279333</v>
      </c>
      <c r="Z19" s="117">
        <f t="shared" si="18"/>
        <v>-252629</v>
      </c>
      <c r="AA19" s="53"/>
      <c r="AB19" s="117" t="str">
        <f t="shared" si="19"/>
        <v>Public duties payable</v>
      </c>
      <c r="AC19" s="16" t="str">
        <f t="shared" si="19"/>
        <v>O</v>
      </c>
      <c r="AD19" s="16">
        <f t="shared" si="20"/>
        <v>-123457</v>
      </c>
      <c r="AE19" s="16">
        <f t="shared" si="20"/>
        <v>-263991</v>
      </c>
      <c r="AF19" s="16">
        <f t="shared" si="20"/>
        <v>-233982</v>
      </c>
      <c r="AG19" s="16">
        <f t="shared" si="20"/>
        <v>-226513</v>
      </c>
      <c r="AH19" s="16">
        <f t="shared" si="20"/>
        <v>-279333</v>
      </c>
      <c r="AI19" s="16">
        <f t="shared" si="20"/>
        <v>-252629</v>
      </c>
      <c r="AJ19" s="42"/>
      <c r="AK19" s="32"/>
    </row>
    <row r="20" spans="1:37">
      <c r="A20" s="35" t="s">
        <v>52</v>
      </c>
      <c r="B20" s="109"/>
      <c r="J20" s="36" t="s">
        <v>68</v>
      </c>
      <c r="K20" s="36"/>
      <c r="L20" s="10">
        <f t="shared" ref="L20:Q20" si="22">SUM(L16:L19)</f>
        <v>6749513</v>
      </c>
      <c r="M20" s="10">
        <f t="shared" si="22"/>
        <v>9770699</v>
      </c>
      <c r="N20" s="10">
        <f t="shared" si="22"/>
        <v>7858309</v>
      </c>
      <c r="O20" s="10">
        <f t="shared" si="22"/>
        <v>9458664</v>
      </c>
      <c r="P20" s="10">
        <f t="shared" si="22"/>
        <v>9361555</v>
      </c>
      <c r="Q20" s="10">
        <f t="shared" si="22"/>
        <v>8494516</v>
      </c>
      <c r="S20" s="117" t="str">
        <f t="shared" si="17"/>
        <v>Tax payable</v>
      </c>
      <c r="T20" s="117" t="str">
        <f t="shared" si="17"/>
        <v>O</v>
      </c>
      <c r="U20" s="117">
        <f t="shared" si="18"/>
        <v>-200151</v>
      </c>
      <c r="V20" s="117">
        <f t="shared" si="18"/>
        <v>-477842</v>
      </c>
      <c r="W20" s="117">
        <f t="shared" si="18"/>
        <v>-819884</v>
      </c>
      <c r="X20" s="117">
        <f t="shared" si="18"/>
        <v>-678075</v>
      </c>
      <c r="Y20" s="117">
        <f t="shared" si="18"/>
        <v>-448813</v>
      </c>
      <c r="Z20" s="117">
        <f t="shared" si="18"/>
        <v>-349562</v>
      </c>
      <c r="AA20" s="53"/>
      <c r="AB20" s="117" t="str">
        <f t="shared" si="19"/>
        <v>Tax payable</v>
      </c>
      <c r="AC20" s="16" t="str">
        <f t="shared" si="19"/>
        <v>O</v>
      </c>
      <c r="AD20" s="16">
        <f t="shared" si="20"/>
        <v>-200151</v>
      </c>
      <c r="AE20" s="16">
        <f t="shared" si="20"/>
        <v>-477842</v>
      </c>
      <c r="AF20" s="16">
        <f t="shared" si="20"/>
        <v>-819884</v>
      </c>
      <c r="AG20" s="16">
        <f t="shared" si="20"/>
        <v>-678075</v>
      </c>
      <c r="AH20" s="16">
        <f t="shared" si="20"/>
        <v>-448813</v>
      </c>
      <c r="AI20" s="16">
        <f t="shared" si="20"/>
        <v>-349562</v>
      </c>
      <c r="AJ20" s="42"/>
      <c r="AK20" s="32"/>
    </row>
    <row r="21" spans="1:37">
      <c r="A21" s="36" t="s">
        <v>54</v>
      </c>
      <c r="B21" s="113"/>
      <c r="C21" s="10">
        <f t="shared" ref="C21:G21" si="23">SUM(C22:C26)</f>
        <v>8764052</v>
      </c>
      <c r="D21" s="10">
        <f t="shared" si="23"/>
        <v>13475426</v>
      </c>
      <c r="E21" s="10">
        <f t="shared" si="23"/>
        <v>14482122</v>
      </c>
      <c r="F21" s="10">
        <f t="shared" si="23"/>
        <v>17134290</v>
      </c>
      <c r="G21" s="10">
        <f t="shared" si="23"/>
        <v>17763306</v>
      </c>
      <c r="H21" s="10">
        <f>SUM(H22:H26)</f>
        <v>17632769</v>
      </c>
      <c r="S21" s="117" t="str">
        <f t="shared" si="17"/>
        <v>Other short-term liabilities</v>
      </c>
      <c r="T21" s="117" t="str">
        <f t="shared" si="17"/>
        <v>O</v>
      </c>
      <c r="U21" s="117">
        <f t="shared" si="18"/>
        <v>-439383</v>
      </c>
      <c r="V21" s="117">
        <f t="shared" si="18"/>
        <v>-929880</v>
      </c>
      <c r="W21" s="117">
        <f t="shared" si="18"/>
        <v>-622498</v>
      </c>
      <c r="X21" s="117">
        <f t="shared" si="18"/>
        <v>-754803</v>
      </c>
      <c r="Y21" s="117">
        <f t="shared" si="18"/>
        <v>-724941</v>
      </c>
      <c r="Z21" s="117">
        <f t="shared" si="18"/>
        <v>-830540</v>
      </c>
      <c r="AA21" s="53"/>
      <c r="AB21" s="117" t="str">
        <f t="shared" si="19"/>
        <v>Other short-term liabilities</v>
      </c>
      <c r="AC21" s="16" t="str">
        <f t="shared" si="19"/>
        <v>O</v>
      </c>
      <c r="AD21" s="16">
        <f t="shared" si="20"/>
        <v>-439383</v>
      </c>
      <c r="AE21" s="16">
        <f t="shared" si="20"/>
        <v>-929880</v>
      </c>
      <c r="AF21" s="16">
        <f t="shared" si="20"/>
        <v>-622498</v>
      </c>
      <c r="AG21" s="16">
        <f t="shared" si="20"/>
        <v>-754803</v>
      </c>
      <c r="AH21" s="16">
        <f t="shared" si="20"/>
        <v>-724941</v>
      </c>
      <c r="AI21" s="16">
        <f t="shared" si="20"/>
        <v>-830540</v>
      </c>
      <c r="AJ21" s="42"/>
      <c r="AK21" s="32"/>
    </row>
    <row r="22" spans="1:37">
      <c r="A22" s="97" t="s">
        <v>69</v>
      </c>
      <c r="B22" s="111" t="s">
        <v>66</v>
      </c>
      <c r="C22" s="16">
        <v>54577</v>
      </c>
      <c r="D22" s="16">
        <v>59577</v>
      </c>
      <c r="E22" s="16">
        <v>59577</v>
      </c>
      <c r="F22" s="16">
        <v>59577</v>
      </c>
      <c r="G22" s="16">
        <v>59577</v>
      </c>
      <c r="H22" s="16">
        <v>59577</v>
      </c>
      <c r="J22" s="119" t="s">
        <v>70</v>
      </c>
      <c r="K22" s="119"/>
      <c r="L22" s="39">
        <f t="shared" ref="L22:Q22" si="24">L11+L14+L20</f>
        <v>15983703</v>
      </c>
      <c r="M22" s="39">
        <f t="shared" si="24"/>
        <v>25078587</v>
      </c>
      <c r="N22" s="39">
        <f t="shared" si="24"/>
        <v>25658112</v>
      </c>
      <c r="O22" s="39">
        <f t="shared" si="24"/>
        <v>28372732</v>
      </c>
      <c r="P22" s="39">
        <f t="shared" si="24"/>
        <v>30189431</v>
      </c>
      <c r="Q22" s="39">
        <f t="shared" si="24"/>
        <v>30163099</v>
      </c>
      <c r="S22" s="36" t="s">
        <v>47</v>
      </c>
      <c r="T22" s="36"/>
      <c r="U22" s="10">
        <f>SUM(U13:U21)</f>
        <v>3605397</v>
      </c>
      <c r="V22" s="10">
        <f t="shared" ref="V22:Z22" si="25">SUM(V13:V21)</f>
        <v>5638263</v>
      </c>
      <c r="W22" s="10">
        <f t="shared" si="25"/>
        <v>4041838</v>
      </c>
      <c r="X22" s="10">
        <f t="shared" si="25"/>
        <v>5281286</v>
      </c>
      <c r="Y22" s="10">
        <f t="shared" si="25"/>
        <v>4952590</v>
      </c>
      <c r="Z22" s="10">
        <f t="shared" si="25"/>
        <v>4215056</v>
      </c>
      <c r="AA22" s="53"/>
      <c r="AB22" s="36" t="s">
        <v>47</v>
      </c>
      <c r="AC22" s="36"/>
      <c r="AD22" s="10">
        <f>SUM(AD13:AD21)</f>
        <v>3605397</v>
      </c>
      <c r="AE22" s="10">
        <f t="shared" ref="AE22:AI22" si="26">SUM(AE13:AE21)</f>
        <v>5638263</v>
      </c>
      <c r="AF22" s="10">
        <f t="shared" si="26"/>
        <v>4041838</v>
      </c>
      <c r="AG22" s="10">
        <f t="shared" si="26"/>
        <v>5281286</v>
      </c>
      <c r="AH22" s="10">
        <f t="shared" si="26"/>
        <v>4952590</v>
      </c>
      <c r="AI22" s="10">
        <f t="shared" si="26"/>
        <v>4215056</v>
      </c>
      <c r="AJ22" s="42"/>
      <c r="AK22" s="32"/>
    </row>
    <row r="23" spans="1:37">
      <c r="A23" s="97" t="s">
        <v>71</v>
      </c>
      <c r="B23" s="111" t="s">
        <v>66</v>
      </c>
      <c r="C23" s="16">
        <v>-330</v>
      </c>
      <c r="D23" s="16">
        <v>-30</v>
      </c>
      <c r="E23" s="16">
        <v>-30</v>
      </c>
      <c r="F23" s="16">
        <v>-30</v>
      </c>
      <c r="G23" s="16">
        <v>-30</v>
      </c>
      <c r="H23" s="16">
        <v>-30</v>
      </c>
      <c r="S23" s="120"/>
      <c r="T23" s="120"/>
      <c r="U23" s="121"/>
      <c r="V23" s="121"/>
      <c r="W23" s="121"/>
      <c r="X23" s="121"/>
      <c r="Y23" s="121"/>
      <c r="Z23" s="121"/>
      <c r="AA23" s="32"/>
      <c r="AJ23" s="43"/>
      <c r="AK23" s="32"/>
    </row>
    <row r="24" spans="1:37">
      <c r="A24" s="97" t="s">
        <v>72</v>
      </c>
      <c r="B24" s="111" t="s">
        <v>66</v>
      </c>
      <c r="C24" s="16">
        <v>2731690</v>
      </c>
      <c r="D24" s="16">
        <v>4778346</v>
      </c>
      <c r="E24" s="16">
        <v>4778346</v>
      </c>
      <c r="F24" s="16">
        <v>4778346</v>
      </c>
      <c r="G24" s="16">
        <v>4778346</v>
      </c>
      <c r="H24" s="16">
        <v>4778346</v>
      </c>
      <c r="J24" s="35" t="s">
        <v>52</v>
      </c>
      <c r="K24" s="35"/>
      <c r="S24" s="36" t="s">
        <v>49</v>
      </c>
      <c r="T24" s="36"/>
      <c r="U24" s="10">
        <f>U11+U22</f>
        <v>10024000</v>
      </c>
      <c r="V24" s="10">
        <f t="shared" ref="V24:Z24" si="27">V11+V22</f>
        <v>15910180</v>
      </c>
      <c r="W24" s="10">
        <f t="shared" si="27"/>
        <v>16013595</v>
      </c>
      <c r="X24" s="10">
        <f t="shared" si="27"/>
        <v>18715243</v>
      </c>
      <c r="Y24" s="10">
        <f t="shared" si="27"/>
        <v>20274884</v>
      </c>
      <c r="Z24" s="10">
        <f t="shared" si="27"/>
        <v>20596860</v>
      </c>
      <c r="AA24" s="32"/>
      <c r="AB24" s="119" t="s">
        <v>49</v>
      </c>
      <c r="AC24" s="119"/>
      <c r="AD24" s="39">
        <f>AD11+AD22</f>
        <v>10024000</v>
      </c>
      <c r="AE24" s="39">
        <f t="shared" ref="AE24:AI24" si="28">AE11+AE22</f>
        <v>15910180</v>
      </c>
      <c r="AF24" s="39">
        <f t="shared" si="28"/>
        <v>16013595</v>
      </c>
      <c r="AG24" s="39">
        <f t="shared" si="28"/>
        <v>18715243</v>
      </c>
      <c r="AH24" s="39">
        <f t="shared" si="28"/>
        <v>20274884</v>
      </c>
      <c r="AI24" s="39">
        <f t="shared" si="28"/>
        <v>20596860</v>
      </c>
      <c r="AJ24" s="32"/>
      <c r="AK24" s="32"/>
    </row>
    <row r="25" spans="1:37">
      <c r="A25" s="97" t="s">
        <v>73</v>
      </c>
      <c r="B25" s="111" t="s">
        <v>66</v>
      </c>
      <c r="C25" s="16">
        <v>5099758</v>
      </c>
      <c r="D25" s="16">
        <v>7702055</v>
      </c>
      <c r="E25" s="16">
        <v>8769401</v>
      </c>
      <c r="F25" s="16">
        <v>11314996</v>
      </c>
      <c r="G25" s="16">
        <v>12012739</v>
      </c>
      <c r="H25" s="16">
        <v>11919158</v>
      </c>
      <c r="J25" s="16" t="str">
        <f t="shared" ref="J25:Q29" si="29">A22</f>
        <v>Share capital</v>
      </c>
      <c r="K25" s="16" t="str">
        <f t="shared" si="29"/>
        <v>F</v>
      </c>
      <c r="L25" s="16">
        <f t="shared" si="29"/>
        <v>54577</v>
      </c>
      <c r="M25" s="16">
        <f t="shared" si="29"/>
        <v>59577</v>
      </c>
      <c r="N25" s="16">
        <f t="shared" si="29"/>
        <v>59577</v>
      </c>
      <c r="O25" s="16">
        <f t="shared" si="29"/>
        <v>59577</v>
      </c>
      <c r="P25" s="16">
        <f t="shared" si="29"/>
        <v>59577</v>
      </c>
      <c r="Q25" s="16">
        <f t="shared" si="29"/>
        <v>59577</v>
      </c>
      <c r="AA25" s="32"/>
      <c r="AJ25" s="32"/>
      <c r="AK25" s="32"/>
    </row>
    <row r="26" spans="1:37">
      <c r="A26" s="97" t="s">
        <v>74</v>
      </c>
      <c r="B26" s="111" t="s">
        <v>66</v>
      </c>
      <c r="C26" s="16">
        <v>878357</v>
      </c>
      <c r="D26" s="16">
        <v>935478</v>
      </c>
      <c r="E26" s="16">
        <v>874828</v>
      </c>
      <c r="F26" s="16">
        <v>981401</v>
      </c>
      <c r="G26" s="16">
        <v>912674</v>
      </c>
      <c r="H26" s="16">
        <v>875718</v>
      </c>
      <c r="J26" s="16" t="str">
        <f t="shared" si="29"/>
        <v>Treasury shares</v>
      </c>
      <c r="K26" s="16" t="str">
        <f t="shared" si="29"/>
        <v>F</v>
      </c>
      <c r="L26" s="16">
        <f t="shared" si="29"/>
        <v>-330</v>
      </c>
      <c r="M26" s="16">
        <f t="shared" si="29"/>
        <v>-30</v>
      </c>
      <c r="N26" s="16">
        <f t="shared" si="29"/>
        <v>-30</v>
      </c>
      <c r="O26" s="16">
        <f t="shared" si="29"/>
        <v>-30</v>
      </c>
      <c r="P26" s="16">
        <f t="shared" si="29"/>
        <v>-30</v>
      </c>
      <c r="Q26" s="16">
        <f t="shared" si="29"/>
        <v>-30</v>
      </c>
      <c r="S26" s="16" t="str">
        <f t="shared" ref="S26:Z26" si="30">A17</f>
        <v>Cash and cash equivalents</v>
      </c>
      <c r="T26" s="16" t="str">
        <f t="shared" si="30"/>
        <v>F</v>
      </c>
      <c r="U26" s="16">
        <f t="shared" si="30"/>
        <v>1247614</v>
      </c>
      <c r="V26" s="16">
        <f t="shared" si="30"/>
        <v>2233700</v>
      </c>
      <c r="W26" s="16">
        <f t="shared" si="30"/>
        <v>3514096</v>
      </c>
      <c r="X26" s="16">
        <f t="shared" si="30"/>
        <v>3036154</v>
      </c>
      <c r="Y26" s="16">
        <f t="shared" si="30"/>
        <v>3031052</v>
      </c>
      <c r="Z26" s="16">
        <f t="shared" si="30"/>
        <v>2966409</v>
      </c>
      <c r="AA26" s="52"/>
      <c r="AB26" s="35" t="s">
        <v>52</v>
      </c>
      <c r="AC26" s="35"/>
      <c r="AJ26" s="42"/>
      <c r="AK26" s="32"/>
    </row>
    <row r="27" spans="1:37">
      <c r="J27" s="16" t="str">
        <f t="shared" si="29"/>
        <v>Share premium reserve</v>
      </c>
      <c r="K27" s="16" t="str">
        <f t="shared" si="29"/>
        <v>F</v>
      </c>
      <c r="L27" s="16">
        <f t="shared" si="29"/>
        <v>2731690</v>
      </c>
      <c r="M27" s="16">
        <f t="shared" si="29"/>
        <v>4778346</v>
      </c>
      <c r="N27" s="16">
        <f t="shared" si="29"/>
        <v>4778346</v>
      </c>
      <c r="O27" s="16">
        <f t="shared" si="29"/>
        <v>4778346</v>
      </c>
      <c r="P27" s="16">
        <f t="shared" si="29"/>
        <v>4778346</v>
      </c>
      <c r="Q27" s="16">
        <f t="shared" si="29"/>
        <v>4778346</v>
      </c>
      <c r="S27" s="36" t="s">
        <v>62</v>
      </c>
      <c r="T27" s="36"/>
      <c r="U27" s="10">
        <f>SUM(U26:U26)</f>
        <v>1247614</v>
      </c>
      <c r="V27" s="10">
        <f t="shared" ref="V27:Z27" si="31">SUM(V26:V26)</f>
        <v>2233700</v>
      </c>
      <c r="W27" s="10">
        <f t="shared" si="31"/>
        <v>3514096</v>
      </c>
      <c r="X27" s="10">
        <f t="shared" si="31"/>
        <v>3036154</v>
      </c>
      <c r="Y27" s="10">
        <f t="shared" si="31"/>
        <v>3031052</v>
      </c>
      <c r="Z27" s="10">
        <f t="shared" si="31"/>
        <v>2966409</v>
      </c>
      <c r="AA27" s="53"/>
      <c r="AB27" s="16" t="str">
        <f t="shared" ref="AB27:AI31" si="32">A22</f>
        <v>Share capital</v>
      </c>
      <c r="AC27" s="16" t="str">
        <f t="shared" si="32"/>
        <v>F</v>
      </c>
      <c r="AD27" s="16">
        <f t="shared" si="32"/>
        <v>54577</v>
      </c>
      <c r="AE27" s="16">
        <f t="shared" si="32"/>
        <v>59577</v>
      </c>
      <c r="AF27" s="16">
        <f t="shared" si="32"/>
        <v>59577</v>
      </c>
      <c r="AG27" s="16">
        <f t="shared" si="32"/>
        <v>59577</v>
      </c>
      <c r="AH27" s="16">
        <f t="shared" si="32"/>
        <v>59577</v>
      </c>
      <c r="AI27" s="16">
        <f t="shared" si="32"/>
        <v>59577</v>
      </c>
      <c r="AJ27" s="42"/>
      <c r="AK27" s="32"/>
    </row>
    <row r="28" spans="1:37">
      <c r="A28" s="36" t="s">
        <v>75</v>
      </c>
      <c r="B28" s="110"/>
      <c r="C28" s="10">
        <f t="shared" ref="C28:G28" si="33">SUM(C29:C32)</f>
        <v>4075535</v>
      </c>
      <c r="D28" s="10">
        <f t="shared" si="33"/>
        <v>7470724</v>
      </c>
      <c r="E28" s="10">
        <f t="shared" si="33"/>
        <v>7359519</v>
      </c>
      <c r="F28" s="10">
        <f t="shared" si="33"/>
        <v>7061064</v>
      </c>
      <c r="G28" s="10">
        <f t="shared" si="33"/>
        <v>8017161</v>
      </c>
      <c r="H28" s="10">
        <f>SUM(H29:H32)</f>
        <v>8250870</v>
      </c>
      <c r="J28" s="16" t="str">
        <f t="shared" si="29"/>
        <v>Retained earnings</v>
      </c>
      <c r="K28" s="16" t="str">
        <f t="shared" si="29"/>
        <v>F</v>
      </c>
      <c r="L28" s="16">
        <f t="shared" si="29"/>
        <v>5099758</v>
      </c>
      <c r="M28" s="16">
        <f t="shared" si="29"/>
        <v>7702055</v>
      </c>
      <c r="N28" s="16">
        <f t="shared" si="29"/>
        <v>8769401</v>
      </c>
      <c r="O28" s="16">
        <f t="shared" si="29"/>
        <v>11314996</v>
      </c>
      <c r="P28" s="16">
        <f t="shared" si="29"/>
        <v>12012739</v>
      </c>
      <c r="Q28" s="16">
        <f t="shared" si="29"/>
        <v>11919158</v>
      </c>
      <c r="AA28" s="53"/>
      <c r="AB28" s="16" t="str">
        <f t="shared" si="32"/>
        <v>Treasury shares</v>
      </c>
      <c r="AC28" s="16" t="str">
        <f t="shared" si="32"/>
        <v>F</v>
      </c>
      <c r="AD28" s="16">
        <f t="shared" si="32"/>
        <v>-330</v>
      </c>
      <c r="AE28" s="16">
        <f t="shared" si="32"/>
        <v>-30</v>
      </c>
      <c r="AF28" s="16">
        <f t="shared" si="32"/>
        <v>-30</v>
      </c>
      <c r="AG28" s="16">
        <f t="shared" si="32"/>
        <v>-30</v>
      </c>
      <c r="AH28" s="16">
        <f t="shared" si="32"/>
        <v>-30</v>
      </c>
      <c r="AI28" s="16">
        <f t="shared" si="32"/>
        <v>-30</v>
      </c>
      <c r="AJ28" s="42"/>
      <c r="AK28" s="32"/>
    </row>
    <row r="29" spans="1:37">
      <c r="A29" s="97" t="s">
        <v>76</v>
      </c>
      <c r="B29" s="111" t="s">
        <v>66</v>
      </c>
      <c r="C29" s="16">
        <v>2377123</v>
      </c>
      <c r="D29" s="16">
        <v>4541276</v>
      </c>
      <c r="E29" s="16">
        <v>4946254</v>
      </c>
      <c r="F29" s="16">
        <v>4550698</v>
      </c>
      <c r="G29" s="16">
        <f>'IFRS16 correction'!C30</f>
        <v>5509088</v>
      </c>
      <c r="H29" s="16">
        <f>'IFRS16 correction'!D30</f>
        <v>5893654</v>
      </c>
      <c r="J29" s="16" t="str">
        <f t="shared" si="29"/>
        <v>Non-controlling interests</v>
      </c>
      <c r="K29" s="16" t="str">
        <f t="shared" si="29"/>
        <v>F</v>
      </c>
      <c r="L29" s="16">
        <f t="shared" si="29"/>
        <v>878357</v>
      </c>
      <c r="M29" s="16">
        <f t="shared" si="29"/>
        <v>935478</v>
      </c>
      <c r="N29" s="16">
        <f t="shared" si="29"/>
        <v>874828</v>
      </c>
      <c r="O29" s="16">
        <f t="shared" si="29"/>
        <v>981401</v>
      </c>
      <c r="P29" s="16">
        <f t="shared" si="29"/>
        <v>912674</v>
      </c>
      <c r="Q29" s="16">
        <f t="shared" si="29"/>
        <v>875718</v>
      </c>
      <c r="S29" s="119" t="s">
        <v>77</v>
      </c>
      <c r="T29" s="119"/>
      <c r="U29" s="39">
        <f>U27+U24</f>
        <v>11271614</v>
      </c>
      <c r="V29" s="39">
        <f t="shared" ref="V29:Z29" si="34">V27+V24</f>
        <v>18143880</v>
      </c>
      <c r="W29" s="39">
        <f t="shared" si="34"/>
        <v>19527691</v>
      </c>
      <c r="X29" s="39">
        <f t="shared" si="34"/>
        <v>21751397</v>
      </c>
      <c r="Y29" s="39">
        <f t="shared" si="34"/>
        <v>23305936</v>
      </c>
      <c r="Z29" s="39">
        <f t="shared" si="34"/>
        <v>23563269</v>
      </c>
      <c r="AA29" s="32"/>
      <c r="AB29" s="16" t="str">
        <f t="shared" si="32"/>
        <v>Share premium reserve</v>
      </c>
      <c r="AC29" s="16" t="str">
        <f t="shared" si="32"/>
        <v>F</v>
      </c>
      <c r="AD29" s="16">
        <f t="shared" si="32"/>
        <v>2731690</v>
      </c>
      <c r="AE29" s="16">
        <f t="shared" si="32"/>
        <v>4778346</v>
      </c>
      <c r="AF29" s="16">
        <f t="shared" si="32"/>
        <v>4778346</v>
      </c>
      <c r="AG29" s="16">
        <f t="shared" si="32"/>
        <v>4778346</v>
      </c>
      <c r="AH29" s="16">
        <f t="shared" si="32"/>
        <v>4778346</v>
      </c>
      <c r="AI29" s="16">
        <f t="shared" si="32"/>
        <v>4778346</v>
      </c>
      <c r="AJ29" s="42"/>
      <c r="AK29" s="32"/>
    </row>
    <row r="30" spans="1:37">
      <c r="A30" s="97" t="s">
        <v>78</v>
      </c>
      <c r="B30" s="111" t="s">
        <v>44</v>
      </c>
      <c r="C30" s="16">
        <v>1567973</v>
      </c>
      <c r="D30" s="16">
        <v>2802271</v>
      </c>
      <c r="E30" s="16">
        <v>2313950</v>
      </c>
      <c r="F30" s="16">
        <v>2443957</v>
      </c>
      <c r="G30" s="16">
        <f>'IFRS16 correction'!C31</f>
        <v>2474530</v>
      </c>
      <c r="H30" s="16">
        <f>'IFRS16 correction'!D31</f>
        <v>2320370</v>
      </c>
      <c r="J30" s="114" t="s">
        <v>54</v>
      </c>
      <c r="K30" s="114"/>
      <c r="L30" s="122">
        <f>SUM(L25:L29)</f>
        <v>8764052</v>
      </c>
      <c r="M30" s="122">
        <f t="shared" ref="M30:Q30" si="35">SUM(M25:M29)</f>
        <v>13475426</v>
      </c>
      <c r="N30" s="122">
        <f t="shared" si="35"/>
        <v>14482122</v>
      </c>
      <c r="O30" s="122">
        <f t="shared" si="35"/>
        <v>17134290</v>
      </c>
      <c r="P30" s="122">
        <f t="shared" si="35"/>
        <v>17763306</v>
      </c>
      <c r="Q30" s="122">
        <f t="shared" si="35"/>
        <v>17632769</v>
      </c>
      <c r="AA30" s="52"/>
      <c r="AB30" s="16" t="str">
        <f t="shared" si="32"/>
        <v>Retained earnings</v>
      </c>
      <c r="AC30" s="16" t="str">
        <f t="shared" si="32"/>
        <v>F</v>
      </c>
      <c r="AD30" s="16">
        <f t="shared" si="32"/>
        <v>5099758</v>
      </c>
      <c r="AE30" s="16">
        <f t="shared" si="32"/>
        <v>7702055</v>
      </c>
      <c r="AF30" s="16">
        <f t="shared" si="32"/>
        <v>8769401</v>
      </c>
      <c r="AG30" s="16">
        <f t="shared" si="32"/>
        <v>11314996</v>
      </c>
      <c r="AH30" s="16">
        <f t="shared" si="32"/>
        <v>12012739</v>
      </c>
      <c r="AI30" s="16">
        <f t="shared" si="32"/>
        <v>11919158</v>
      </c>
      <c r="AJ30" s="42"/>
      <c r="AK30" s="32"/>
    </row>
    <row r="31" spans="1:37">
      <c r="A31" s="97" t="s">
        <v>79</v>
      </c>
      <c r="B31" s="111" t="s">
        <v>66</v>
      </c>
      <c r="C31" s="16">
        <v>3765</v>
      </c>
      <c r="D31" s="16">
        <v>5219</v>
      </c>
      <c r="E31" s="16">
        <v>3113</v>
      </c>
      <c r="F31" s="16">
        <v>3566</v>
      </c>
      <c r="G31" s="16">
        <f>'IFRS16 correction'!C32</f>
        <v>2689</v>
      </c>
      <c r="H31" s="16">
        <f>'IFRS16 correction'!D32</f>
        <v>2670</v>
      </c>
      <c r="S31" s="35" t="s">
        <v>52</v>
      </c>
      <c r="T31" s="35"/>
      <c r="AA31" s="32"/>
      <c r="AB31" s="16" t="str">
        <f t="shared" si="32"/>
        <v>Non-controlling interests</v>
      </c>
      <c r="AC31" s="16" t="str">
        <f t="shared" si="32"/>
        <v>F</v>
      </c>
      <c r="AD31" s="16">
        <f t="shared" si="32"/>
        <v>878357</v>
      </c>
      <c r="AE31" s="16">
        <f t="shared" si="32"/>
        <v>935478</v>
      </c>
      <c r="AF31" s="16">
        <f t="shared" si="32"/>
        <v>874828</v>
      </c>
      <c r="AG31" s="16">
        <f t="shared" si="32"/>
        <v>981401</v>
      </c>
      <c r="AH31" s="16">
        <f t="shared" si="32"/>
        <v>912674</v>
      </c>
      <c r="AI31" s="16">
        <f t="shared" si="32"/>
        <v>875718</v>
      </c>
      <c r="AJ31" s="42"/>
      <c r="AK31" s="32"/>
    </row>
    <row r="32" spans="1:37">
      <c r="A32" s="97" t="s">
        <v>80</v>
      </c>
      <c r="B32" s="111" t="s">
        <v>66</v>
      </c>
      <c r="C32" s="16">
        <v>126674</v>
      </c>
      <c r="D32" s="16">
        <v>121958</v>
      </c>
      <c r="E32" s="16">
        <v>96202</v>
      </c>
      <c r="F32" s="16">
        <v>62843</v>
      </c>
      <c r="G32" s="16">
        <f>'IFRS16 correction'!C33</f>
        <v>30854</v>
      </c>
      <c r="H32" s="16">
        <f>'IFRS16 correction'!D33</f>
        <v>34176</v>
      </c>
      <c r="J32" s="16" t="str">
        <f>A30</f>
        <v>Deferred tax</v>
      </c>
      <c r="K32" s="16" t="str">
        <f>B30</f>
        <v>O</v>
      </c>
      <c r="L32" s="16">
        <f>C30</f>
        <v>1567973</v>
      </c>
      <c r="M32" s="16">
        <f>D35</f>
        <v>1366634</v>
      </c>
      <c r="N32" s="16">
        <f>E35</f>
        <v>1310098</v>
      </c>
      <c r="O32" s="16">
        <f>F35</f>
        <v>1486119</v>
      </c>
      <c r="P32" s="16">
        <f>G35</f>
        <v>1554071</v>
      </c>
      <c r="Q32" s="16">
        <f>H35</f>
        <v>1194471</v>
      </c>
      <c r="S32" s="16" t="str">
        <f>J25</f>
        <v>Share capital</v>
      </c>
      <c r="T32" s="16" t="str">
        <f t="shared" ref="T32:T36" si="36">K25</f>
        <v>F</v>
      </c>
      <c r="U32" s="16">
        <f t="shared" ref="U32:Y36" si="37">C22</f>
        <v>54577</v>
      </c>
      <c r="V32" s="16">
        <f t="shared" si="37"/>
        <v>59577</v>
      </c>
      <c r="W32" s="16">
        <f t="shared" si="37"/>
        <v>59577</v>
      </c>
      <c r="X32" s="16">
        <f t="shared" si="37"/>
        <v>59577</v>
      </c>
      <c r="Y32" s="16">
        <f t="shared" si="37"/>
        <v>59577</v>
      </c>
      <c r="Z32" s="16">
        <f t="shared" ref="Z32:Z36" si="38">Q25</f>
        <v>59577</v>
      </c>
      <c r="AA32" s="52"/>
      <c r="AB32" s="36" t="s">
        <v>54</v>
      </c>
      <c r="AC32" s="36"/>
      <c r="AD32" s="10">
        <f>SUM(AD27:AD31)</f>
        <v>8764052</v>
      </c>
      <c r="AE32" s="10">
        <f t="shared" ref="AE32:AI32" si="39">SUM(AE27:AE31)</f>
        <v>13475426</v>
      </c>
      <c r="AF32" s="10">
        <f t="shared" si="39"/>
        <v>14482122</v>
      </c>
      <c r="AG32" s="10">
        <f t="shared" si="39"/>
        <v>17134290</v>
      </c>
      <c r="AH32" s="10">
        <f t="shared" si="39"/>
        <v>17763306</v>
      </c>
      <c r="AI32" s="10">
        <f t="shared" si="39"/>
        <v>17632769</v>
      </c>
      <c r="AJ32" s="42"/>
      <c r="AK32" s="32"/>
    </row>
    <row r="33" spans="1:37">
      <c r="J33" s="114" t="s">
        <v>81</v>
      </c>
      <c r="K33" s="114"/>
      <c r="L33" s="122">
        <f>SUM(L32:L32)</f>
        <v>1567973</v>
      </c>
      <c r="M33" s="16">
        <f t="shared" ref="M33:Q34" si="40">D37</f>
        <v>263991</v>
      </c>
      <c r="N33" s="16">
        <f t="shared" si="40"/>
        <v>233982</v>
      </c>
      <c r="O33" s="16">
        <f t="shared" si="40"/>
        <v>226513</v>
      </c>
      <c r="P33" s="16">
        <f t="shared" si="40"/>
        <v>279333</v>
      </c>
      <c r="Q33" s="16">
        <f t="shared" si="40"/>
        <v>252629</v>
      </c>
      <c r="S33" s="16" t="str">
        <f t="shared" ref="S33:S36" si="41">J26</f>
        <v>Treasury shares</v>
      </c>
      <c r="T33" s="16" t="str">
        <f t="shared" si="36"/>
        <v>F</v>
      </c>
      <c r="U33" s="16">
        <f t="shared" si="37"/>
        <v>-330</v>
      </c>
      <c r="V33" s="16">
        <f t="shared" si="37"/>
        <v>-30</v>
      </c>
      <c r="W33" s="16">
        <f t="shared" si="37"/>
        <v>-30</v>
      </c>
      <c r="X33" s="16">
        <f t="shared" si="37"/>
        <v>-30</v>
      </c>
      <c r="Y33" s="16">
        <f t="shared" si="37"/>
        <v>-30</v>
      </c>
      <c r="Z33" s="16">
        <f t="shared" si="38"/>
        <v>-30</v>
      </c>
      <c r="AA33" s="52"/>
      <c r="AJ33" s="42"/>
      <c r="AK33" s="32"/>
    </row>
    <row r="34" spans="1:37">
      <c r="A34" s="36" t="s">
        <v>82</v>
      </c>
      <c r="B34" s="110"/>
      <c r="C34" s="10">
        <f t="shared" ref="C34:F34" si="42">SUM(C35:C39)</f>
        <v>3144116</v>
      </c>
      <c r="D34" s="10">
        <f t="shared" si="42"/>
        <v>4132436</v>
      </c>
      <c r="E34" s="10">
        <f t="shared" si="42"/>
        <v>3816471</v>
      </c>
      <c r="F34" s="10">
        <f t="shared" si="42"/>
        <v>4177378</v>
      </c>
      <c r="G34" s="10">
        <f>SUM(G35:G39)</f>
        <v>4408965</v>
      </c>
      <c r="H34" s="10">
        <f>SUM(H35:H39)</f>
        <v>4279460</v>
      </c>
      <c r="M34" s="37">
        <f t="shared" si="40"/>
        <v>477842</v>
      </c>
      <c r="N34" s="37">
        <f t="shared" si="40"/>
        <v>819884</v>
      </c>
      <c r="O34" s="37">
        <f t="shared" si="40"/>
        <v>678075</v>
      </c>
      <c r="P34" s="37">
        <f t="shared" si="40"/>
        <v>448813</v>
      </c>
      <c r="Q34" s="37">
        <f t="shared" si="40"/>
        <v>349562</v>
      </c>
      <c r="S34" s="16" t="str">
        <f t="shared" si="41"/>
        <v>Share premium reserve</v>
      </c>
      <c r="T34" s="16" t="str">
        <f t="shared" si="36"/>
        <v>F</v>
      </c>
      <c r="U34" s="16">
        <f t="shared" si="37"/>
        <v>2731690</v>
      </c>
      <c r="V34" s="16">
        <f t="shared" si="37"/>
        <v>4778346</v>
      </c>
      <c r="W34" s="16">
        <f t="shared" si="37"/>
        <v>4778346</v>
      </c>
      <c r="X34" s="16">
        <f t="shared" si="37"/>
        <v>4778346</v>
      </c>
      <c r="Y34" s="16">
        <f t="shared" si="37"/>
        <v>4778346</v>
      </c>
      <c r="Z34" s="16">
        <f t="shared" si="38"/>
        <v>4778346</v>
      </c>
      <c r="AA34" s="53"/>
      <c r="AB34" s="16" t="str">
        <f t="shared" ref="AB34:AI34" si="43">A29</f>
        <v>Long-term interest-bearing debt</v>
      </c>
      <c r="AC34" s="16" t="str">
        <f t="shared" si="43"/>
        <v>F</v>
      </c>
      <c r="AD34" s="16">
        <f t="shared" si="43"/>
        <v>2377123</v>
      </c>
      <c r="AE34" s="16">
        <f t="shared" si="43"/>
        <v>4541276</v>
      </c>
      <c r="AF34" s="16">
        <f t="shared" si="43"/>
        <v>4946254</v>
      </c>
      <c r="AG34" s="16">
        <f t="shared" si="43"/>
        <v>4550698</v>
      </c>
      <c r="AH34" s="16">
        <f t="shared" si="43"/>
        <v>5509088</v>
      </c>
      <c r="AI34" s="16">
        <f t="shared" si="43"/>
        <v>5893654</v>
      </c>
      <c r="AJ34" s="42"/>
      <c r="AK34" s="32"/>
    </row>
    <row r="35" spans="1:37">
      <c r="A35" s="97" t="s">
        <v>83</v>
      </c>
      <c r="B35" s="111" t="s">
        <v>44</v>
      </c>
      <c r="C35" s="123">
        <v>915981</v>
      </c>
      <c r="D35" s="16">
        <v>1366634</v>
      </c>
      <c r="E35" s="16">
        <v>1310098</v>
      </c>
      <c r="F35" s="16">
        <v>1486119</v>
      </c>
      <c r="G35" s="16">
        <f>'IFRS16 correction'!C37</f>
        <v>1554071</v>
      </c>
      <c r="H35" s="16">
        <f>'IFRS16 correction'!D37</f>
        <v>1194471</v>
      </c>
      <c r="J35" s="16" t="str">
        <f>A29</f>
        <v>Long-term interest-bearing debt</v>
      </c>
      <c r="K35" s="16" t="str">
        <f>B29</f>
        <v>F</v>
      </c>
      <c r="L35" s="16">
        <f>C29</f>
        <v>2377123</v>
      </c>
      <c r="M35" s="122">
        <f t="shared" ref="M35:Q35" si="44">SUM(M32:M34)</f>
        <v>2108467</v>
      </c>
      <c r="N35" s="122">
        <f t="shared" si="44"/>
        <v>2363964</v>
      </c>
      <c r="O35" s="122">
        <f t="shared" si="44"/>
        <v>2390707</v>
      </c>
      <c r="P35" s="122">
        <f t="shared" si="44"/>
        <v>2282217</v>
      </c>
      <c r="Q35" s="122">
        <f t="shared" si="44"/>
        <v>1796662</v>
      </c>
      <c r="S35" s="16" t="str">
        <f t="shared" si="41"/>
        <v>Retained earnings</v>
      </c>
      <c r="T35" s="16" t="str">
        <f t="shared" si="36"/>
        <v>F</v>
      </c>
      <c r="U35" s="16">
        <f t="shared" si="37"/>
        <v>5099758</v>
      </c>
      <c r="V35" s="16">
        <f t="shared" si="37"/>
        <v>7702055</v>
      </c>
      <c r="W35" s="16">
        <f t="shared" si="37"/>
        <v>8769401</v>
      </c>
      <c r="X35" s="16">
        <f t="shared" si="37"/>
        <v>11314996</v>
      </c>
      <c r="Y35" s="16">
        <f t="shared" si="37"/>
        <v>12012739</v>
      </c>
      <c r="Z35" s="16">
        <f t="shared" si="38"/>
        <v>11919158</v>
      </c>
      <c r="AA35" s="53"/>
      <c r="AB35" s="16" t="str">
        <f t="shared" ref="AB35:AI36" si="45">A31</f>
        <v>Pension liabilities</v>
      </c>
      <c r="AC35" s="16" t="str">
        <f t="shared" si="45"/>
        <v>F</v>
      </c>
      <c r="AD35" s="16">
        <f t="shared" si="45"/>
        <v>3765</v>
      </c>
      <c r="AE35" s="16">
        <f t="shared" si="45"/>
        <v>5219</v>
      </c>
      <c r="AF35" s="16">
        <f t="shared" si="45"/>
        <v>3113</v>
      </c>
      <c r="AG35" s="16">
        <f t="shared" si="45"/>
        <v>3566</v>
      </c>
      <c r="AH35" s="16">
        <f t="shared" si="45"/>
        <v>2689</v>
      </c>
      <c r="AI35" s="16">
        <f t="shared" si="45"/>
        <v>2670</v>
      </c>
      <c r="AJ35" s="32"/>
      <c r="AK35" s="32"/>
    </row>
    <row r="36" spans="1:37">
      <c r="A36" s="97" t="s">
        <v>84</v>
      </c>
      <c r="B36" s="111" t="s">
        <v>44</v>
      </c>
      <c r="C36" s="16">
        <v>1465144</v>
      </c>
      <c r="D36" s="16">
        <v>1094089</v>
      </c>
      <c r="E36" s="16">
        <v>830009</v>
      </c>
      <c r="F36" s="16">
        <v>1031868</v>
      </c>
      <c r="G36" s="16">
        <f>'IFRS16 correction'!C38</f>
        <v>1401807</v>
      </c>
      <c r="H36" s="16">
        <f>'IFRS16 correction'!D38</f>
        <v>1652258</v>
      </c>
      <c r="J36" s="16" t="str">
        <f t="shared" ref="J36:L37" si="46">A31</f>
        <v>Pension liabilities</v>
      </c>
      <c r="K36" s="16" t="str">
        <f t="shared" si="46"/>
        <v>F</v>
      </c>
      <c r="L36" s="16">
        <f t="shared" si="46"/>
        <v>3765</v>
      </c>
      <c r="S36" s="16" t="str">
        <f t="shared" si="41"/>
        <v>Non-controlling interests</v>
      </c>
      <c r="T36" s="16" t="str">
        <f t="shared" si="36"/>
        <v>F</v>
      </c>
      <c r="U36" s="16">
        <f t="shared" si="37"/>
        <v>878357</v>
      </c>
      <c r="V36" s="16">
        <f t="shared" si="37"/>
        <v>935478</v>
      </c>
      <c r="W36" s="16">
        <f t="shared" si="37"/>
        <v>874828</v>
      </c>
      <c r="X36" s="16">
        <f t="shared" si="37"/>
        <v>981401</v>
      </c>
      <c r="Y36" s="16">
        <f t="shared" si="37"/>
        <v>912674</v>
      </c>
      <c r="Z36" s="16">
        <f t="shared" si="38"/>
        <v>875718</v>
      </c>
      <c r="AA36" s="32"/>
      <c r="AB36" s="16" t="str">
        <f t="shared" si="45"/>
        <v>Other long term liabilities</v>
      </c>
      <c r="AC36" s="16" t="str">
        <f t="shared" si="45"/>
        <v>F</v>
      </c>
      <c r="AD36" s="16">
        <f t="shared" si="45"/>
        <v>126674</v>
      </c>
      <c r="AE36" s="16">
        <f t="shared" si="45"/>
        <v>121958</v>
      </c>
      <c r="AF36" s="16">
        <f t="shared" si="45"/>
        <v>96202</v>
      </c>
      <c r="AG36" s="16">
        <f t="shared" si="45"/>
        <v>62843</v>
      </c>
      <c r="AH36" s="16">
        <f t="shared" si="45"/>
        <v>30854</v>
      </c>
      <c r="AI36" s="16">
        <f t="shared" si="45"/>
        <v>34176</v>
      </c>
      <c r="AJ36" s="32"/>
      <c r="AK36" s="32"/>
    </row>
    <row r="37" spans="1:37">
      <c r="A37" s="97" t="s">
        <v>85</v>
      </c>
      <c r="B37" s="111" t="s">
        <v>44</v>
      </c>
      <c r="C37" s="16">
        <v>123457</v>
      </c>
      <c r="D37" s="16">
        <v>263991</v>
      </c>
      <c r="E37" s="16">
        <v>233982</v>
      </c>
      <c r="F37" s="16">
        <v>226513</v>
      </c>
      <c r="G37" s="16">
        <f>'IFRS16 correction'!C39</f>
        <v>279333</v>
      </c>
      <c r="H37" s="16">
        <f>'IFRS16 correction'!D39</f>
        <v>252629</v>
      </c>
      <c r="J37" s="16" t="str">
        <f t="shared" si="46"/>
        <v>Other long term liabilities</v>
      </c>
      <c r="K37" s="16" t="str">
        <f t="shared" si="46"/>
        <v>F</v>
      </c>
      <c r="L37" s="16">
        <f t="shared" si="46"/>
        <v>126674</v>
      </c>
      <c r="M37" s="16">
        <f>D29</f>
        <v>4541276</v>
      </c>
      <c r="N37" s="16">
        <f>E29</f>
        <v>4946254</v>
      </c>
      <c r="O37" s="16">
        <f>F29</f>
        <v>4550698</v>
      </c>
      <c r="P37" s="16">
        <f>G29</f>
        <v>5509088</v>
      </c>
      <c r="Q37" s="16">
        <f>H29</f>
        <v>5893654</v>
      </c>
      <c r="S37" s="36" t="s">
        <v>54</v>
      </c>
      <c r="T37" s="36"/>
      <c r="U37" s="10">
        <f>SUM(U32:U36)</f>
        <v>8764052</v>
      </c>
      <c r="V37" s="10">
        <f t="shared" ref="V37:Z37" si="47">SUM(V32:V36)</f>
        <v>13475426</v>
      </c>
      <c r="W37" s="10">
        <f t="shared" si="47"/>
        <v>14482122</v>
      </c>
      <c r="X37" s="10">
        <f t="shared" si="47"/>
        <v>17134290</v>
      </c>
      <c r="Y37" s="10">
        <f t="shared" si="47"/>
        <v>17763306</v>
      </c>
      <c r="Z37" s="10">
        <f t="shared" si="47"/>
        <v>17632769</v>
      </c>
      <c r="AA37" s="52"/>
      <c r="AB37" s="117" t="str">
        <f>A17</f>
        <v>Cash and cash equivalents</v>
      </c>
      <c r="AC37" s="118" t="str">
        <f>B17</f>
        <v>F</v>
      </c>
      <c r="AD37" s="117">
        <f t="shared" ref="AD37:AI37" si="48">-C17</f>
        <v>-1247614</v>
      </c>
      <c r="AE37" s="117">
        <f t="shared" si="48"/>
        <v>-2233700</v>
      </c>
      <c r="AF37" s="117">
        <f t="shared" si="48"/>
        <v>-3514096</v>
      </c>
      <c r="AG37" s="117">
        <f t="shared" si="48"/>
        <v>-3036154</v>
      </c>
      <c r="AH37" s="117">
        <f t="shared" si="48"/>
        <v>-3031052</v>
      </c>
      <c r="AI37" s="117">
        <f t="shared" si="48"/>
        <v>-2966409</v>
      </c>
      <c r="AJ37" s="32"/>
      <c r="AK37" s="32"/>
    </row>
    <row r="38" spans="1:37">
      <c r="A38" s="97" t="s">
        <v>86</v>
      </c>
      <c r="B38" s="111" t="s">
        <v>44</v>
      </c>
      <c r="C38" s="16">
        <v>200151</v>
      </c>
      <c r="D38" s="16">
        <v>477842</v>
      </c>
      <c r="E38" s="16">
        <v>819884</v>
      </c>
      <c r="F38" s="16">
        <v>678075</v>
      </c>
      <c r="G38" s="16">
        <f>'IFRS16 correction'!C40</f>
        <v>448813</v>
      </c>
      <c r="H38" s="16">
        <f>'IFRS16 correction'!D40</f>
        <v>349562</v>
      </c>
      <c r="J38" s="114" t="s">
        <v>87</v>
      </c>
      <c r="K38" s="114"/>
      <c r="L38" s="122">
        <f>SUM(L35:L37)</f>
        <v>2507562</v>
      </c>
      <c r="M38" s="16">
        <f t="shared" ref="M38:Q39" si="49">D31</f>
        <v>5219</v>
      </c>
      <c r="N38" s="16">
        <f t="shared" si="49"/>
        <v>3113</v>
      </c>
      <c r="O38" s="16">
        <f t="shared" si="49"/>
        <v>3566</v>
      </c>
      <c r="P38" s="16">
        <f t="shared" si="49"/>
        <v>2689</v>
      </c>
      <c r="Q38" s="16">
        <f t="shared" si="49"/>
        <v>2670</v>
      </c>
      <c r="AA38" s="53"/>
      <c r="AB38" s="36" t="s">
        <v>56</v>
      </c>
      <c r="AC38" s="36"/>
      <c r="AD38" s="10">
        <f t="shared" ref="AD38:AI38" si="50">SUM(AD34:AD37)</f>
        <v>1259948</v>
      </c>
      <c r="AE38" s="10">
        <f t="shared" si="50"/>
        <v>2434753</v>
      </c>
      <c r="AF38" s="10">
        <f t="shared" si="50"/>
        <v>1531473</v>
      </c>
      <c r="AG38" s="10">
        <f t="shared" si="50"/>
        <v>1580953</v>
      </c>
      <c r="AH38" s="10">
        <f t="shared" si="50"/>
        <v>2511579</v>
      </c>
      <c r="AI38" s="10">
        <f t="shared" si="50"/>
        <v>2964091</v>
      </c>
      <c r="AJ38" s="32"/>
      <c r="AK38" s="32"/>
    </row>
    <row r="39" spans="1:37">
      <c r="A39" s="97" t="s">
        <v>88</v>
      </c>
      <c r="B39" s="111" t="s">
        <v>44</v>
      </c>
      <c r="C39" s="16">
        <v>439383</v>
      </c>
      <c r="D39" s="16">
        <v>929880</v>
      </c>
      <c r="E39" s="16">
        <v>622498</v>
      </c>
      <c r="F39" s="16">
        <v>754803</v>
      </c>
      <c r="G39" s="16">
        <f>'IFRS16 correction'!C41</f>
        <v>724941</v>
      </c>
      <c r="H39" s="16">
        <f>'IFRS16 correction'!D41</f>
        <v>830540</v>
      </c>
      <c r="M39" s="16">
        <f t="shared" si="49"/>
        <v>121958</v>
      </c>
      <c r="N39" s="16">
        <f t="shared" si="49"/>
        <v>96202</v>
      </c>
      <c r="O39" s="16">
        <f t="shared" si="49"/>
        <v>62843</v>
      </c>
      <c r="P39" s="16">
        <f t="shared" si="49"/>
        <v>30854</v>
      </c>
      <c r="Q39" s="16">
        <f t="shared" si="49"/>
        <v>34176</v>
      </c>
      <c r="S39" s="16" t="str">
        <f>J35</f>
        <v>Long-term interest-bearing debt</v>
      </c>
      <c r="T39" s="16" t="str">
        <f t="shared" ref="T39:T41" si="51">K35</f>
        <v>F</v>
      </c>
      <c r="U39" s="16">
        <f t="shared" ref="U39:Z39" si="52">C29</f>
        <v>2377123</v>
      </c>
      <c r="V39" s="16">
        <f t="shared" si="52"/>
        <v>4541276</v>
      </c>
      <c r="W39" s="16">
        <f t="shared" si="52"/>
        <v>4946254</v>
      </c>
      <c r="X39" s="16">
        <f t="shared" si="52"/>
        <v>4550698</v>
      </c>
      <c r="Y39" s="16">
        <f t="shared" si="52"/>
        <v>5509088</v>
      </c>
      <c r="Z39" s="16">
        <f t="shared" si="52"/>
        <v>5893654</v>
      </c>
      <c r="AA39" s="53"/>
      <c r="AJ39" s="32"/>
      <c r="AK39" s="32"/>
    </row>
    <row r="40" spans="1:37">
      <c r="A40" s="39" t="s">
        <v>89</v>
      </c>
      <c r="B40" s="112"/>
      <c r="C40" s="39">
        <f t="shared" ref="C40:G40" si="53">C21+C28+C34</f>
        <v>15983703</v>
      </c>
      <c r="D40" s="39">
        <f t="shared" si="53"/>
        <v>25078586</v>
      </c>
      <c r="E40" s="39">
        <f t="shared" si="53"/>
        <v>25658112</v>
      </c>
      <c r="F40" s="39">
        <f t="shared" si="53"/>
        <v>28372732</v>
      </c>
      <c r="G40" s="39">
        <f t="shared" si="53"/>
        <v>30189432</v>
      </c>
      <c r="H40" s="39">
        <f>H21+H28+H34</f>
        <v>30163099</v>
      </c>
      <c r="J40" s="16" t="str">
        <f t="shared" ref="J40:L44" si="54">A35</f>
        <v>Trade payables</v>
      </c>
      <c r="K40" s="16" t="str">
        <f t="shared" si="54"/>
        <v>O</v>
      </c>
      <c r="L40" s="16">
        <f t="shared" si="54"/>
        <v>915981</v>
      </c>
      <c r="M40" s="122"/>
      <c r="N40" s="122"/>
      <c r="O40" s="122"/>
      <c r="P40" s="122"/>
      <c r="Q40" s="122"/>
      <c r="S40" s="16" t="str">
        <f t="shared" ref="S40:Z40" si="55">A31</f>
        <v>Pension liabilities</v>
      </c>
      <c r="T40" s="16" t="str">
        <f t="shared" si="55"/>
        <v>F</v>
      </c>
      <c r="U40" s="16">
        <f t="shared" si="55"/>
        <v>3765</v>
      </c>
      <c r="V40" s="16">
        <f t="shared" si="55"/>
        <v>5219</v>
      </c>
      <c r="W40" s="16">
        <f t="shared" si="55"/>
        <v>3113</v>
      </c>
      <c r="X40" s="16">
        <f t="shared" si="55"/>
        <v>3566</v>
      </c>
      <c r="Y40" s="16">
        <f t="shared" si="55"/>
        <v>2689</v>
      </c>
      <c r="Z40" s="16">
        <f t="shared" si="55"/>
        <v>2670</v>
      </c>
      <c r="AA40" s="53"/>
      <c r="AB40" s="119" t="s">
        <v>58</v>
      </c>
      <c r="AC40" s="119"/>
      <c r="AD40" s="39">
        <f t="shared" ref="AD40:AI40" si="56">AD32+AD38</f>
        <v>10024000</v>
      </c>
      <c r="AE40" s="39">
        <f t="shared" si="56"/>
        <v>15910179</v>
      </c>
      <c r="AF40" s="39">
        <f t="shared" si="56"/>
        <v>16013595</v>
      </c>
      <c r="AG40" s="39">
        <f t="shared" si="56"/>
        <v>18715243</v>
      </c>
      <c r="AH40" s="39">
        <f t="shared" si="56"/>
        <v>20274885</v>
      </c>
      <c r="AI40" s="39">
        <f t="shared" si="56"/>
        <v>20596860</v>
      </c>
      <c r="AJ40" s="42"/>
      <c r="AK40" s="32"/>
    </row>
    <row r="41" spans="1:37">
      <c r="J41" s="16" t="str">
        <f t="shared" si="54"/>
        <v>Short-term loans</v>
      </c>
      <c r="K41" s="16" t="str">
        <f t="shared" si="54"/>
        <v>O</v>
      </c>
      <c r="L41" s="16">
        <f t="shared" si="54"/>
        <v>1465144</v>
      </c>
      <c r="S41" s="16" t="str">
        <f t="shared" ref="S41" si="57">J37</f>
        <v>Other long term liabilities</v>
      </c>
      <c r="T41" s="16" t="str">
        <f t="shared" si="51"/>
        <v>F</v>
      </c>
      <c r="U41" s="16">
        <f t="shared" ref="U41:Z41" si="58">C32</f>
        <v>126674</v>
      </c>
      <c r="V41" s="16">
        <f t="shared" si="58"/>
        <v>121958</v>
      </c>
      <c r="W41" s="16">
        <f t="shared" si="58"/>
        <v>96202</v>
      </c>
      <c r="X41" s="16">
        <f t="shared" si="58"/>
        <v>62843</v>
      </c>
      <c r="Y41" s="16">
        <f t="shared" si="58"/>
        <v>30854</v>
      </c>
      <c r="Z41" s="16">
        <f t="shared" si="58"/>
        <v>34176</v>
      </c>
      <c r="AA41" s="32"/>
      <c r="AH41" s="38"/>
      <c r="AI41" s="32"/>
      <c r="AJ41" s="42"/>
      <c r="AK41" s="32"/>
    </row>
    <row r="42" spans="1:37">
      <c r="J42" s="16" t="str">
        <f t="shared" si="54"/>
        <v>Public duties payable</v>
      </c>
      <c r="K42" s="16" t="str">
        <f t="shared" si="54"/>
        <v>O</v>
      </c>
      <c r="L42" s="16">
        <f t="shared" si="54"/>
        <v>123457</v>
      </c>
      <c r="M42" s="16">
        <f>D30</f>
        <v>2802271</v>
      </c>
      <c r="N42" s="16">
        <f>E30</f>
        <v>2313950</v>
      </c>
      <c r="O42" s="16">
        <f>F30</f>
        <v>2443957</v>
      </c>
      <c r="P42" s="16">
        <f>G30</f>
        <v>2474530</v>
      </c>
      <c r="Q42" s="16">
        <f>H30</f>
        <v>2320370</v>
      </c>
      <c r="S42" s="36" t="s">
        <v>90</v>
      </c>
      <c r="T42" s="36"/>
      <c r="U42" s="10">
        <f>SUM(U39:U41)</f>
        <v>2507562</v>
      </c>
      <c r="V42" s="10">
        <f t="shared" ref="V42:Z42" si="59">SUM(V39:V41)</f>
        <v>4668453</v>
      </c>
      <c r="W42" s="10">
        <f t="shared" si="59"/>
        <v>5045569</v>
      </c>
      <c r="X42" s="10">
        <f t="shared" si="59"/>
        <v>4617107</v>
      </c>
      <c r="Y42" s="10">
        <f t="shared" si="59"/>
        <v>5542631</v>
      </c>
      <c r="Z42" s="10">
        <f t="shared" si="59"/>
        <v>5930500</v>
      </c>
      <c r="AA42" s="52"/>
      <c r="AH42" s="32"/>
      <c r="AI42" s="32"/>
      <c r="AJ42" s="32"/>
      <c r="AK42" s="32"/>
    </row>
    <row r="43" spans="1:37">
      <c r="J43" s="16" t="str">
        <f t="shared" si="54"/>
        <v>Tax payable</v>
      </c>
      <c r="K43" s="16" t="str">
        <f t="shared" si="54"/>
        <v>O</v>
      </c>
      <c r="L43" s="16">
        <f t="shared" si="54"/>
        <v>200151</v>
      </c>
      <c r="M43" s="16">
        <f>D39</f>
        <v>929880</v>
      </c>
      <c r="N43" s="16">
        <f>E39</f>
        <v>622498</v>
      </c>
      <c r="O43" s="16">
        <f>F39</f>
        <v>754803</v>
      </c>
      <c r="P43" s="16">
        <f>G39</f>
        <v>724941</v>
      </c>
      <c r="Q43" s="16">
        <f>H39</f>
        <v>830540</v>
      </c>
      <c r="AA43" s="32"/>
      <c r="AH43" s="32"/>
      <c r="AI43" s="42"/>
      <c r="AJ43" s="32"/>
      <c r="AK43" s="32"/>
    </row>
    <row r="44" spans="1:37" ht="17.100000000000001" thickBot="1">
      <c r="J44" s="16" t="str">
        <f t="shared" si="54"/>
        <v>Other short-term liabilities</v>
      </c>
      <c r="K44" s="16" t="str">
        <f t="shared" si="54"/>
        <v>O</v>
      </c>
      <c r="L44" s="16">
        <f t="shared" si="54"/>
        <v>439383</v>
      </c>
      <c r="M44" s="16">
        <f>D36</f>
        <v>1094089</v>
      </c>
      <c r="N44" s="16">
        <f>E36</f>
        <v>830009</v>
      </c>
      <c r="O44" s="16">
        <f>F36</f>
        <v>1031868</v>
      </c>
      <c r="P44" s="16">
        <f>G36</f>
        <v>1401807</v>
      </c>
      <c r="Q44" s="16">
        <f>H36</f>
        <v>1652258</v>
      </c>
      <c r="S44" s="119" t="s">
        <v>91</v>
      </c>
      <c r="T44" s="119"/>
      <c r="U44" s="39">
        <f>U37+U42</f>
        <v>11271614</v>
      </c>
      <c r="V44" s="39">
        <f t="shared" ref="V44:Z44" si="60">V37+V42</f>
        <v>18143879</v>
      </c>
      <c r="W44" s="39">
        <f t="shared" si="60"/>
        <v>19527691</v>
      </c>
      <c r="X44" s="39">
        <f t="shared" si="60"/>
        <v>21751397</v>
      </c>
      <c r="Y44" s="39">
        <f t="shared" si="60"/>
        <v>23305937</v>
      </c>
      <c r="Z44" s="39">
        <f t="shared" si="60"/>
        <v>23563269</v>
      </c>
      <c r="AA44" s="52"/>
      <c r="AB44" s="77"/>
      <c r="AC44" s="77"/>
      <c r="AD44" s="34">
        <v>2015</v>
      </c>
      <c r="AE44" s="34">
        <v>2016</v>
      </c>
      <c r="AF44" s="34">
        <v>2017</v>
      </c>
      <c r="AG44" s="34">
        <v>2018</v>
      </c>
      <c r="AH44" s="34">
        <v>2019</v>
      </c>
      <c r="AI44" s="34">
        <v>2020</v>
      </c>
      <c r="AJ44" s="42"/>
      <c r="AK44" s="32"/>
    </row>
    <row r="45" spans="1:37">
      <c r="J45" s="114" t="s">
        <v>92</v>
      </c>
      <c r="K45" s="114"/>
      <c r="L45" s="122">
        <f>SUM(L40:L44)</f>
        <v>3144116</v>
      </c>
      <c r="M45" s="122">
        <f>SUM(M42:M44)</f>
        <v>4826240</v>
      </c>
      <c r="N45" s="122">
        <f t="shared" ref="N45:Q45" si="61">SUM(N42:N44)</f>
        <v>3766457</v>
      </c>
      <c r="O45" s="122">
        <f t="shared" si="61"/>
        <v>4230628</v>
      </c>
      <c r="P45" s="122">
        <f t="shared" si="61"/>
        <v>4601278</v>
      </c>
      <c r="Q45" s="122">
        <f t="shared" si="61"/>
        <v>4803168</v>
      </c>
      <c r="AB45" s="16" t="s">
        <v>45</v>
      </c>
      <c r="AD45" s="16">
        <f>AD11</f>
        <v>6418603</v>
      </c>
      <c r="AE45" s="16">
        <f t="shared" ref="AE45:AI45" si="62">AE11</f>
        <v>10271917</v>
      </c>
      <c r="AF45" s="16">
        <f t="shared" si="62"/>
        <v>11971757</v>
      </c>
      <c r="AG45" s="16">
        <f t="shared" si="62"/>
        <v>13433957</v>
      </c>
      <c r="AH45" s="16">
        <f t="shared" si="62"/>
        <v>15322294</v>
      </c>
      <c r="AI45" s="16">
        <f t="shared" si="62"/>
        <v>16381804</v>
      </c>
      <c r="AJ45" s="42"/>
      <c r="AK45" s="32"/>
    </row>
    <row r="46" spans="1:37">
      <c r="AB46" s="16" t="s">
        <v>47</v>
      </c>
      <c r="AD46" s="16">
        <f>AD22</f>
        <v>3605397</v>
      </c>
      <c r="AE46" s="16">
        <f t="shared" ref="AE46:AI46" si="63">AE22</f>
        <v>5638263</v>
      </c>
      <c r="AF46" s="16">
        <f t="shared" si="63"/>
        <v>4041838</v>
      </c>
      <c r="AG46" s="16">
        <f t="shared" si="63"/>
        <v>5281286</v>
      </c>
      <c r="AH46" s="16">
        <f t="shared" si="63"/>
        <v>4952590</v>
      </c>
      <c r="AI46" s="16">
        <f t="shared" si="63"/>
        <v>4215056</v>
      </c>
      <c r="AJ46" s="42"/>
      <c r="AK46" s="32"/>
    </row>
    <row r="47" spans="1:37" ht="17.100000000000001" thickBot="1">
      <c r="J47" s="115" t="s">
        <v>93</v>
      </c>
      <c r="K47" s="115"/>
      <c r="L47" s="124">
        <f>L30+L33+L38+L45</f>
        <v>15983703</v>
      </c>
      <c r="M47" s="124">
        <f>M30+M35+M40+M45</f>
        <v>20410133</v>
      </c>
      <c r="N47" s="124">
        <f>N30+N35+N40+N45</f>
        <v>20612543</v>
      </c>
      <c r="O47" s="124">
        <f>O30+O35+O40+O45</f>
        <v>23755625</v>
      </c>
      <c r="P47" s="124">
        <f>P30+P35+P40+P45</f>
        <v>24646801</v>
      </c>
      <c r="Q47" s="124">
        <f>Q30+Q35+Q40+Q45</f>
        <v>24232599</v>
      </c>
      <c r="AB47" s="36" t="s">
        <v>94</v>
      </c>
      <c r="AC47" s="36"/>
      <c r="AD47" s="10">
        <f>AD45+AD46</f>
        <v>10024000</v>
      </c>
      <c r="AE47" s="10">
        <f t="shared" ref="AE47:AI47" si="64">AE45+AE46</f>
        <v>15910180</v>
      </c>
      <c r="AF47" s="10">
        <f t="shared" si="64"/>
        <v>16013595</v>
      </c>
      <c r="AG47" s="10">
        <f t="shared" si="64"/>
        <v>18715243</v>
      </c>
      <c r="AH47" s="10">
        <f t="shared" si="64"/>
        <v>20274884</v>
      </c>
      <c r="AI47" s="10">
        <f t="shared" si="64"/>
        <v>20596860</v>
      </c>
      <c r="AJ47" s="42"/>
      <c r="AK47" s="32"/>
    </row>
    <row r="48" spans="1:37">
      <c r="AB48" s="16" t="s">
        <v>54</v>
      </c>
      <c r="AD48" s="16">
        <f>AD32</f>
        <v>8764052</v>
      </c>
      <c r="AE48" s="16">
        <f t="shared" ref="AE48:AI48" si="65">AE32</f>
        <v>13475426</v>
      </c>
      <c r="AF48" s="16">
        <f t="shared" si="65"/>
        <v>14482122</v>
      </c>
      <c r="AG48" s="16">
        <f t="shared" si="65"/>
        <v>17134290</v>
      </c>
      <c r="AH48" s="16">
        <f t="shared" si="65"/>
        <v>17763306</v>
      </c>
      <c r="AI48" s="16">
        <f t="shared" si="65"/>
        <v>17632769</v>
      </c>
      <c r="AJ48" s="42"/>
      <c r="AK48" s="32"/>
    </row>
    <row r="49" spans="28:37">
      <c r="AB49" s="16" t="s">
        <v>56</v>
      </c>
      <c r="AD49" s="16">
        <f>AD38</f>
        <v>1259948</v>
      </c>
      <c r="AE49" s="16">
        <f t="shared" ref="AE49:AI49" si="66">AE38</f>
        <v>2434753</v>
      </c>
      <c r="AF49" s="16">
        <f t="shared" si="66"/>
        <v>1531473</v>
      </c>
      <c r="AG49" s="16">
        <f t="shared" si="66"/>
        <v>1580953</v>
      </c>
      <c r="AH49" s="16">
        <f t="shared" si="66"/>
        <v>2511579</v>
      </c>
      <c r="AI49" s="16">
        <f t="shared" si="66"/>
        <v>2964091</v>
      </c>
      <c r="AJ49" s="32"/>
      <c r="AK49" s="32"/>
    </row>
    <row r="50" spans="28:37">
      <c r="AB50" s="36" t="s">
        <v>95</v>
      </c>
      <c r="AC50" s="36"/>
      <c r="AD50" s="10">
        <f>AD48+AD49</f>
        <v>10024000</v>
      </c>
      <c r="AE50" s="10">
        <f t="shared" ref="AE50:AI50" si="67">AE48+AE49</f>
        <v>15910179</v>
      </c>
      <c r="AF50" s="10">
        <f t="shared" si="67"/>
        <v>16013595</v>
      </c>
      <c r="AG50" s="10">
        <f t="shared" si="67"/>
        <v>18715243</v>
      </c>
      <c r="AH50" s="10">
        <f t="shared" si="67"/>
        <v>20274885</v>
      </c>
      <c r="AI50" s="10">
        <f t="shared" si="67"/>
        <v>20596860</v>
      </c>
      <c r="AJ50" s="32"/>
      <c r="AK50" s="32"/>
    </row>
    <row r="51" spans="28:37">
      <c r="AB51" s="35" t="s">
        <v>96</v>
      </c>
      <c r="AC51" s="35"/>
      <c r="AD51" s="14"/>
      <c r="AE51" s="14">
        <f>AE50/(AE50+AD50)</f>
        <v>0.61348304104787743</v>
      </c>
      <c r="AF51" s="14">
        <f t="shared" ref="AF51:AI51" si="68">AF50/(AF50+AE50)</f>
        <v>0.5016197333059681</v>
      </c>
      <c r="AG51" s="14">
        <f t="shared" si="68"/>
        <v>0.53889632011298505</v>
      </c>
      <c r="AH51" s="14">
        <f t="shared" si="68"/>
        <v>0.52000047294022733</v>
      </c>
      <c r="AI51" s="14">
        <f t="shared" si="68"/>
        <v>0.50393884577230552</v>
      </c>
      <c r="AJ51" s="32"/>
      <c r="AK51" s="32"/>
    </row>
    <row r="52" spans="28:37">
      <c r="AJ52" s="32"/>
      <c r="AK52" s="32"/>
    </row>
  </sheetData>
  <mergeCells count="1">
    <mergeCell ref="AL1:AO1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BE8AD-E1E5-C24C-A21F-8C5D4800C4BE}">
  <dimension ref="A1:M19081"/>
  <sheetViews>
    <sheetView topLeftCell="A16" zoomScale="120" zoomScaleNormal="120" workbookViewId="0">
      <selection activeCell="G16" sqref="G16"/>
    </sheetView>
  </sheetViews>
  <sheetFormatPr defaultColWidth="10.875" defaultRowHeight="15.95"/>
  <cols>
    <col min="1" max="1" width="64.5" style="16" bestFit="1" customWidth="1"/>
    <col min="2" max="2" width="10.875" style="16"/>
    <col min="3" max="4" width="10.875" style="16" customWidth="1"/>
    <col min="5" max="7" width="10.875" style="16"/>
    <col min="8" max="8" width="15.375" style="16" bestFit="1" customWidth="1"/>
    <col min="9" max="16384" width="10.875" style="16"/>
  </cols>
  <sheetData>
    <row r="1" spans="1:13" s="78" customFormat="1">
      <c r="A1" s="35" t="s">
        <v>97</v>
      </c>
      <c r="B1" s="13">
        <v>2015</v>
      </c>
      <c r="C1" s="13">
        <v>2016</v>
      </c>
      <c r="D1" s="13">
        <v>2017</v>
      </c>
      <c r="E1" s="13">
        <v>2018</v>
      </c>
      <c r="F1" s="13">
        <v>2019</v>
      </c>
      <c r="G1" s="13">
        <v>2020</v>
      </c>
      <c r="H1" s="13"/>
      <c r="I1" s="136"/>
      <c r="J1" s="136"/>
      <c r="K1" s="136"/>
      <c r="L1" s="136"/>
      <c r="M1" s="136"/>
    </row>
    <row r="2" spans="1:13">
      <c r="A2" s="35" t="s">
        <v>98</v>
      </c>
      <c r="B2" s="32"/>
      <c r="C2" s="32"/>
      <c r="D2" s="32"/>
      <c r="E2" s="32"/>
      <c r="G2" s="32"/>
      <c r="H2" s="38"/>
      <c r="I2" s="32"/>
      <c r="J2" s="32"/>
      <c r="K2" s="32"/>
      <c r="L2" s="32"/>
      <c r="M2" s="32"/>
    </row>
    <row r="3" spans="1:13">
      <c r="A3" s="16" t="s">
        <v>27</v>
      </c>
      <c r="B3" s="32">
        <v>1501110</v>
      </c>
      <c r="C3" s="32">
        <v>4445321</v>
      </c>
      <c r="D3" s="32">
        <v>2093467</v>
      </c>
      <c r="E3" s="32">
        <v>4448961</v>
      </c>
      <c r="F3" s="32">
        <v>2365482</v>
      </c>
      <c r="G3" s="32">
        <v>986883</v>
      </c>
      <c r="H3" s="38"/>
      <c r="I3" s="32"/>
      <c r="J3" s="32"/>
      <c r="K3" s="32"/>
      <c r="L3" s="32"/>
      <c r="M3" s="32"/>
    </row>
    <row r="4" spans="1:13">
      <c r="A4" s="16" t="s">
        <v>99</v>
      </c>
      <c r="B4" s="32">
        <v>-376423</v>
      </c>
      <c r="C4" s="32">
        <v>-224573</v>
      </c>
      <c r="D4" s="32">
        <v>-493896</v>
      </c>
      <c r="E4" s="32">
        <v>-851020</v>
      </c>
      <c r="F4" s="32">
        <v>-690520</v>
      </c>
      <c r="G4" s="32">
        <v>-452693</v>
      </c>
      <c r="H4" s="38"/>
      <c r="I4" s="32"/>
      <c r="J4" s="32"/>
      <c r="K4" s="32"/>
      <c r="L4" s="32"/>
      <c r="M4" s="32"/>
    </row>
    <row r="5" spans="1:13">
      <c r="A5" s="16" t="s">
        <v>2</v>
      </c>
      <c r="B5" s="32">
        <v>-34206</v>
      </c>
      <c r="C5" s="32">
        <v>0</v>
      </c>
      <c r="D5" s="32">
        <v>-4100</v>
      </c>
      <c r="E5" s="32">
        <v>-42341</v>
      </c>
      <c r="F5" s="32">
        <v>-27245</v>
      </c>
      <c r="G5" s="32">
        <v>-6570</v>
      </c>
      <c r="H5" s="38"/>
      <c r="I5" s="32"/>
      <c r="J5" s="32"/>
      <c r="K5" s="32"/>
      <c r="L5" s="32"/>
      <c r="M5" s="32"/>
    </row>
    <row r="6" spans="1:13">
      <c r="A6" s="16" t="s">
        <v>100</v>
      </c>
      <c r="B6" s="32">
        <v>433916</v>
      </c>
      <c r="C6" s="32">
        <v>511621</v>
      </c>
      <c r="D6" s="32">
        <v>583265</v>
      </c>
      <c r="E6" s="32">
        <v>659670</v>
      </c>
      <c r="F6" s="32">
        <v>1012041</v>
      </c>
      <c r="G6" s="32">
        <v>1551</v>
      </c>
      <c r="H6" s="38"/>
      <c r="I6" s="32"/>
      <c r="J6" s="32"/>
      <c r="K6" s="32"/>
      <c r="L6" s="32"/>
      <c r="M6" s="32"/>
    </row>
    <row r="7" spans="1:13">
      <c r="A7" s="16" t="s">
        <v>101</v>
      </c>
      <c r="B7" s="32">
        <v>-61376</v>
      </c>
      <c r="C7" s="32">
        <v>-262783</v>
      </c>
      <c r="D7" s="32">
        <v>-302651</v>
      </c>
      <c r="E7" s="32">
        <v>-286573</v>
      </c>
      <c r="F7" s="32">
        <v>-179749</v>
      </c>
      <c r="G7" s="32">
        <v>-105358</v>
      </c>
      <c r="H7" s="38"/>
      <c r="I7" s="32"/>
      <c r="J7" s="32"/>
      <c r="K7" s="32"/>
      <c r="L7" s="32"/>
      <c r="M7" s="32"/>
    </row>
    <row r="8" spans="1:13">
      <c r="A8" s="16" t="s">
        <v>102</v>
      </c>
      <c r="B8" s="32">
        <v>-186524</v>
      </c>
      <c r="C8" s="32">
        <v>-1470561</v>
      </c>
      <c r="D8" s="32">
        <v>1716309</v>
      </c>
      <c r="E8" s="32">
        <v>-754937</v>
      </c>
      <c r="F8" s="32">
        <v>332946</v>
      </c>
      <c r="G8" s="32">
        <v>826751</v>
      </c>
      <c r="H8" s="32"/>
      <c r="I8" s="32"/>
      <c r="J8" s="32"/>
      <c r="K8" s="32"/>
      <c r="L8" s="32"/>
      <c r="M8" s="32"/>
    </row>
    <row r="9" spans="1:13">
      <c r="A9" s="16" t="s">
        <v>103</v>
      </c>
      <c r="B9" s="32">
        <v>-465960</v>
      </c>
      <c r="C9" s="32">
        <v>-283775</v>
      </c>
      <c r="D9" s="32">
        <v>-262661</v>
      </c>
      <c r="E9" s="32">
        <v>-606948</v>
      </c>
      <c r="F9" s="32">
        <v>-101136</v>
      </c>
      <c r="G9" s="32">
        <v>-255243</v>
      </c>
      <c r="H9" s="32"/>
      <c r="I9" s="32"/>
      <c r="J9" s="32"/>
      <c r="K9" s="32"/>
      <c r="L9" s="32"/>
      <c r="M9" s="32"/>
    </row>
    <row r="10" spans="1:13">
      <c r="A10" s="16" t="s">
        <v>104</v>
      </c>
      <c r="B10" s="32">
        <v>-114825</v>
      </c>
      <c r="C10" s="32">
        <v>-390159</v>
      </c>
      <c r="D10" s="32">
        <v>237117</v>
      </c>
      <c r="E10" s="16">
        <v>-142135</v>
      </c>
      <c r="F10" s="32">
        <v>-91933</v>
      </c>
      <c r="G10" s="16">
        <v>376843</v>
      </c>
      <c r="H10" s="32"/>
      <c r="I10" s="32"/>
      <c r="J10" s="32"/>
      <c r="K10" s="32"/>
      <c r="L10" s="32"/>
      <c r="M10" s="32"/>
    </row>
    <row r="11" spans="1:13">
      <c r="A11" s="16" t="s">
        <v>105</v>
      </c>
      <c r="B11" s="32">
        <v>-150131</v>
      </c>
      <c r="C11" s="32">
        <v>346337</v>
      </c>
      <c r="D11" s="32">
        <v>-56569</v>
      </c>
      <c r="E11" s="135">
        <v>142958</v>
      </c>
      <c r="F11" s="32">
        <v>67952</v>
      </c>
      <c r="G11" s="32">
        <v>-359600</v>
      </c>
      <c r="H11" s="32"/>
      <c r="I11" s="32"/>
      <c r="J11" s="32"/>
      <c r="K11" s="32"/>
      <c r="L11" s="32"/>
      <c r="M11" s="32"/>
    </row>
    <row r="12" spans="1:13">
      <c r="A12" s="16" t="s">
        <v>106</v>
      </c>
      <c r="B12" s="32">
        <v>-3113</v>
      </c>
      <c r="C12" s="32">
        <v>1454</v>
      </c>
      <c r="D12" s="32">
        <v>2105</v>
      </c>
      <c r="E12" s="32">
        <v>-452</v>
      </c>
      <c r="F12" s="32">
        <v>-877</v>
      </c>
      <c r="G12" s="32">
        <v>-20</v>
      </c>
      <c r="H12" s="32"/>
      <c r="I12" s="32"/>
      <c r="J12" s="32"/>
      <c r="K12" s="32"/>
      <c r="L12" s="32"/>
      <c r="M12" s="32"/>
    </row>
    <row r="13" spans="1:13">
      <c r="A13" s="16" t="s">
        <v>107</v>
      </c>
      <c r="B13" s="32">
        <v>128728</v>
      </c>
      <c r="C13" s="32">
        <v>131490</v>
      </c>
      <c r="D13" s="32">
        <v>209623</v>
      </c>
      <c r="E13" s="32">
        <v>161087</v>
      </c>
      <c r="F13" s="32">
        <v>214799</v>
      </c>
      <c r="G13" s="32">
        <v>241378</v>
      </c>
      <c r="H13" s="32"/>
      <c r="I13" s="32"/>
      <c r="J13" s="32"/>
      <c r="K13" s="32"/>
      <c r="L13" s="32"/>
      <c r="M13" s="32"/>
    </row>
    <row r="14" spans="1:13">
      <c r="A14" s="16" t="s">
        <v>108</v>
      </c>
      <c r="B14" s="32">
        <v>95357</v>
      </c>
      <c r="C14" s="32">
        <v>-37280</v>
      </c>
      <c r="D14" s="16">
        <v>-33741</v>
      </c>
      <c r="E14" s="32">
        <v>54298</v>
      </c>
      <c r="F14" s="32">
        <v>-43080</v>
      </c>
      <c r="G14" s="32">
        <v>-44661</v>
      </c>
      <c r="H14" s="32"/>
      <c r="I14" s="32"/>
      <c r="J14" s="32"/>
      <c r="K14" s="32"/>
      <c r="L14" s="32"/>
      <c r="M14" s="32"/>
    </row>
    <row r="15" spans="1:13">
      <c r="A15" s="133" t="s">
        <v>109</v>
      </c>
      <c r="B15" s="137">
        <f>SUM(B3:B14)</f>
        <v>766553</v>
      </c>
      <c r="C15" s="137">
        <f t="shared" ref="C15:F15" si="0">SUM(C3:C14)</f>
        <v>2767092</v>
      </c>
      <c r="D15" s="137">
        <f>SUM(D3:D14)</f>
        <v>3688268</v>
      </c>
      <c r="E15" s="137">
        <f>SUM(E3:E14)</f>
        <v>2782568</v>
      </c>
      <c r="F15" s="137">
        <f t="shared" si="0"/>
        <v>2858680</v>
      </c>
      <c r="G15" s="137">
        <v>2366851</v>
      </c>
      <c r="H15" s="32"/>
      <c r="I15" s="32"/>
      <c r="J15" s="32"/>
      <c r="K15" s="32"/>
      <c r="L15" s="32"/>
      <c r="M15" s="32"/>
    </row>
    <row r="16" spans="1:13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>
      <c r="A17" s="35" t="s">
        <v>110</v>
      </c>
      <c r="B17" s="32"/>
      <c r="C17" s="32"/>
      <c r="D17" s="32"/>
      <c r="E17" s="32"/>
      <c r="G17" s="32"/>
      <c r="H17" s="32"/>
      <c r="I17" s="32"/>
      <c r="J17" s="32"/>
      <c r="K17" s="32"/>
      <c r="L17" s="32"/>
      <c r="M17" s="32"/>
    </row>
    <row r="18" spans="1:13">
      <c r="A18" s="16" t="s">
        <v>111</v>
      </c>
      <c r="B18" s="32">
        <v>85336</v>
      </c>
      <c r="C18" s="32">
        <v>27746</v>
      </c>
      <c r="D18" s="32">
        <v>98971</v>
      </c>
      <c r="E18" s="32">
        <v>136126</v>
      </c>
      <c r="F18" s="32">
        <v>250305</v>
      </c>
      <c r="G18" s="32">
        <v>10892</v>
      </c>
      <c r="H18" s="32"/>
      <c r="I18" s="32"/>
      <c r="J18" s="32"/>
      <c r="K18" s="32"/>
      <c r="L18" s="32"/>
      <c r="M18" s="32"/>
    </row>
    <row r="19" spans="1:13">
      <c r="A19" s="16" t="s">
        <v>112</v>
      </c>
      <c r="B19" s="32">
        <v>-651548</v>
      </c>
      <c r="C19" s="32">
        <v>-769841</v>
      </c>
      <c r="D19" s="32">
        <v>-1562888</v>
      </c>
      <c r="E19" s="32">
        <v>-1793193</v>
      </c>
      <c r="F19" s="32">
        <v>-1430998</v>
      </c>
      <c r="G19" s="32">
        <v>-1194622</v>
      </c>
      <c r="H19" s="32"/>
      <c r="I19" s="32"/>
      <c r="J19" s="32"/>
      <c r="K19" s="32"/>
      <c r="L19" s="32"/>
      <c r="M19" s="32"/>
    </row>
    <row r="20" spans="1:13">
      <c r="A20" s="16" t="s">
        <v>113</v>
      </c>
      <c r="E20" s="32"/>
      <c r="F20" s="32">
        <v>13495</v>
      </c>
      <c r="G20" s="32">
        <v>1260</v>
      </c>
      <c r="H20" s="32"/>
      <c r="I20" s="32"/>
      <c r="J20" s="32"/>
      <c r="K20" s="32"/>
      <c r="L20" s="32"/>
      <c r="M20" s="32"/>
    </row>
    <row r="21" spans="1:13">
      <c r="A21" s="16" t="s">
        <v>114</v>
      </c>
      <c r="B21" s="32">
        <v>-10053</v>
      </c>
      <c r="C21" s="32">
        <v>-534</v>
      </c>
      <c r="D21" s="32">
        <v>-20323</v>
      </c>
      <c r="E21" s="32">
        <v>-91632</v>
      </c>
      <c r="F21" s="32">
        <v>-15799</v>
      </c>
      <c r="G21" s="32">
        <v>-182787</v>
      </c>
      <c r="H21" s="32"/>
      <c r="I21" s="32"/>
      <c r="J21" s="32"/>
      <c r="K21" s="32"/>
      <c r="L21" s="32"/>
      <c r="M21" s="32"/>
    </row>
    <row r="22" spans="1:13">
      <c r="A22" s="16" t="s">
        <v>115</v>
      </c>
      <c r="B22" s="32">
        <v>899</v>
      </c>
      <c r="C22" s="32">
        <v>22081</v>
      </c>
      <c r="D22" s="32">
        <v>18143</v>
      </c>
      <c r="E22" s="32">
        <v>0</v>
      </c>
      <c r="F22" s="32">
        <v>2763</v>
      </c>
      <c r="G22" s="32">
        <v>0</v>
      </c>
      <c r="H22" s="32"/>
      <c r="I22" s="32"/>
      <c r="J22" s="32"/>
      <c r="K22" s="32"/>
      <c r="L22" s="32"/>
      <c r="M22" s="32"/>
    </row>
    <row r="23" spans="1:13">
      <c r="A23" s="16" t="s">
        <v>116</v>
      </c>
      <c r="B23" s="32">
        <v>-61690</v>
      </c>
      <c r="C23" s="32">
        <v>-15000</v>
      </c>
      <c r="D23" s="32">
        <v>-77172</v>
      </c>
      <c r="E23" s="32">
        <v>-8814</v>
      </c>
      <c r="F23" s="32">
        <v>-439</v>
      </c>
      <c r="G23" s="32">
        <v>-27086</v>
      </c>
      <c r="H23" s="32"/>
      <c r="I23" s="32"/>
      <c r="J23" s="32"/>
      <c r="K23" s="32"/>
      <c r="L23" s="32"/>
      <c r="M23" s="32"/>
    </row>
    <row r="24" spans="1:13">
      <c r="A24" s="16" t="s">
        <v>117</v>
      </c>
      <c r="B24" s="32">
        <v>49000</v>
      </c>
      <c r="C24" s="32">
        <v>103800</v>
      </c>
      <c r="D24" s="32">
        <v>164015</v>
      </c>
      <c r="E24" s="32">
        <v>245200</v>
      </c>
      <c r="F24" s="32">
        <v>266452</v>
      </c>
      <c r="G24" s="32">
        <v>28752</v>
      </c>
      <c r="H24" s="32"/>
      <c r="I24" s="32"/>
      <c r="J24" s="32"/>
      <c r="K24" s="32"/>
      <c r="L24" s="32"/>
      <c r="M24" s="32"/>
    </row>
    <row r="25" spans="1:13">
      <c r="A25" s="16" t="s">
        <v>118</v>
      </c>
      <c r="B25" s="32"/>
      <c r="E25" s="32">
        <v>52</v>
      </c>
      <c r="F25" s="32">
        <v>0</v>
      </c>
      <c r="G25" s="32">
        <v>-1516</v>
      </c>
      <c r="H25" s="32"/>
      <c r="I25" s="32"/>
      <c r="J25" s="32"/>
      <c r="K25" s="32"/>
      <c r="L25" s="32"/>
      <c r="M25" s="32"/>
    </row>
    <row r="26" spans="1:13">
      <c r="A26" s="16" t="s">
        <v>119</v>
      </c>
      <c r="B26" s="32">
        <v>-87950</v>
      </c>
      <c r="C26" s="32">
        <v>-3376208</v>
      </c>
      <c r="D26" s="32">
        <v>-5009</v>
      </c>
      <c r="E26" s="32">
        <v>-135708</v>
      </c>
      <c r="F26" s="32">
        <v>0</v>
      </c>
      <c r="G26" s="32">
        <v>0</v>
      </c>
      <c r="H26" s="32"/>
      <c r="I26" s="32"/>
      <c r="J26" s="32"/>
      <c r="K26" s="32"/>
      <c r="L26" s="32"/>
      <c r="M26" s="32"/>
    </row>
    <row r="27" spans="1:13">
      <c r="A27" s="16" t="s">
        <v>120</v>
      </c>
      <c r="B27" s="32">
        <v>8254</v>
      </c>
      <c r="C27" s="32">
        <v>288311</v>
      </c>
      <c r="D27" s="32">
        <v>1194</v>
      </c>
      <c r="E27" s="32">
        <v>19875</v>
      </c>
      <c r="F27" s="32">
        <v>0</v>
      </c>
      <c r="G27" s="32">
        <v>0</v>
      </c>
      <c r="H27" s="32"/>
      <c r="I27" s="32"/>
      <c r="J27" s="32"/>
      <c r="K27" s="32"/>
      <c r="L27" s="32"/>
      <c r="M27" s="32"/>
    </row>
    <row r="28" spans="1:13">
      <c r="A28" s="16" t="s">
        <v>121</v>
      </c>
      <c r="B28" s="32">
        <v>12169</v>
      </c>
      <c r="C28" s="32">
        <v>18539</v>
      </c>
      <c r="D28" s="16">
        <v>21391</v>
      </c>
      <c r="E28" s="32">
        <v>26229</v>
      </c>
      <c r="F28" s="32">
        <v>37550</v>
      </c>
      <c r="G28" s="32">
        <v>25550</v>
      </c>
      <c r="H28" s="32"/>
      <c r="I28" s="32"/>
      <c r="J28" s="32"/>
      <c r="K28" s="32"/>
      <c r="L28" s="32"/>
      <c r="M28" s="32"/>
    </row>
    <row r="29" spans="1:13">
      <c r="A29" s="16" t="s">
        <v>122</v>
      </c>
      <c r="B29" s="32">
        <v>11021</v>
      </c>
      <c r="C29" s="32">
        <v>-9121</v>
      </c>
      <c r="D29" s="32">
        <v>-46158</v>
      </c>
      <c r="E29" s="32">
        <v>-13481</v>
      </c>
      <c r="F29" s="32">
        <v>642</v>
      </c>
      <c r="G29" s="32">
        <v>-14656</v>
      </c>
      <c r="H29" s="32"/>
      <c r="I29" s="32"/>
      <c r="J29" s="32"/>
      <c r="K29" s="32"/>
      <c r="L29" s="32"/>
      <c r="M29" s="32"/>
    </row>
    <row r="30" spans="1:13">
      <c r="A30" s="133" t="s">
        <v>123</v>
      </c>
      <c r="B30" s="137">
        <f>SUM(B18:B29)</f>
        <v>-644562</v>
      </c>
      <c r="C30" s="137">
        <f>SUM(C18:C29)</f>
        <v>-3710227</v>
      </c>
      <c r="D30" s="137">
        <f>SUM(D18:D29)</f>
        <v>-1407836</v>
      </c>
      <c r="E30" s="137">
        <f t="shared" ref="E30" si="1">SUM(E18:E29)</f>
        <v>-1615346</v>
      </c>
      <c r="F30" s="137">
        <f>SUM(F18:F29)</f>
        <v>-876029</v>
      </c>
      <c r="G30" s="137">
        <f>SUM(G18:G29)</f>
        <v>-1354213</v>
      </c>
      <c r="H30" s="138"/>
      <c r="I30" s="32"/>
      <c r="J30" s="32"/>
      <c r="K30" s="32"/>
      <c r="L30" s="32"/>
      <c r="M30" s="32"/>
    </row>
    <row r="31" spans="1:13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>
      <c r="A32" s="35" t="s">
        <v>124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13">
      <c r="A33" s="16" t="s">
        <v>125</v>
      </c>
      <c r="B33" s="32">
        <v>637756</v>
      </c>
      <c r="C33" s="32">
        <v>-328151</v>
      </c>
      <c r="D33" s="32">
        <v>-393173</v>
      </c>
      <c r="E33" s="32">
        <v>238925</v>
      </c>
      <c r="F33" s="32">
        <v>143958</v>
      </c>
      <c r="G33" s="32">
        <v>229994</v>
      </c>
      <c r="H33" s="32"/>
      <c r="I33" s="32"/>
      <c r="J33" s="32"/>
      <c r="K33" s="32"/>
      <c r="L33" s="32"/>
      <c r="M33" s="32"/>
    </row>
    <row r="34" spans="1:13">
      <c r="A34" s="16" t="s">
        <v>126</v>
      </c>
      <c r="B34" s="32">
        <v>356098</v>
      </c>
      <c r="C34" s="32">
        <v>1634884</v>
      </c>
      <c r="D34" s="32">
        <v>1031927</v>
      </c>
      <c r="E34" s="32">
        <v>764227</v>
      </c>
      <c r="F34" s="32">
        <v>120674</v>
      </c>
      <c r="G34" s="32">
        <v>1657920</v>
      </c>
      <c r="H34" s="32"/>
      <c r="I34" s="32"/>
      <c r="J34" s="32"/>
      <c r="K34" s="32"/>
      <c r="L34" s="32"/>
      <c r="M34" s="32"/>
    </row>
    <row r="35" spans="1:13">
      <c r="A35" s="16" t="s">
        <v>127</v>
      </c>
      <c r="B35" s="32">
        <v>-408261</v>
      </c>
      <c r="C35" s="32">
        <v>-727300</v>
      </c>
      <c r="D35" s="32">
        <v>-594885</v>
      </c>
      <c r="E35" s="32">
        <v>-1515036</v>
      </c>
      <c r="F35" s="32">
        <v>-725812</v>
      </c>
      <c r="G35" s="32">
        <v>-1786414</v>
      </c>
      <c r="H35" s="32"/>
      <c r="I35" s="32"/>
      <c r="J35" s="32"/>
      <c r="K35" s="32"/>
      <c r="L35" s="32"/>
      <c r="M35" s="32"/>
    </row>
    <row r="36" spans="1:13">
      <c r="A36" s="16" t="s">
        <v>128</v>
      </c>
      <c r="B36" s="16">
        <v>-139925</v>
      </c>
      <c r="C36" s="32">
        <v>-159675</v>
      </c>
      <c r="D36" s="32">
        <v>-209755</v>
      </c>
      <c r="E36" s="32">
        <v>-185969</v>
      </c>
      <c r="F36" s="32">
        <v>-254328</v>
      </c>
      <c r="G36" s="32">
        <v>-254450</v>
      </c>
      <c r="H36" s="32"/>
      <c r="I36" s="32"/>
      <c r="J36" s="32"/>
      <c r="K36" s="32"/>
      <c r="L36" s="32"/>
      <c r="M36" s="32"/>
    </row>
    <row r="37" spans="1:13">
      <c r="A37" s="16" t="s">
        <v>129</v>
      </c>
      <c r="B37" s="32">
        <v>973</v>
      </c>
      <c r="C37" s="32">
        <v>2174289</v>
      </c>
      <c r="D37" s="32">
        <v>0</v>
      </c>
      <c r="E37" s="32">
        <v>2207</v>
      </c>
      <c r="F37" s="32">
        <v>0</v>
      </c>
      <c r="G37" s="32">
        <v>0</v>
      </c>
      <c r="H37" s="32"/>
      <c r="I37" s="32"/>
      <c r="J37" s="32"/>
      <c r="K37" s="32"/>
      <c r="L37" s="32"/>
      <c r="M37" s="32"/>
    </row>
    <row r="38" spans="1:13">
      <c r="A38" s="16" t="s">
        <v>130</v>
      </c>
      <c r="B38" s="32">
        <v>-680325</v>
      </c>
      <c r="C38" s="32">
        <v>-664828</v>
      </c>
      <c r="D38" s="32">
        <v>-834151</v>
      </c>
      <c r="E38" s="32">
        <v>-949516</v>
      </c>
      <c r="F38" s="32">
        <v>-1272246</v>
      </c>
      <c r="G38" s="32">
        <v>-924332</v>
      </c>
      <c r="H38" s="32"/>
      <c r="I38" s="32"/>
      <c r="J38" s="32"/>
      <c r="K38" s="32"/>
      <c r="L38" s="32"/>
      <c r="M38" s="32"/>
    </row>
    <row r="39" spans="1:13">
      <c r="A39" s="133" t="s">
        <v>131</v>
      </c>
      <c r="B39" s="137">
        <f>SUM(B33:B38)</f>
        <v>-233684</v>
      </c>
      <c r="C39" s="137">
        <f t="shared" ref="C39:G39" si="2">SUM(C33:C38)</f>
        <v>1929219</v>
      </c>
      <c r="D39" s="137">
        <f t="shared" si="2"/>
        <v>-1000037</v>
      </c>
      <c r="E39" s="137">
        <f t="shared" si="2"/>
        <v>-1645162</v>
      </c>
      <c r="F39" s="137">
        <f t="shared" si="2"/>
        <v>-1987754</v>
      </c>
      <c r="G39" s="137">
        <f t="shared" si="2"/>
        <v>-1077282</v>
      </c>
      <c r="H39" s="32"/>
      <c r="I39" s="32"/>
      <c r="J39" s="32"/>
      <c r="K39" s="32"/>
      <c r="L39" s="32"/>
      <c r="M39" s="32"/>
    </row>
    <row r="40" spans="1:13">
      <c r="B40" s="32"/>
      <c r="H40" s="32"/>
      <c r="I40" s="32"/>
      <c r="J40" s="32"/>
      <c r="K40" s="32"/>
      <c r="L40" s="32"/>
      <c r="M40" s="32"/>
    </row>
    <row r="41" spans="1:13">
      <c r="A41" s="134" t="s">
        <v>132</v>
      </c>
      <c r="B41" s="73">
        <f>B39+B30+B15</f>
        <v>-111693</v>
      </c>
      <c r="C41" s="73">
        <f t="shared" ref="C41:G41" si="3">C39+C30+C15</f>
        <v>986084</v>
      </c>
      <c r="D41" s="73">
        <f t="shared" si="3"/>
        <v>1280395</v>
      </c>
      <c r="E41" s="73">
        <f t="shared" si="3"/>
        <v>-477940</v>
      </c>
      <c r="F41" s="73">
        <f t="shared" si="3"/>
        <v>-5103</v>
      </c>
      <c r="G41" s="73">
        <f t="shared" si="3"/>
        <v>-64644</v>
      </c>
      <c r="H41" s="32"/>
      <c r="I41" s="32"/>
      <c r="J41" s="32"/>
      <c r="K41" s="32"/>
      <c r="L41" s="32"/>
      <c r="M41" s="32"/>
    </row>
    <row r="42" spans="1:13">
      <c r="A42" s="16" t="s">
        <v>133</v>
      </c>
      <c r="B42" s="32">
        <v>1360272</v>
      </c>
      <c r="C42" s="32">
        <f>'Balance sheet'!C17</f>
        <v>1247614</v>
      </c>
      <c r="D42" s="32">
        <f>'Balance sheet'!D17</f>
        <v>2233700</v>
      </c>
      <c r="E42" s="32">
        <f>'Balance sheet'!E17</f>
        <v>3514096</v>
      </c>
      <c r="F42" s="32">
        <f>'Balance sheet'!F17</f>
        <v>3036154</v>
      </c>
      <c r="G42" s="32">
        <f>'Balance sheet'!G17</f>
        <v>3031052</v>
      </c>
      <c r="H42" s="32"/>
      <c r="I42" s="32"/>
      <c r="J42" s="32"/>
      <c r="K42" s="32"/>
      <c r="L42" s="32"/>
      <c r="M42" s="32"/>
    </row>
    <row r="43" spans="1:13">
      <c r="A43" s="133" t="s">
        <v>134</v>
      </c>
      <c r="B43" s="137">
        <f t="shared" ref="B43:F43" si="4">B41+B42</f>
        <v>1248579</v>
      </c>
      <c r="C43" s="137">
        <f t="shared" si="4"/>
        <v>2233698</v>
      </c>
      <c r="D43" s="137">
        <f t="shared" si="4"/>
        <v>3514095</v>
      </c>
      <c r="E43" s="137">
        <f t="shared" si="4"/>
        <v>3036156</v>
      </c>
      <c r="F43" s="137">
        <f t="shared" si="4"/>
        <v>3031051</v>
      </c>
      <c r="G43" s="137">
        <f>G41+G42</f>
        <v>2966408</v>
      </c>
    </row>
    <row r="44" spans="1:13">
      <c r="A44" s="97"/>
    </row>
    <row r="45" spans="1:13">
      <c r="A45" s="139"/>
    </row>
    <row r="19081" ht="30.9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8F1D1-0BCA-5047-9DE0-164653809024}">
  <dimension ref="B2:AS83"/>
  <sheetViews>
    <sheetView topLeftCell="A42" zoomScale="117" zoomScaleNormal="113" workbookViewId="0">
      <selection activeCell="F94" sqref="F94"/>
    </sheetView>
  </sheetViews>
  <sheetFormatPr defaultColWidth="11" defaultRowHeight="15.95"/>
  <cols>
    <col min="2" max="2" width="34.625" bestFit="1" customWidth="1"/>
    <col min="3" max="3" width="14" bestFit="1" customWidth="1"/>
    <col min="4" max="14" width="13.375" customWidth="1"/>
    <col min="15" max="18" width="10.875" customWidth="1"/>
    <col min="20" max="20" width="17.125" customWidth="1"/>
    <col min="24" max="24" width="10.875" style="4"/>
    <col min="25" max="25" width="10.875" customWidth="1"/>
    <col min="26" max="26" width="14.375" customWidth="1"/>
    <col min="27" max="31" width="10.875" customWidth="1"/>
    <col min="32" max="32" width="19.125" customWidth="1"/>
    <col min="33" max="33" width="6.625" bestFit="1" customWidth="1"/>
    <col min="34" max="36" width="6" bestFit="1" customWidth="1"/>
    <col min="37" max="43" width="10.875" customWidth="1"/>
  </cols>
  <sheetData>
    <row r="2" spans="2:45">
      <c r="B2" s="198" t="s">
        <v>135</v>
      </c>
      <c r="C2" s="198"/>
      <c r="D2" s="198"/>
      <c r="E2" s="198"/>
      <c r="F2" s="198"/>
      <c r="G2" s="198"/>
      <c r="H2" s="198"/>
      <c r="L2" s="198" t="s">
        <v>136</v>
      </c>
      <c r="M2" s="198"/>
      <c r="N2" s="198"/>
      <c r="O2" s="198"/>
      <c r="P2" s="198"/>
      <c r="Q2" s="198"/>
    </row>
    <row r="3" spans="2:45">
      <c r="B3" s="4"/>
      <c r="C3" s="4">
        <v>2015</v>
      </c>
      <c r="D3" s="4">
        <v>2016</v>
      </c>
      <c r="E3" s="4">
        <v>2017</v>
      </c>
      <c r="F3" s="4">
        <v>2018</v>
      </c>
      <c r="G3" s="4">
        <v>2019</v>
      </c>
      <c r="H3" s="4">
        <v>2020</v>
      </c>
      <c r="M3">
        <v>2015</v>
      </c>
      <c r="N3">
        <v>2016</v>
      </c>
      <c r="O3">
        <v>2017</v>
      </c>
      <c r="P3">
        <v>2018</v>
      </c>
      <c r="Q3">
        <v>2019</v>
      </c>
      <c r="R3">
        <v>2020</v>
      </c>
    </row>
    <row r="4" spans="2:45">
      <c r="B4" s="46" t="s">
        <v>137</v>
      </c>
      <c r="C4" s="61">
        <f>C22</f>
        <v>0.12971219074221868</v>
      </c>
      <c r="D4" s="61">
        <f t="shared" ref="D4:H4" si="0">D22</f>
        <v>0.21290387663747362</v>
      </c>
      <c r="E4" s="61">
        <f t="shared" si="0"/>
        <v>0.10344060780855267</v>
      </c>
      <c r="F4" s="61">
        <f t="shared" si="0"/>
        <v>0.1855424479393615</v>
      </c>
      <c r="G4" s="61">
        <f t="shared" si="0"/>
        <v>9.3948207052627283E-2</v>
      </c>
      <c r="H4" s="61">
        <f t="shared" si="0"/>
        <v>4.4954910602878304E-2</v>
      </c>
      <c r="L4" t="s">
        <v>137</v>
      </c>
      <c r="M4" s="56">
        <f>C4</f>
        <v>0.12971219074221868</v>
      </c>
      <c r="N4" s="56">
        <f t="shared" ref="N4:R6" si="1">D4</f>
        <v>0.21290387663747362</v>
      </c>
      <c r="O4" s="56">
        <f t="shared" si="1"/>
        <v>0.10344060780855267</v>
      </c>
      <c r="P4" s="56">
        <f t="shared" si="1"/>
        <v>0.1855424479393615</v>
      </c>
      <c r="Q4" s="56">
        <f t="shared" si="1"/>
        <v>9.3948207052627283E-2</v>
      </c>
      <c r="R4" s="56">
        <f t="shared" si="1"/>
        <v>4.4954910602878304E-2</v>
      </c>
    </row>
    <row r="5" spans="2:45">
      <c r="B5" s="4" t="s">
        <v>138</v>
      </c>
      <c r="C5" s="23">
        <f>C32</f>
        <v>3.6597861698368428E-2</v>
      </c>
      <c r="D5" s="23">
        <f t="shared" ref="D5:G5" si="2">D32</f>
        <v>7.9107747043343377E-2</v>
      </c>
      <c r="E5" s="23">
        <f t="shared" si="2"/>
        <v>3.1288223130297409E-2</v>
      </c>
      <c r="F5" s="23">
        <f t="shared" si="2"/>
        <v>5.6900178932384866E-2</v>
      </c>
      <c r="G5" s="23">
        <f t="shared" si="2"/>
        <v>2.6788936980071634E-2</v>
      </c>
      <c r="H5" s="23">
        <f>H32</f>
        <v>1.1162381704751163E-2</v>
      </c>
      <c r="L5" t="s">
        <v>138</v>
      </c>
      <c r="M5" s="60">
        <f>C5</f>
        <v>3.6597861698368428E-2</v>
      </c>
      <c r="N5" s="60">
        <f t="shared" si="1"/>
        <v>7.9107747043343377E-2</v>
      </c>
      <c r="O5" s="60">
        <f t="shared" si="1"/>
        <v>3.1288223130297409E-2</v>
      </c>
      <c r="P5" s="60">
        <f t="shared" si="1"/>
        <v>5.6900178932384866E-2</v>
      </c>
      <c r="Q5" s="60">
        <f t="shared" si="1"/>
        <v>2.6788936980071634E-2</v>
      </c>
      <c r="R5" s="60">
        <f t="shared" si="1"/>
        <v>1.1162381704751163E-2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2:45">
      <c r="B6" s="46" t="s">
        <v>139</v>
      </c>
      <c r="C6" s="61">
        <f>C38</f>
        <v>5.7000000000000002E-2</v>
      </c>
      <c r="D6" s="61">
        <f t="shared" ref="D6:G6" si="3">D38</f>
        <v>5.7000000000000002E-2</v>
      </c>
      <c r="E6" s="61">
        <f t="shared" si="3"/>
        <v>5.8000000000000003E-2</v>
      </c>
      <c r="F6" s="61">
        <f t="shared" si="3"/>
        <v>6.8000000000000005E-2</v>
      </c>
      <c r="G6" s="61">
        <f t="shared" si="3"/>
        <v>6.8000000000000005E-2</v>
      </c>
      <c r="H6" s="61">
        <f>H38</f>
        <v>6.0499999999999998E-2</v>
      </c>
      <c r="L6" t="s">
        <v>139</v>
      </c>
      <c r="M6" s="56">
        <f>C6</f>
        <v>5.7000000000000002E-2</v>
      </c>
      <c r="N6" s="56">
        <f t="shared" si="1"/>
        <v>5.7000000000000002E-2</v>
      </c>
      <c r="O6" s="56">
        <f t="shared" si="1"/>
        <v>5.8000000000000003E-2</v>
      </c>
      <c r="P6" s="56">
        <f t="shared" si="1"/>
        <v>6.8000000000000005E-2</v>
      </c>
      <c r="Q6" s="56">
        <f t="shared" si="1"/>
        <v>6.8000000000000005E-2</v>
      </c>
      <c r="R6" s="56">
        <f t="shared" si="1"/>
        <v>6.0499999999999998E-2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45">
      <c r="B7" s="4" t="s">
        <v>140</v>
      </c>
      <c r="C7" s="22">
        <f>C47</f>
        <v>1253994</v>
      </c>
      <c r="D7" s="22">
        <f t="shared" ref="D7:G7" si="4">D47</f>
        <v>3150129</v>
      </c>
      <c r="E7" s="22">
        <f t="shared" si="4"/>
        <v>1559863</v>
      </c>
      <c r="F7" s="22">
        <f t="shared" si="4"/>
        <v>3334476</v>
      </c>
      <c r="G7" s="22">
        <f t="shared" si="4"/>
        <v>1806377</v>
      </c>
      <c r="H7" s="25">
        <f>H47</f>
        <v>840958</v>
      </c>
      <c r="M7" s="17"/>
      <c r="N7" s="17"/>
      <c r="O7" s="17"/>
      <c r="P7" s="56"/>
      <c r="Q7" s="56"/>
      <c r="Z7" s="4"/>
      <c r="AA7" s="4"/>
      <c r="AB7" s="4"/>
      <c r="AC7" s="4"/>
      <c r="AD7" s="4"/>
      <c r="AE7" s="4"/>
      <c r="AG7" s="4"/>
      <c r="AH7" s="15"/>
      <c r="AI7" s="15"/>
      <c r="AJ7" s="15"/>
    </row>
    <row r="8" spans="2:45">
      <c r="B8" s="46" t="s">
        <v>141</v>
      </c>
      <c r="C8" s="152">
        <f>C56</f>
        <v>639768.06740715087</v>
      </c>
      <c r="D8" s="152">
        <f t="shared" ref="D8:H8" si="5">D56</f>
        <v>885510.98331044731</v>
      </c>
      <c r="E8" s="152">
        <f t="shared" si="5"/>
        <v>-1536444.3114439039</v>
      </c>
      <c r="F8" s="152">
        <f t="shared" si="5"/>
        <v>-1794167.4191538449</v>
      </c>
      <c r="G8" s="152">
        <f t="shared" si="5"/>
        <v>568505.54583883984</v>
      </c>
      <c r="H8" s="152">
        <f t="shared" si="5"/>
        <v>-666026.91793555615</v>
      </c>
      <c r="M8">
        <f t="shared" ref="M8:R8" si="6">C3</f>
        <v>2015</v>
      </c>
      <c r="N8">
        <f t="shared" si="6"/>
        <v>2016</v>
      </c>
      <c r="O8">
        <f t="shared" si="6"/>
        <v>2017</v>
      </c>
      <c r="P8">
        <f t="shared" si="6"/>
        <v>2018</v>
      </c>
      <c r="Q8">
        <f t="shared" si="6"/>
        <v>2019</v>
      </c>
      <c r="R8">
        <f t="shared" si="6"/>
        <v>2020</v>
      </c>
      <c r="Z8" s="4"/>
      <c r="AA8" s="4"/>
      <c r="AB8" s="4"/>
      <c r="AC8" s="4"/>
      <c r="AD8" s="4"/>
      <c r="AE8" s="4"/>
      <c r="AG8" s="4"/>
      <c r="AH8" s="4"/>
      <c r="AI8" s="4"/>
      <c r="AJ8" s="4"/>
    </row>
    <row r="9" spans="2:45">
      <c r="L9" t="str">
        <f t="shared" ref="L9:R10" si="7">B7</f>
        <v>EVA</v>
      </c>
      <c r="M9" s="92">
        <f t="shared" si="7"/>
        <v>1253994</v>
      </c>
      <c r="N9" s="92">
        <f t="shared" si="7"/>
        <v>3150129</v>
      </c>
      <c r="O9" s="92">
        <f t="shared" si="7"/>
        <v>1559863</v>
      </c>
      <c r="P9" s="92">
        <f t="shared" si="7"/>
        <v>3334476</v>
      </c>
      <c r="Q9" s="92">
        <f t="shared" si="7"/>
        <v>1806377</v>
      </c>
      <c r="R9" s="92">
        <f t="shared" si="7"/>
        <v>840958</v>
      </c>
      <c r="Z9" s="4"/>
      <c r="AA9" s="4"/>
      <c r="AB9" s="4"/>
      <c r="AC9" s="4"/>
      <c r="AD9" s="4"/>
      <c r="AE9" s="4"/>
      <c r="AG9" s="4"/>
      <c r="AH9" s="4"/>
      <c r="AI9" s="4"/>
      <c r="AJ9" s="4"/>
    </row>
    <row r="10" spans="2:45">
      <c r="L10" t="str">
        <f t="shared" si="7"/>
        <v>RI</v>
      </c>
      <c r="M10" s="92">
        <f t="shared" si="7"/>
        <v>639768.06740715087</v>
      </c>
      <c r="N10" s="92">
        <f t="shared" si="7"/>
        <v>885510.98331044731</v>
      </c>
      <c r="O10" s="92">
        <f t="shared" si="7"/>
        <v>-1536444.3114439039</v>
      </c>
      <c r="P10" s="92">
        <f t="shared" si="7"/>
        <v>-1794167.4191538449</v>
      </c>
      <c r="Q10" s="92">
        <f t="shared" si="7"/>
        <v>568505.54583883984</v>
      </c>
      <c r="R10" s="92">
        <f t="shared" si="7"/>
        <v>-666026.91793555615</v>
      </c>
      <c r="Z10" s="4"/>
      <c r="AA10" s="4"/>
      <c r="AB10" s="4"/>
      <c r="AC10" s="4"/>
      <c r="AD10" s="4"/>
      <c r="AE10" s="4"/>
      <c r="AG10" s="4"/>
      <c r="AH10" s="4"/>
      <c r="AI10" s="4"/>
      <c r="AJ10" s="4"/>
      <c r="AK10" s="17"/>
      <c r="AL10" s="17"/>
      <c r="AM10" s="17"/>
      <c r="AN10" s="17"/>
      <c r="AO10" s="17"/>
      <c r="AP10" s="17"/>
      <c r="AQ10" s="17"/>
      <c r="AR10" s="17"/>
      <c r="AS10" s="17"/>
    </row>
    <row r="11" spans="2:45">
      <c r="Z11" s="4"/>
      <c r="AA11" s="4"/>
      <c r="AB11" s="4"/>
      <c r="AC11" s="4"/>
      <c r="AD11" s="4"/>
      <c r="AE11" s="4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2:45">
      <c r="Z12" s="4"/>
      <c r="AA12" s="4"/>
      <c r="AB12" s="4"/>
      <c r="AC12" s="4"/>
      <c r="AD12" s="4"/>
      <c r="AE12" s="4"/>
      <c r="AK12" s="27"/>
      <c r="AL12" s="27"/>
      <c r="AM12" s="27"/>
      <c r="AN12" s="27"/>
      <c r="AO12" s="27"/>
      <c r="AP12" s="27"/>
      <c r="AQ12" s="27"/>
      <c r="AR12" s="27"/>
      <c r="AS12" s="27"/>
    </row>
    <row r="13" spans="2:45">
      <c r="Z13" s="4"/>
      <c r="AA13" s="4"/>
      <c r="AB13" s="4"/>
      <c r="AC13" s="4"/>
      <c r="AD13" s="4"/>
      <c r="AE13" s="4"/>
    </row>
    <row r="14" spans="2:45">
      <c r="Z14" s="4"/>
      <c r="AA14" s="4"/>
      <c r="AB14" s="4"/>
      <c r="AC14" s="4"/>
      <c r="AD14" s="4"/>
      <c r="AE14" s="4"/>
    </row>
    <row r="15" spans="2:45">
      <c r="Z15" s="4"/>
      <c r="AA15" s="4"/>
      <c r="AB15" s="4"/>
      <c r="AC15" s="4"/>
      <c r="AD15" s="4"/>
      <c r="AE15" s="4"/>
    </row>
    <row r="16" spans="2:45" s="4" customFormat="1"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2:45">
      <c r="B17" s="4"/>
      <c r="C17" s="4"/>
      <c r="D17" s="4"/>
      <c r="E17" s="4"/>
      <c r="F17" s="4"/>
      <c r="G17" s="4"/>
      <c r="H17" s="4"/>
      <c r="I17" s="4"/>
      <c r="J17" s="4"/>
      <c r="O17" s="4"/>
      <c r="P17" s="4"/>
      <c r="Q17" s="4"/>
      <c r="R17" s="4"/>
      <c r="S17" s="4"/>
      <c r="T17" s="4"/>
      <c r="U17" s="4"/>
      <c r="V17" s="4"/>
      <c r="W17" s="4"/>
      <c r="Y17" s="4"/>
      <c r="Z17" s="4"/>
      <c r="AA17" s="4"/>
      <c r="AB17" s="4"/>
      <c r="AC17" s="4"/>
      <c r="AD17" s="4"/>
      <c r="AE17" s="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</row>
    <row r="18" spans="2:45">
      <c r="B18" s="200" t="s">
        <v>142</v>
      </c>
      <c r="C18" s="200"/>
      <c r="D18" s="200"/>
      <c r="E18" s="200"/>
      <c r="F18" s="195"/>
      <c r="H18" s="4"/>
      <c r="P18" s="195"/>
      <c r="Q18" s="195"/>
      <c r="R18" s="195"/>
      <c r="S18" s="195"/>
      <c r="T18" s="195"/>
      <c r="U18" s="195"/>
      <c r="V18" s="195"/>
      <c r="W18" s="195"/>
      <c r="X18" s="195"/>
      <c r="Y18" s="20"/>
      <c r="Z18" s="4"/>
      <c r="AA18" s="4"/>
      <c r="AB18" s="4"/>
      <c r="AC18" s="4"/>
      <c r="AD18" s="4"/>
      <c r="AE18" s="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</row>
    <row r="19" spans="2:45">
      <c r="B19" s="4"/>
      <c r="C19" s="4">
        <v>2015</v>
      </c>
      <c r="D19" s="4">
        <v>2016</v>
      </c>
      <c r="E19" s="4">
        <v>2017</v>
      </c>
      <c r="F19" s="4">
        <v>2018</v>
      </c>
      <c r="G19" s="4">
        <v>2019</v>
      </c>
      <c r="H19" s="4">
        <v>2020</v>
      </c>
      <c r="P19" s="4"/>
      <c r="Q19" s="4"/>
      <c r="R19" s="4"/>
      <c r="S19" s="4"/>
      <c r="T19" s="4"/>
      <c r="U19" s="4"/>
      <c r="V19" s="4"/>
      <c r="W19" s="4"/>
      <c r="Y19" s="4"/>
      <c r="Z19" s="4"/>
      <c r="AA19" s="4"/>
      <c r="AB19" s="4"/>
      <c r="AC19" s="4"/>
      <c r="AD19" s="4"/>
      <c r="AE19" s="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</row>
    <row r="20" spans="2:45" s="4" customFormat="1">
      <c r="B20" s="4" t="s">
        <v>5</v>
      </c>
      <c r="C20" s="91">
        <f>'Income statement'!K4</f>
        <v>1300235</v>
      </c>
      <c r="D20" s="91">
        <f>'Income statement'!L4</f>
        <v>3387339</v>
      </c>
      <c r="E20" s="91">
        <f>'Income statement'!M4</f>
        <v>1656456</v>
      </c>
      <c r="F20" s="91">
        <f>'Income statement'!N4</f>
        <v>3472472</v>
      </c>
      <c r="G20" s="91">
        <f>'Income statement'!O4</f>
        <v>1904789</v>
      </c>
      <c r="H20" s="91">
        <f>'Income statement'!P4</f>
        <v>925930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2:45" s="4" customFormat="1">
      <c r="B21" s="4" t="s">
        <v>39</v>
      </c>
      <c r="C21" s="91">
        <f>'Balance sheet'!AD24</f>
        <v>10024000</v>
      </c>
      <c r="D21" s="91">
        <f>'Balance sheet'!AE24</f>
        <v>15910180</v>
      </c>
      <c r="E21" s="91">
        <f>'Balance sheet'!AF24</f>
        <v>16013595</v>
      </c>
      <c r="F21" s="91">
        <f>'Balance sheet'!AG24</f>
        <v>18715243</v>
      </c>
      <c r="G21" s="91">
        <f>'Balance sheet'!AH24</f>
        <v>20274884</v>
      </c>
      <c r="H21" s="91">
        <f>'Balance sheet'!AI24</f>
        <v>20596860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2:45" s="4" customFormat="1">
      <c r="B22" s="46" t="s">
        <v>143</v>
      </c>
      <c r="C22" s="45">
        <f>C20/C21</f>
        <v>0.12971219074221868</v>
      </c>
      <c r="D22" s="45">
        <f t="shared" ref="D22:H22" si="8">D20/D21</f>
        <v>0.21290387663747362</v>
      </c>
      <c r="E22" s="45">
        <f t="shared" si="8"/>
        <v>0.10344060780855267</v>
      </c>
      <c r="F22" s="45">
        <f t="shared" si="8"/>
        <v>0.1855424479393615</v>
      </c>
      <c r="G22" s="45">
        <f t="shared" si="8"/>
        <v>9.3948207052627283E-2</v>
      </c>
      <c r="H22" s="45">
        <f t="shared" si="8"/>
        <v>4.4954910602878304E-2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2:45" s="4" customFormat="1"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2:45" s="4" customFormat="1"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2:45">
      <c r="S25" s="6"/>
      <c r="T25" s="6"/>
      <c r="U25" s="6"/>
      <c r="V25" s="6"/>
      <c r="W25" s="6"/>
      <c r="Y25" s="4"/>
      <c r="Z25" s="4"/>
      <c r="AA25" s="4"/>
      <c r="AB25" s="4"/>
      <c r="AC25" s="4"/>
      <c r="AD25" s="4"/>
      <c r="AE25" s="4"/>
    </row>
    <row r="26" spans="2:45">
      <c r="S26" s="4"/>
      <c r="T26" s="4"/>
      <c r="U26" s="4"/>
      <c r="V26" s="4"/>
      <c r="W26" s="4"/>
      <c r="Y26" s="4"/>
      <c r="Z26" s="4"/>
      <c r="AA26" s="4"/>
      <c r="AB26" s="4"/>
      <c r="AC26" s="4"/>
      <c r="AD26" s="4"/>
      <c r="AE26" s="4"/>
    </row>
    <row r="27" spans="2:45">
      <c r="B27" s="201" t="s">
        <v>144</v>
      </c>
      <c r="C27" s="201"/>
      <c r="D27" s="201"/>
      <c r="E27" s="201"/>
      <c r="F27" s="201"/>
      <c r="G27" s="201"/>
      <c r="H27" s="195"/>
      <c r="L27" s="4"/>
      <c r="M27" s="4"/>
      <c r="N27" s="4"/>
      <c r="O27" s="4"/>
      <c r="P27" s="6"/>
      <c r="Q27" s="6"/>
      <c r="R27" s="6"/>
      <c r="S27" s="4"/>
      <c r="T27" s="4"/>
      <c r="U27" s="4"/>
      <c r="V27" s="4"/>
      <c r="W27" s="4"/>
      <c r="X27" s="3"/>
      <c r="Y27" s="4"/>
      <c r="Z27" s="4"/>
      <c r="AA27" s="4"/>
      <c r="AB27" s="4"/>
      <c r="AC27" s="4"/>
      <c r="AD27" s="4"/>
      <c r="AE27" s="4"/>
    </row>
    <row r="28" spans="2:45" s="4" customFormat="1">
      <c r="B28" s="6"/>
      <c r="C28" s="6">
        <v>2015</v>
      </c>
      <c r="D28" s="6">
        <v>2016</v>
      </c>
      <c r="E28" s="6">
        <v>2017</v>
      </c>
      <c r="F28" s="6">
        <v>2018</v>
      </c>
      <c r="G28" s="6">
        <v>2019</v>
      </c>
      <c r="H28" s="6">
        <v>2020</v>
      </c>
      <c r="I28"/>
      <c r="J28"/>
      <c r="K28"/>
      <c r="S28" s="3"/>
      <c r="T28" s="3"/>
      <c r="U28" s="3"/>
      <c r="V28" s="3"/>
      <c r="W28" s="3"/>
      <c r="X28" s="22"/>
    </row>
    <row r="29" spans="2:45">
      <c r="B29" s="4" t="s">
        <v>145</v>
      </c>
      <c r="C29" s="3">
        <f>'Income statement'!B20</f>
        <v>1232883</v>
      </c>
      <c r="D29" s="3">
        <f>'Income statement'!C20</f>
        <v>3518630</v>
      </c>
      <c r="E29" s="3">
        <f>'Income statement'!D20</f>
        <v>1749484</v>
      </c>
      <c r="F29" s="3">
        <f>'Income statement'!E20</f>
        <v>3597959</v>
      </c>
      <c r="G29" s="3">
        <f>'Income statement'!F20</f>
        <v>1869739</v>
      </c>
      <c r="H29" s="3">
        <f>'Income statement'!G20</f>
        <v>790209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2:45" s="4" customFormat="1" ht="18">
      <c r="B30" s="4" t="s">
        <v>146</v>
      </c>
      <c r="C30" s="3">
        <f>'Balance sheet'!U37</f>
        <v>8764052</v>
      </c>
      <c r="D30" s="3">
        <f>'Balance sheet'!V37</f>
        <v>13475426</v>
      </c>
      <c r="E30" s="3">
        <f>'Balance sheet'!W37</f>
        <v>14482122</v>
      </c>
      <c r="F30" s="3">
        <f>'Balance sheet'!X37</f>
        <v>17134290</v>
      </c>
      <c r="G30" s="3">
        <f>'Balance sheet'!Y37</f>
        <v>17763306</v>
      </c>
      <c r="H30" s="3">
        <f>'Balance sheet'!Z37</f>
        <v>17632769</v>
      </c>
    </row>
    <row r="31" spans="2:45" s="4" customFormat="1" ht="18">
      <c r="B31" s="4" t="s">
        <v>147</v>
      </c>
      <c r="C31" s="3">
        <v>8079596</v>
      </c>
      <c r="D31" s="3">
        <f>C30</f>
        <v>8764052</v>
      </c>
      <c r="E31" s="3">
        <f t="shared" ref="E31:H31" si="9">D30</f>
        <v>13475426</v>
      </c>
      <c r="F31" s="3">
        <f t="shared" si="9"/>
        <v>14482122</v>
      </c>
      <c r="G31" s="3">
        <f t="shared" si="9"/>
        <v>17134290</v>
      </c>
      <c r="H31" s="3">
        <f t="shared" si="9"/>
        <v>17763306</v>
      </c>
      <c r="M31" s="3"/>
      <c r="N31" s="3"/>
      <c r="O31" s="3"/>
      <c r="P31" s="3"/>
      <c r="Q31" s="3"/>
      <c r="R31" s="3"/>
    </row>
    <row r="32" spans="2:45" s="4" customFormat="1">
      <c r="B32" s="46" t="s">
        <v>148</v>
      </c>
      <c r="C32" s="45">
        <f>C29/(C30+C31)/2</f>
        <v>3.6597861698368428E-2</v>
      </c>
      <c r="D32" s="45">
        <f t="shared" ref="D32:H32" si="10">D29/(D30+D31)/2</f>
        <v>7.9107747043343377E-2</v>
      </c>
      <c r="E32" s="45">
        <f t="shared" si="10"/>
        <v>3.1288223130297409E-2</v>
      </c>
      <c r="F32" s="45">
        <f t="shared" si="10"/>
        <v>5.6900178932384866E-2</v>
      </c>
      <c r="G32" s="45">
        <f t="shared" si="10"/>
        <v>2.6788936980071634E-2</v>
      </c>
      <c r="H32" s="45">
        <f t="shared" si="10"/>
        <v>1.1162381704751163E-2</v>
      </c>
      <c r="M32" s="3"/>
      <c r="N32" s="3"/>
      <c r="O32" s="3"/>
      <c r="P32" s="3"/>
      <c r="Q32" s="3"/>
      <c r="R32" s="3"/>
    </row>
    <row r="33" spans="2:41" s="4" customFormat="1">
      <c r="C33" s="15"/>
      <c r="D33" s="15"/>
      <c r="E33" s="15"/>
      <c r="F33" s="15"/>
      <c r="G33" s="15"/>
      <c r="H33" s="15"/>
      <c r="M33" s="3"/>
      <c r="N33" s="3"/>
      <c r="O33" s="3"/>
      <c r="P33" s="3"/>
      <c r="Q33" s="3"/>
      <c r="R33" s="3"/>
    </row>
    <row r="34" spans="2:41"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2:41">
      <c r="H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2:41">
      <c r="B36" s="200" t="s">
        <v>149</v>
      </c>
      <c r="C36" s="200"/>
      <c r="D36" s="200"/>
      <c r="E36" s="200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2:41">
      <c r="B37" s="4"/>
      <c r="C37" s="4">
        <v>2015</v>
      </c>
      <c r="D37" s="4">
        <v>2016</v>
      </c>
      <c r="E37" s="4">
        <v>2017</v>
      </c>
      <c r="F37" s="4">
        <v>2018</v>
      </c>
      <c r="G37" s="4">
        <v>2019</v>
      </c>
      <c r="H37" s="4">
        <v>2020</v>
      </c>
      <c r="I37" s="4" t="s">
        <v>150</v>
      </c>
      <c r="J37" s="4"/>
      <c r="K37" s="4"/>
      <c r="L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s="4" customFormat="1">
      <c r="B38" s="46" t="s">
        <v>151</v>
      </c>
      <c r="C38" s="45">
        <v>5.7000000000000002E-2</v>
      </c>
      <c r="D38" s="45">
        <v>5.7000000000000002E-2</v>
      </c>
      <c r="E38" s="45">
        <v>5.8000000000000003E-2</v>
      </c>
      <c r="F38" s="45">
        <v>6.8000000000000005E-2</v>
      </c>
      <c r="G38" s="45">
        <v>6.8000000000000005E-2</v>
      </c>
      <c r="H38" s="45">
        <v>6.0499999999999998E-2</v>
      </c>
      <c r="I38" s="45">
        <f>AVERAGE(C38:H38)</f>
        <v>6.1416666666666675E-2</v>
      </c>
    </row>
    <row r="39" spans="2:4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Y39" s="4"/>
      <c r="Z39" s="3"/>
      <c r="AA39" s="3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2:4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Y40" s="4"/>
      <c r="Z40" s="3"/>
      <c r="AA40" s="3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2:41">
      <c r="F41" s="195"/>
      <c r="G41" s="195"/>
      <c r="H41" s="195"/>
      <c r="I41" s="195"/>
      <c r="J41" s="195"/>
      <c r="K41" s="195"/>
      <c r="L41" s="195"/>
      <c r="M41" s="195"/>
      <c r="N41" s="195"/>
      <c r="O41" s="4"/>
      <c r="P41" s="4"/>
      <c r="Q41" s="4"/>
      <c r="R41" s="4"/>
      <c r="S41" s="4"/>
      <c r="T41" s="4"/>
      <c r="U41" s="4"/>
      <c r="V41" s="4"/>
      <c r="W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20"/>
      <c r="AK41" s="4"/>
      <c r="AL41" s="4"/>
      <c r="AM41" s="4"/>
      <c r="AN41" s="4"/>
      <c r="AO41" s="4"/>
    </row>
    <row r="42" spans="2:41">
      <c r="B42" s="202" t="s">
        <v>152</v>
      </c>
      <c r="C42" s="202"/>
      <c r="D42" s="202"/>
      <c r="E42" s="202"/>
      <c r="F42" s="202"/>
      <c r="G42" s="202"/>
      <c r="H42" s="202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2:41">
      <c r="B43" s="172"/>
      <c r="C43" s="172">
        <v>2015</v>
      </c>
      <c r="D43" s="172">
        <v>2016</v>
      </c>
      <c r="E43" s="172">
        <v>2017</v>
      </c>
      <c r="F43" s="172">
        <v>2018</v>
      </c>
      <c r="G43" s="172">
        <v>2019</v>
      </c>
      <c r="H43" s="172">
        <v>2020</v>
      </c>
      <c r="I43" s="44"/>
      <c r="J43" s="44"/>
      <c r="K43" s="44"/>
      <c r="P43" s="4"/>
      <c r="Q43" s="4"/>
      <c r="R43" s="4"/>
      <c r="S43" s="4"/>
      <c r="T43" s="4"/>
      <c r="U43" s="4"/>
      <c r="V43" s="4"/>
      <c r="W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2:41">
      <c r="B44" s="172" t="s">
        <v>5</v>
      </c>
      <c r="C44" s="173">
        <v>1300235</v>
      </c>
      <c r="D44" s="173">
        <v>3387339</v>
      </c>
      <c r="E44" s="173">
        <v>1656456</v>
      </c>
      <c r="F44" s="173">
        <v>3472472</v>
      </c>
      <c r="G44" s="173">
        <v>1904789</v>
      </c>
      <c r="H44" s="173">
        <v>925930</v>
      </c>
      <c r="I44" s="4"/>
      <c r="J44" s="4"/>
      <c r="K44" s="4"/>
      <c r="P44" s="4"/>
      <c r="Q44" s="4"/>
      <c r="R44" s="4"/>
      <c r="S44" s="4"/>
      <c r="T44" s="4"/>
      <c r="U44" s="4"/>
      <c r="V44" s="4"/>
      <c r="W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2:41">
      <c r="B45" s="172" t="s">
        <v>139</v>
      </c>
      <c r="C45" s="174">
        <v>5.7000000000000002E-2</v>
      </c>
      <c r="D45" s="174">
        <v>5.7000000000000002E-2</v>
      </c>
      <c r="E45" s="174">
        <v>5.8000000000000003E-2</v>
      </c>
      <c r="F45" s="174">
        <v>6.8000000000000005E-2</v>
      </c>
      <c r="G45" s="174">
        <v>6.8000000000000005E-2</v>
      </c>
      <c r="H45" s="174">
        <v>6.0499999999999998E-2</v>
      </c>
      <c r="I45" s="4"/>
      <c r="J45" s="4"/>
      <c r="K45" s="4"/>
      <c r="P45" s="4"/>
      <c r="Q45" s="4"/>
      <c r="R45" s="4"/>
      <c r="S45" s="4"/>
      <c r="T45" s="4"/>
      <c r="U45" s="4"/>
      <c r="V45" s="4"/>
      <c r="W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2:41" s="4" customFormat="1">
      <c r="B46" s="172" t="s">
        <v>153</v>
      </c>
      <c r="C46" s="175">
        <v>811241</v>
      </c>
      <c r="D46" s="175">
        <v>4161583</v>
      </c>
      <c r="E46" s="175">
        <v>1665392</v>
      </c>
      <c r="F46" s="175">
        <v>2029347</v>
      </c>
      <c r="G46" s="175">
        <v>1447236</v>
      </c>
      <c r="H46" s="175">
        <v>1404495</v>
      </c>
    </row>
    <row r="47" spans="2:41">
      <c r="B47" s="176" t="s">
        <v>140</v>
      </c>
      <c r="C47" s="177">
        <v>1253994</v>
      </c>
      <c r="D47" s="177">
        <v>3150129</v>
      </c>
      <c r="E47" s="177">
        <v>1559863</v>
      </c>
      <c r="F47" s="177">
        <v>3334476</v>
      </c>
      <c r="G47" s="177">
        <v>1806377</v>
      </c>
      <c r="H47" s="177">
        <v>840958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2:41">
      <c r="B48" s="6"/>
      <c r="C48" s="58"/>
      <c r="D48" s="58"/>
      <c r="E48" s="5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2:41">
      <c r="F49" s="22"/>
      <c r="G49" s="22"/>
      <c r="H49" s="22"/>
      <c r="I49" s="22"/>
      <c r="J49" s="22"/>
      <c r="K49" s="22"/>
      <c r="L49" s="22"/>
      <c r="M49" s="22"/>
      <c r="N49" s="22"/>
      <c r="O49" s="4"/>
      <c r="P49" s="4"/>
      <c r="Q49" s="4"/>
      <c r="R49" s="4"/>
      <c r="S49" s="4"/>
      <c r="T49" s="4"/>
      <c r="U49" s="4"/>
      <c r="V49" s="4"/>
      <c r="W49" s="4"/>
      <c r="Y49" s="50"/>
      <c r="Z49" s="4"/>
      <c r="AA49" s="4"/>
      <c r="AB49" s="4"/>
      <c r="AC49" s="4"/>
      <c r="AD49" s="25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2:41">
      <c r="F50" s="22"/>
      <c r="G50" s="22"/>
      <c r="H50" s="22"/>
      <c r="I50" s="22"/>
      <c r="J50" s="22"/>
      <c r="K50" s="22"/>
      <c r="L50" s="22"/>
      <c r="M50" s="22"/>
      <c r="N50" s="22"/>
      <c r="O50" s="4"/>
      <c r="P50" s="4"/>
      <c r="Q50" s="4"/>
      <c r="R50" s="4"/>
      <c r="S50" s="4"/>
      <c r="T50" s="4"/>
      <c r="U50" s="4"/>
      <c r="V50" s="4"/>
      <c r="W50" s="4"/>
      <c r="Y50" s="50"/>
      <c r="Z50" s="24"/>
      <c r="AA50" s="22"/>
      <c r="AB50" s="22"/>
      <c r="AC50" s="22"/>
      <c r="AD50" s="25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2:41">
      <c r="B51" s="200" t="s">
        <v>154</v>
      </c>
      <c r="C51" s="200"/>
      <c r="D51" s="200"/>
      <c r="E51" s="200"/>
      <c r="F51" s="24"/>
      <c r="G51" s="24"/>
      <c r="H51" s="24"/>
      <c r="I51" s="24"/>
      <c r="J51" s="24"/>
      <c r="L51" s="4"/>
      <c r="M51" s="6"/>
      <c r="N51" s="6"/>
      <c r="O51" s="6"/>
      <c r="P51" s="4"/>
      <c r="Q51" s="4"/>
      <c r="R51" s="4"/>
      <c r="S51" s="4"/>
      <c r="T51" s="4"/>
      <c r="U51" s="4"/>
      <c r="V51" s="4"/>
      <c r="W51" s="4"/>
      <c r="Y51" s="50"/>
      <c r="Z51" s="24"/>
      <c r="AA51" s="22"/>
      <c r="AB51" s="22"/>
      <c r="AC51" s="22"/>
      <c r="AD51" s="25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2:41">
      <c r="B52" s="4"/>
      <c r="C52" s="4">
        <v>2015</v>
      </c>
      <c r="D52" s="4">
        <v>2016</v>
      </c>
      <c r="E52" s="4">
        <v>2017</v>
      </c>
      <c r="F52" s="4">
        <v>2018</v>
      </c>
      <c r="G52" s="4">
        <v>2019</v>
      </c>
      <c r="H52" s="4">
        <v>2020</v>
      </c>
      <c r="I52" s="22"/>
      <c r="J52" s="22"/>
      <c r="P52" s="4"/>
      <c r="Q52" s="4"/>
      <c r="R52" s="4"/>
      <c r="S52" s="4"/>
      <c r="T52" s="4"/>
      <c r="U52" s="4"/>
      <c r="V52" s="4"/>
      <c r="W52" s="4"/>
      <c r="Y52" s="50"/>
      <c r="Z52" s="2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2:41">
      <c r="B53" s="4" t="s">
        <v>138</v>
      </c>
      <c r="C53" s="23">
        <f>C32</f>
        <v>3.6597861698368428E-2</v>
      </c>
      <c r="D53" s="23">
        <f t="shared" ref="D53:H53" si="11">D32</f>
        <v>7.9107747043343377E-2</v>
      </c>
      <c r="E53" s="23">
        <f t="shared" si="11"/>
        <v>3.1288223130297409E-2</v>
      </c>
      <c r="F53" s="23">
        <f t="shared" si="11"/>
        <v>5.6900178932384866E-2</v>
      </c>
      <c r="G53" s="23">
        <f t="shared" si="11"/>
        <v>2.6788936980071634E-2</v>
      </c>
      <c r="H53" s="23">
        <f t="shared" si="11"/>
        <v>1.1162381704751163E-2</v>
      </c>
      <c r="I53" s="23"/>
      <c r="J53" s="23"/>
      <c r="P53" s="4"/>
      <c r="Q53" s="4"/>
      <c r="R53" s="4"/>
      <c r="S53" s="4"/>
      <c r="T53" s="4"/>
      <c r="U53" s="4"/>
      <c r="V53" s="4"/>
      <c r="W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2:41" ht="18">
      <c r="B54" s="55" t="s">
        <v>155</v>
      </c>
      <c r="C54" s="55">
        <f>C75</f>
        <v>-3.6401256450080591E-2</v>
      </c>
      <c r="D54" s="55">
        <f t="shared" ref="D54:H54" si="12">D75</f>
        <v>1.3394723699187325E-2</v>
      </c>
      <c r="E54" s="55">
        <f t="shared" si="12"/>
        <v>0.13738070815727785</v>
      </c>
      <c r="F54" s="55">
        <f t="shared" si="12"/>
        <v>0.16161227491966212</v>
      </c>
      <c r="G54" s="55">
        <f t="shared" si="12"/>
        <v>-5.215552828235436E-3</v>
      </c>
      <c r="H54" s="55">
        <f t="shared" si="12"/>
        <v>4.8934493273589619E-2</v>
      </c>
      <c r="I54" s="23"/>
      <c r="J54" s="23"/>
      <c r="P54" s="4"/>
      <c r="Q54" s="4"/>
      <c r="R54" s="4"/>
      <c r="S54" s="4"/>
      <c r="T54" s="4"/>
      <c r="U54" s="4"/>
      <c r="V54" s="4"/>
      <c r="W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2:41">
      <c r="B55" s="4" t="s">
        <v>156</v>
      </c>
      <c r="C55" s="22">
        <f>'Balance sheet'!C21</f>
        <v>8764052</v>
      </c>
      <c r="D55" s="22">
        <f>'Balance sheet'!D21</f>
        <v>13475426</v>
      </c>
      <c r="E55" s="22">
        <f>'Balance sheet'!E21</f>
        <v>14482122</v>
      </c>
      <c r="F55" s="22">
        <f>'Balance sheet'!F21</f>
        <v>17134290</v>
      </c>
      <c r="G55" s="22">
        <f>'Balance sheet'!G21</f>
        <v>17763306</v>
      </c>
      <c r="H55" s="22">
        <f>'Balance sheet'!H21</f>
        <v>17632769</v>
      </c>
      <c r="I55" s="23"/>
      <c r="J55" s="23"/>
      <c r="L55" s="4"/>
      <c r="M55" s="22"/>
      <c r="N55" s="22"/>
      <c r="O55" s="22"/>
      <c r="P55" s="4"/>
      <c r="Q55" s="4"/>
      <c r="R55" s="4"/>
      <c r="S55" s="4"/>
      <c r="T55" s="4"/>
      <c r="U55" s="4"/>
      <c r="V55" s="4"/>
      <c r="W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2:41">
      <c r="B56" s="46" t="s">
        <v>141</v>
      </c>
      <c r="C56" s="132">
        <f>(C53-C54)*C55</f>
        <v>639768.06740715087</v>
      </c>
      <c r="D56" s="132">
        <f>(D53-D54)*D55</f>
        <v>885510.98331044731</v>
      </c>
      <c r="E56" s="132">
        <f t="shared" ref="E56:H56" si="13">(E53-E54)*E55</f>
        <v>-1536444.3114439039</v>
      </c>
      <c r="F56" s="132">
        <f t="shared" si="13"/>
        <v>-1794167.4191538449</v>
      </c>
      <c r="G56" s="132">
        <f t="shared" si="13"/>
        <v>568505.54583883984</v>
      </c>
      <c r="H56" s="132">
        <f t="shared" si="13"/>
        <v>-666026.91793555615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2:41" s="28" customFormat="1">
      <c r="B57" s="6"/>
      <c r="C57" s="59"/>
      <c r="D57" s="59"/>
      <c r="E57" s="59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2:41" s="4" customFormat="1"/>
    <row r="59" spans="2:41">
      <c r="F59" s="4"/>
      <c r="G59" s="195"/>
      <c r="H59" s="195"/>
      <c r="I59" s="195"/>
      <c r="J59" s="195"/>
      <c r="K59" s="195"/>
      <c r="L59" s="195"/>
      <c r="R59" s="4"/>
      <c r="S59" s="4"/>
      <c r="T59" s="4"/>
      <c r="U59" s="4"/>
      <c r="V59" s="4"/>
      <c r="W59" s="4"/>
      <c r="Y59" s="4"/>
      <c r="Z59" s="3"/>
      <c r="AA59" s="3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2:41">
      <c r="B60" s="200" t="s">
        <v>157</v>
      </c>
      <c r="C60" s="200"/>
      <c r="D60" s="200"/>
      <c r="E60" s="200"/>
      <c r="F60" s="4"/>
      <c r="G60" s="4"/>
      <c r="H60" s="4"/>
      <c r="I60" s="4"/>
      <c r="J60" s="4"/>
      <c r="K60" s="4"/>
      <c r="L60" s="4"/>
      <c r="R60" s="20"/>
      <c r="S60" s="20"/>
      <c r="T60" s="20"/>
      <c r="U60" s="20"/>
      <c r="V60" s="20"/>
      <c r="W60" s="20"/>
      <c r="X60" s="20"/>
      <c r="Y60" s="4"/>
      <c r="Z60" s="199"/>
      <c r="AA60" s="199"/>
      <c r="AB60" s="199"/>
      <c r="AC60" s="199"/>
      <c r="AD60" s="4"/>
      <c r="AE60" s="4"/>
      <c r="AF60" s="199"/>
      <c r="AG60" s="199"/>
      <c r="AH60" s="199"/>
      <c r="AI60" s="199"/>
      <c r="AJ60" s="199"/>
      <c r="AK60" s="4"/>
      <c r="AL60" s="4"/>
      <c r="AM60" s="4"/>
      <c r="AN60" s="4"/>
      <c r="AO60" s="4"/>
    </row>
    <row r="61" spans="2:41">
      <c r="B61" s="4"/>
      <c r="C61" s="4">
        <v>2015</v>
      </c>
      <c r="D61" s="4">
        <v>2016</v>
      </c>
      <c r="E61" s="4">
        <v>2017</v>
      </c>
      <c r="F61" s="4">
        <v>2018</v>
      </c>
      <c r="G61" s="4">
        <v>2019</v>
      </c>
      <c r="H61" s="4">
        <v>2020</v>
      </c>
      <c r="I61" s="41" t="s">
        <v>150</v>
      </c>
      <c r="J61" s="41"/>
      <c r="K61" s="41"/>
      <c r="L61" s="41"/>
      <c r="R61" s="4"/>
      <c r="S61" s="4"/>
      <c r="T61" s="4"/>
      <c r="U61" s="4"/>
      <c r="V61" s="4"/>
      <c r="W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2:41">
      <c r="B62" s="4" t="s">
        <v>158</v>
      </c>
      <c r="C62" s="3">
        <f>-'Cash Flow'!B38</f>
        <v>680325</v>
      </c>
      <c r="D62" s="3">
        <f>-'Cash Flow'!C38</f>
        <v>664828</v>
      </c>
      <c r="E62" s="3">
        <f>-'Cash Flow'!D38</f>
        <v>834151</v>
      </c>
      <c r="F62" s="3">
        <f>-'Cash Flow'!E38</f>
        <v>949516</v>
      </c>
      <c r="G62" s="3">
        <f>-'Cash Flow'!F38</f>
        <v>1272246</v>
      </c>
      <c r="H62" s="3">
        <f>-'Cash Flow'!G38</f>
        <v>924332</v>
      </c>
      <c r="R62" s="15"/>
      <c r="S62" s="15"/>
      <c r="T62" s="15"/>
      <c r="U62" s="15"/>
      <c r="V62" s="15"/>
      <c r="W62" s="15"/>
      <c r="X62" s="15"/>
      <c r="Y62" s="4"/>
      <c r="Z62" s="4"/>
      <c r="AA62" s="41"/>
      <c r="AB62" s="41"/>
      <c r="AC62" s="41"/>
      <c r="AD62" s="4"/>
      <c r="AE62" s="4"/>
      <c r="AF62" s="4"/>
      <c r="AG62" s="15"/>
      <c r="AH62" s="15"/>
      <c r="AI62" s="15"/>
      <c r="AJ62" s="15"/>
      <c r="AK62" s="4"/>
      <c r="AL62" s="4"/>
      <c r="AM62" s="4"/>
      <c r="AN62" s="4"/>
      <c r="AO62" s="4"/>
    </row>
    <row r="63" spans="2:41" s="4" customFormat="1">
      <c r="B63" s="4" t="s">
        <v>159</v>
      </c>
      <c r="C63" s="22">
        <v>595774</v>
      </c>
      <c r="D63" s="22">
        <v>595774</v>
      </c>
      <c r="E63" s="22">
        <v>595476</v>
      </c>
      <c r="F63" s="22">
        <v>595476</v>
      </c>
      <c r="G63" s="22">
        <v>595476</v>
      </c>
      <c r="H63" s="22">
        <v>595476</v>
      </c>
    </row>
    <row r="64" spans="2:41" s="4" customFormat="1">
      <c r="B64" s="4" t="s">
        <v>160</v>
      </c>
      <c r="C64" s="24">
        <v>33</v>
      </c>
      <c r="D64" s="24">
        <v>48.11</v>
      </c>
      <c r="E64" s="24">
        <v>43.93</v>
      </c>
      <c r="F64" s="24">
        <v>65.94</v>
      </c>
      <c r="G64" s="24">
        <v>58.3</v>
      </c>
      <c r="H64" s="24">
        <v>60.56</v>
      </c>
    </row>
    <row r="65" spans="2:41">
      <c r="B65" s="6" t="s">
        <v>161</v>
      </c>
      <c r="C65" s="15">
        <f>LN(C62/578926)</f>
        <v>0.16139596232711667</v>
      </c>
      <c r="D65" s="15">
        <f t="shared" ref="D65:G65" si="14">LN(D62/C62)</f>
        <v>-2.3042264584609624E-2</v>
      </c>
      <c r="E65" s="15">
        <f t="shared" si="14"/>
        <v>0.2268860805416075</v>
      </c>
      <c r="F65" s="15">
        <f t="shared" si="14"/>
        <v>0.12953793995844598</v>
      </c>
      <c r="G65" s="15">
        <f t="shared" si="14"/>
        <v>0.29258674034328164</v>
      </c>
      <c r="H65" s="15">
        <f>LN(H62/G62)</f>
        <v>-0.31946780696228266</v>
      </c>
      <c r="I65" s="4"/>
      <c r="J65" s="4"/>
      <c r="K65" s="4"/>
      <c r="L65" s="4"/>
      <c r="M65" s="4"/>
      <c r="N65" s="4"/>
      <c r="O65" s="4"/>
      <c r="T65" s="4"/>
      <c r="U65" s="4"/>
      <c r="V65" s="4"/>
      <c r="W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2:41">
      <c r="B66" s="46" t="s">
        <v>162</v>
      </c>
      <c r="C66" s="45">
        <f>((C62/C63)/C64)+C65</f>
        <v>0.19599953531101508</v>
      </c>
      <c r="D66" s="45">
        <f>((D62/D63)/D64)+D65</f>
        <v>1.5262976541118023E-4</v>
      </c>
      <c r="E66" s="45">
        <f t="shared" ref="E66" si="15">((E62/E63)/E64)+E65</f>
        <v>0.258773487842753</v>
      </c>
      <c r="F66" s="45">
        <f t="shared" ref="F66:G66" si="16">((F62/F63)/F64)+F65</f>
        <v>0.15371976541230845</v>
      </c>
      <c r="G66" s="45">
        <f t="shared" si="16"/>
        <v>0.32923372758073988</v>
      </c>
      <c r="H66" s="45">
        <f>((H62/H63)/H64)+H65</f>
        <v>-0.29383608051279719</v>
      </c>
      <c r="I66" s="45">
        <f>AVERAGE(C66:H66)</f>
        <v>0.10734051089990505</v>
      </c>
      <c r="J66" s="4"/>
      <c r="L66" s="4"/>
      <c r="M66" s="4"/>
      <c r="N66" s="4"/>
      <c r="O66" s="4"/>
      <c r="T66" s="4"/>
      <c r="U66" s="4"/>
      <c r="V66" s="4"/>
      <c r="W66" s="4"/>
      <c r="Y66" s="4"/>
      <c r="Z66" s="4"/>
      <c r="AA66" s="4"/>
      <c r="AB66" s="4"/>
      <c r="AC66" s="4"/>
      <c r="AD66" s="4"/>
      <c r="AE66" s="4"/>
      <c r="AF66" s="4"/>
      <c r="AG66" s="22"/>
      <c r="AH66" s="22"/>
      <c r="AI66" s="22"/>
      <c r="AJ66" s="4"/>
      <c r="AK66" s="4"/>
      <c r="AL66" s="4"/>
      <c r="AM66" s="4"/>
      <c r="AN66" s="4"/>
      <c r="AO66" s="4"/>
    </row>
    <row r="67" spans="2:41">
      <c r="G67" s="4"/>
      <c r="H67" s="4"/>
      <c r="I67" s="4"/>
      <c r="J67" s="4"/>
      <c r="K67" s="4"/>
      <c r="L67" s="4"/>
      <c r="M67" s="4"/>
      <c r="N67" s="4"/>
      <c r="O67" s="4"/>
      <c r="T67" s="4"/>
      <c r="U67" s="4"/>
      <c r="V67" s="4"/>
      <c r="W67" s="4"/>
      <c r="Y67" s="4"/>
      <c r="Z67" s="4"/>
      <c r="AA67" s="4"/>
      <c r="AB67" s="4"/>
      <c r="AC67" s="4"/>
      <c r="AD67" s="4"/>
      <c r="AE67" s="4"/>
      <c r="AF67" s="4"/>
      <c r="AG67" s="22"/>
      <c r="AH67" s="22"/>
      <c r="AI67" s="22"/>
      <c r="AJ67" s="4"/>
      <c r="AK67" s="4"/>
      <c r="AL67" s="4"/>
      <c r="AM67" s="4"/>
      <c r="AN67" s="4"/>
      <c r="AO67" s="4"/>
    </row>
    <row r="68" spans="2:41">
      <c r="G68" s="4"/>
      <c r="H68" s="4"/>
      <c r="I68" s="4"/>
      <c r="J68" s="4"/>
      <c r="K68" s="4"/>
      <c r="L68" s="4"/>
      <c r="M68" s="4"/>
      <c r="N68" s="4"/>
      <c r="O68" s="4"/>
      <c r="T68" s="4"/>
      <c r="U68" s="4"/>
      <c r="V68" s="4"/>
      <c r="W68" s="4"/>
      <c r="Y68" s="4"/>
      <c r="Z68" s="4"/>
      <c r="AA68" s="4"/>
      <c r="AB68" s="4"/>
      <c r="AC68" s="4"/>
      <c r="AD68" s="4"/>
      <c r="AE68" s="4"/>
      <c r="AF68" s="4"/>
      <c r="AG68" s="22"/>
      <c r="AH68" s="22"/>
      <c r="AI68" s="22"/>
      <c r="AJ68" s="4"/>
      <c r="AK68" s="4"/>
      <c r="AL68" s="4"/>
      <c r="AM68" s="4"/>
      <c r="AN68" s="4"/>
      <c r="AO68" s="4"/>
    </row>
    <row r="69" spans="2:41">
      <c r="G69" s="4"/>
      <c r="H69" s="4"/>
      <c r="I69" s="4"/>
      <c r="J69" s="4"/>
      <c r="K69" s="4"/>
      <c r="L69" s="4"/>
      <c r="M69" s="4"/>
      <c r="N69" s="4"/>
      <c r="O69" s="4"/>
      <c r="T69" s="4"/>
      <c r="U69" s="4"/>
      <c r="V69" s="4"/>
      <c r="W69" s="4"/>
      <c r="Y69" s="4"/>
      <c r="Z69" s="4"/>
      <c r="AA69" s="4"/>
      <c r="AB69" s="4"/>
      <c r="AC69" s="4"/>
      <c r="AD69" s="4"/>
      <c r="AE69" s="4"/>
      <c r="AF69" s="4"/>
      <c r="AG69" s="22"/>
      <c r="AH69" s="22"/>
      <c r="AI69" s="22"/>
      <c r="AJ69" s="4"/>
      <c r="AK69" s="4"/>
      <c r="AL69" s="4"/>
      <c r="AM69" s="4"/>
      <c r="AN69" s="4"/>
      <c r="AO69" s="4"/>
    </row>
    <row r="70" spans="2:41">
      <c r="B70" s="200" t="s">
        <v>163</v>
      </c>
      <c r="C70" s="200"/>
      <c r="D70" s="200"/>
      <c r="E70" s="200"/>
      <c r="G70" s="22"/>
      <c r="H70" s="22"/>
      <c r="I70" s="22"/>
      <c r="J70" s="22"/>
      <c r="K70" s="22"/>
      <c r="T70" s="4"/>
      <c r="U70" s="4"/>
      <c r="V70" s="4"/>
      <c r="W70" s="4"/>
      <c r="Y70" s="50"/>
      <c r="Z70" s="24"/>
      <c r="AA70" s="22"/>
      <c r="AB70" s="22"/>
      <c r="AC70" s="22"/>
      <c r="AD70" s="25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2:41">
      <c r="B71" s="4"/>
      <c r="C71" s="4">
        <v>2015</v>
      </c>
      <c r="D71" s="4">
        <v>2016</v>
      </c>
      <c r="E71" s="4">
        <v>2017</v>
      </c>
      <c r="F71" s="4">
        <v>2018</v>
      </c>
      <c r="G71" s="4">
        <v>2019</v>
      </c>
      <c r="H71" s="4">
        <v>2020</v>
      </c>
      <c r="I71" s="22" t="s">
        <v>150</v>
      </c>
      <c r="J71" s="22"/>
      <c r="K71" s="22"/>
      <c r="P71" s="4"/>
      <c r="Q71" s="4"/>
      <c r="R71" s="4"/>
      <c r="S71" s="4" t="s">
        <v>164</v>
      </c>
      <c r="T71" s="4"/>
      <c r="U71" s="4"/>
      <c r="V71" s="4"/>
      <c r="W71" s="4"/>
      <c r="Y71" s="50"/>
      <c r="Z71" s="24"/>
      <c r="AA71" s="22"/>
      <c r="AB71" s="22"/>
      <c r="AC71" s="22"/>
      <c r="AD71" s="25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2:41" ht="18">
      <c r="B72" s="15" t="s">
        <v>165</v>
      </c>
      <c r="C72" s="15">
        <f>Rates!S10</f>
        <v>0</v>
      </c>
      <c r="D72" s="15">
        <f>Rates!T10</f>
        <v>0</v>
      </c>
      <c r="E72" s="15">
        <f>Rates!U10</f>
        <v>0</v>
      </c>
      <c r="F72" s="15">
        <f>Rates!V10</f>
        <v>0</v>
      </c>
      <c r="G72" s="15">
        <f>Rates!W10</f>
        <v>0</v>
      </c>
      <c r="H72" s="15">
        <f>Rates!X10</f>
        <v>0</v>
      </c>
      <c r="I72" s="24"/>
      <c r="J72" s="24"/>
      <c r="K72" s="24"/>
      <c r="P72" s="4"/>
      <c r="Q72" s="4"/>
      <c r="R72" s="4"/>
      <c r="S72" s="4"/>
      <c r="T72" s="4"/>
      <c r="U72" s="4"/>
      <c r="V72" s="4"/>
      <c r="W72" s="4"/>
      <c r="Y72" s="50"/>
      <c r="Z72" s="24"/>
      <c r="AA72" s="22"/>
      <c r="AH72" s="4"/>
      <c r="AI72" s="4"/>
      <c r="AJ72" s="4"/>
      <c r="AK72" s="4"/>
      <c r="AL72" s="4"/>
      <c r="AM72" s="4"/>
      <c r="AN72" s="4"/>
      <c r="AO72" s="4"/>
    </row>
    <row r="73" spans="2:41" ht="18">
      <c r="B73" s="15" t="s">
        <v>166</v>
      </c>
      <c r="C73" s="15">
        <f>Rates!B8</f>
        <v>-4.1239489970790848E-2</v>
      </c>
      <c r="D73" s="15">
        <f>Rates!C8</f>
        <v>1.5175068871913271E-2</v>
      </c>
      <c r="E73" s="15">
        <f>Rates!D8</f>
        <v>0.15564051598058673</v>
      </c>
      <c r="F73" s="15">
        <f>Rates!E8</f>
        <v>0.18309279515793592</v>
      </c>
      <c r="G73" s="15">
        <f>Rates!F8</f>
        <v>-5.9087723756763039E-3</v>
      </c>
      <c r="H73" s="15">
        <f>Rates!G8</f>
        <v>5.5438568373303042E-2</v>
      </c>
      <c r="I73" s="22"/>
      <c r="J73" s="22"/>
      <c r="K73" s="22"/>
      <c r="P73" s="4"/>
      <c r="Q73" s="4"/>
      <c r="R73" s="4"/>
      <c r="S73" s="4"/>
      <c r="T73" s="4"/>
      <c r="U73" s="4"/>
      <c r="V73" s="4"/>
      <c r="W73" s="4"/>
      <c r="Y73" s="50"/>
      <c r="Z73" s="24"/>
      <c r="AA73" s="4"/>
      <c r="AH73" s="4"/>
      <c r="AI73" s="4"/>
      <c r="AJ73" s="4"/>
      <c r="AK73" s="4"/>
      <c r="AL73" s="4"/>
      <c r="AM73" s="4"/>
      <c r="AN73" s="4"/>
      <c r="AO73" s="4"/>
    </row>
    <row r="74" spans="2:41">
      <c r="B74" s="15" t="s">
        <v>167</v>
      </c>
      <c r="C74" s="51">
        <f>Beta!$H$4</f>
        <v>0.88267959850771471</v>
      </c>
      <c r="D74" s="51">
        <f>Beta!$H$4</f>
        <v>0.88267959850771471</v>
      </c>
      <c r="E74" s="51">
        <f>Beta!$H$4</f>
        <v>0.88267959850771471</v>
      </c>
      <c r="F74" s="51">
        <f>Beta!$H$4</f>
        <v>0.88267959850771471</v>
      </c>
      <c r="G74" s="51">
        <f>Beta!$H$4</f>
        <v>0.88267959850771471</v>
      </c>
      <c r="H74" s="51">
        <f>Beta!$H$4</f>
        <v>0.88267959850771471</v>
      </c>
      <c r="I74" s="23"/>
      <c r="J74" s="23"/>
      <c r="K74" s="23"/>
      <c r="P74" s="4"/>
      <c r="Q74" s="4"/>
      <c r="R74" s="4"/>
      <c r="S74" s="4"/>
      <c r="T74" s="4"/>
      <c r="U74" s="4"/>
      <c r="V74" s="4"/>
      <c r="W74" s="4"/>
      <c r="Y74" s="4"/>
      <c r="Z74" s="4"/>
      <c r="AA74" s="4"/>
      <c r="AH74" s="4"/>
      <c r="AI74" s="4"/>
      <c r="AJ74" s="4"/>
      <c r="AK74" s="4"/>
      <c r="AL74" s="4"/>
      <c r="AM74" s="4"/>
      <c r="AN74" s="4"/>
      <c r="AO74" s="4"/>
    </row>
    <row r="75" spans="2:41" s="4" customFormat="1" ht="18">
      <c r="B75" s="45" t="s">
        <v>155</v>
      </c>
      <c r="C75" s="61">
        <f>C72+(C74*(C73-C72))</f>
        <v>-3.6401256450080591E-2</v>
      </c>
      <c r="D75" s="61">
        <f t="shared" ref="D75:H75" si="17">D72+(D74*(D73-D72))</f>
        <v>1.3394723699187325E-2</v>
      </c>
      <c r="E75" s="61">
        <f t="shared" si="17"/>
        <v>0.13738070815727785</v>
      </c>
      <c r="F75" s="61">
        <f t="shared" si="17"/>
        <v>0.16161227491966212</v>
      </c>
      <c r="G75" s="61">
        <f t="shared" si="17"/>
        <v>-5.215552828235436E-3</v>
      </c>
      <c r="H75" s="61">
        <f t="shared" si="17"/>
        <v>4.8934493273589619E-2</v>
      </c>
      <c r="I75" s="61">
        <f>AVERAGE(C75:H75)</f>
        <v>5.3284231795233485E-2</v>
      </c>
    </row>
    <row r="76" spans="2:41">
      <c r="B76" s="4"/>
      <c r="C76" s="4"/>
      <c r="D76" s="4"/>
      <c r="E76" s="4"/>
      <c r="F76" s="4"/>
      <c r="G76" s="4"/>
      <c r="H76" s="4"/>
      <c r="I76" s="23"/>
      <c r="J76" s="23"/>
      <c r="K76" s="23" t="s">
        <v>168</v>
      </c>
      <c r="L76" s="23"/>
      <c r="M76" s="23"/>
      <c r="N76" s="23"/>
      <c r="O76" s="4"/>
      <c r="P76" s="4"/>
      <c r="Q76" s="4"/>
      <c r="R76" s="4"/>
      <c r="S76" s="4"/>
      <c r="T76" s="4"/>
      <c r="U76" s="4"/>
      <c r="V76" s="4"/>
      <c r="W76" s="4"/>
      <c r="Y76" s="4"/>
      <c r="Z76" s="4"/>
      <c r="AA76" s="4"/>
      <c r="AH76" s="4"/>
      <c r="AI76" s="4"/>
      <c r="AJ76" s="4"/>
      <c r="AK76" s="4"/>
      <c r="AL76" s="4"/>
      <c r="AM76" s="4"/>
      <c r="AN76" s="4"/>
      <c r="AO76" s="4"/>
    </row>
    <row r="77" spans="2:41"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Y77" s="4"/>
      <c r="Z77" s="4"/>
      <c r="AA77" s="4"/>
      <c r="AH77" s="4"/>
      <c r="AI77" s="4"/>
      <c r="AJ77" s="4"/>
      <c r="AK77" s="4"/>
      <c r="AL77" s="4"/>
      <c r="AM77" s="4"/>
      <c r="AN77" s="4"/>
      <c r="AO77" s="4"/>
    </row>
    <row r="78" spans="2:41" ht="15.95" customHeight="1">
      <c r="B78" s="4"/>
      <c r="C78" s="15"/>
      <c r="D78" s="15"/>
      <c r="E78" s="15"/>
      <c r="Z78" s="4"/>
      <c r="AA78" s="4"/>
      <c r="AH78" s="4"/>
      <c r="AI78" s="4"/>
      <c r="AJ78" s="4"/>
      <c r="AK78" s="4"/>
      <c r="AL78" s="4"/>
      <c r="AM78" s="4"/>
      <c r="AN78" s="4"/>
      <c r="AO78" s="4"/>
    </row>
    <row r="79" spans="2:41" ht="15.95" customHeight="1">
      <c r="Z79" s="4"/>
      <c r="AA79" s="4"/>
      <c r="AH79" s="4"/>
      <c r="AI79" s="4"/>
      <c r="AJ79" s="4"/>
      <c r="AK79" s="4"/>
      <c r="AL79" s="4"/>
      <c r="AM79" s="4"/>
      <c r="AN79" s="4"/>
      <c r="AO79" s="4"/>
    </row>
    <row r="80" spans="2:41" ht="15.95" customHeight="1">
      <c r="Z80" s="4"/>
      <c r="AA80" s="4"/>
      <c r="AH80" s="4"/>
      <c r="AI80" s="4"/>
      <c r="AJ80" s="4"/>
      <c r="AK80" s="4"/>
      <c r="AL80" s="4"/>
      <c r="AM80" s="4"/>
      <c r="AN80" s="4"/>
      <c r="AO80" s="4"/>
    </row>
    <row r="81" spans="26:41" ht="15.95" customHeight="1"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26:41" ht="15.95" customHeight="1"/>
    <row r="83" spans="26:41" ht="15.95" customHeight="1"/>
  </sheetData>
  <mergeCells count="11">
    <mergeCell ref="L2:Q2"/>
    <mergeCell ref="AF60:AJ60"/>
    <mergeCell ref="Z60:AC60"/>
    <mergeCell ref="B2:H2"/>
    <mergeCell ref="B70:E70"/>
    <mergeCell ref="B60:E60"/>
    <mergeCell ref="B51:E51"/>
    <mergeCell ref="B27:G27"/>
    <mergeCell ref="B18:E18"/>
    <mergeCell ref="B36:E36"/>
    <mergeCell ref="B42:H42"/>
  </mergeCells>
  <pageMargins left="0.7" right="0.7" top="0.75" bottom="0.75" header="0.3" footer="0.3"/>
  <pageSetup paperSize="9" orientation="portrait" horizontalDpi="0" verticalDpi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086E7-E6A1-2048-86C4-C5692523A61E}">
  <dimension ref="B3:AI80"/>
  <sheetViews>
    <sheetView zoomScale="110" zoomScaleNormal="110" workbookViewId="0">
      <selection activeCell="AJ22" sqref="AJ22"/>
    </sheetView>
  </sheetViews>
  <sheetFormatPr defaultColWidth="10.875" defaultRowHeight="15.95"/>
  <cols>
    <col min="1" max="1" width="10.875" style="47"/>
    <col min="2" max="2" width="28.375" style="47" customWidth="1"/>
    <col min="3" max="3" width="13.375" style="47" bestFit="1" customWidth="1"/>
    <col min="4" max="9" width="11.625" style="47" bestFit="1" customWidth="1"/>
    <col min="10" max="11" width="10.875" style="47"/>
    <col min="12" max="12" width="4.625" style="47" hidden="1" customWidth="1"/>
    <col min="13" max="13" width="28.5" style="47" customWidth="1"/>
    <col min="14" max="14" width="14.5" style="47" bestFit="1" customWidth="1"/>
    <col min="15" max="17" width="11.625" style="47" bestFit="1" customWidth="1"/>
    <col min="18" max="18" width="13.125" style="47" bestFit="1" customWidth="1"/>
    <col min="19" max="20" width="11.625" style="47" bestFit="1" customWidth="1"/>
    <col min="21" max="21" width="10.875" style="47"/>
    <col min="22" max="23" width="0" style="47" hidden="1" customWidth="1"/>
    <col min="24" max="28" width="10.875" style="47"/>
    <col min="29" max="35" width="0" style="47" hidden="1" customWidth="1"/>
    <col min="36" max="16384" width="10.875" style="47"/>
  </cols>
  <sheetData>
    <row r="3" spans="2:23">
      <c r="B3" s="203" t="s">
        <v>169</v>
      </c>
      <c r="C3" s="203"/>
      <c r="D3" s="203"/>
      <c r="E3" s="203"/>
      <c r="F3" s="203"/>
      <c r="G3" s="203"/>
      <c r="H3" s="203"/>
      <c r="I3" s="203"/>
    </row>
    <row r="4" spans="2:23">
      <c r="B4" s="49"/>
      <c r="C4" s="157" t="s">
        <v>170</v>
      </c>
      <c r="D4" s="200" t="s">
        <v>171</v>
      </c>
      <c r="E4" s="200"/>
      <c r="F4" s="200"/>
      <c r="G4" s="200"/>
      <c r="H4" s="200"/>
      <c r="I4" s="200"/>
    </row>
    <row r="5" spans="2:23" ht="20.100000000000001" customHeight="1" thickBot="1">
      <c r="B5" s="57"/>
      <c r="C5" s="34">
        <v>2020</v>
      </c>
      <c r="D5" s="34">
        <v>2021</v>
      </c>
      <c r="E5" s="34">
        <v>2022</v>
      </c>
      <c r="F5" s="34">
        <v>2023</v>
      </c>
      <c r="G5" s="34">
        <v>2024</v>
      </c>
      <c r="H5" s="34">
        <v>2025</v>
      </c>
      <c r="I5" s="34">
        <v>2026</v>
      </c>
    </row>
    <row r="6" spans="2:23">
      <c r="B6" s="62" t="s">
        <v>172</v>
      </c>
      <c r="C6" s="152">
        <f>'Income statement'!G8</f>
        <v>3108795</v>
      </c>
      <c r="D6" s="152">
        <f>C6*(1+D7)</f>
        <v>3155426.9249999998</v>
      </c>
      <c r="E6" s="152">
        <f t="shared" ref="E6:I6" si="0">D6*(1+E7)</f>
        <v>3202758.3288749997</v>
      </c>
      <c r="F6" s="152">
        <f t="shared" si="0"/>
        <v>3250799.7038081242</v>
      </c>
      <c r="G6" s="152">
        <f t="shared" si="0"/>
        <v>3299561.6993652456</v>
      </c>
      <c r="H6" s="152">
        <f t="shared" si="0"/>
        <v>3349055.1248557242</v>
      </c>
      <c r="I6" s="152">
        <f t="shared" si="0"/>
        <v>3399290.9517285596</v>
      </c>
    </row>
    <row r="7" spans="2:23">
      <c r="B7" s="69" t="s">
        <v>173</v>
      </c>
      <c r="C7" s="161">
        <f>LN('Income statement'!G8/'Income statement'!F8)</f>
        <v>-0.18652708859613623</v>
      </c>
      <c r="D7" s="67">
        <v>1.4999999999999999E-2</v>
      </c>
      <c r="E7" s="67">
        <v>1.4999999999999999E-2</v>
      </c>
      <c r="F7" s="67">
        <v>1.4999999999999999E-2</v>
      </c>
      <c r="G7" s="67">
        <v>1.4999999999999999E-2</v>
      </c>
      <c r="H7" s="67">
        <v>1.4999999999999999E-2</v>
      </c>
      <c r="I7" s="67">
        <v>1.4999999999999999E-2</v>
      </c>
      <c r="U7" s="69"/>
    </row>
    <row r="8" spans="2:23">
      <c r="B8" s="63" t="s">
        <v>1</v>
      </c>
      <c r="C8" s="152">
        <f>'Income statement'!G14</f>
        <v>1122904</v>
      </c>
      <c r="D8" s="152">
        <f>C8*(1+D9)</f>
        <v>1139747.5599999998</v>
      </c>
      <c r="E8" s="152">
        <f>D8*(1+E9)</f>
        <v>1156843.7733999996</v>
      </c>
      <c r="F8" s="152">
        <f t="shared" ref="F8" si="1">E8*(1+F9)</f>
        <v>1174196.4300009995</v>
      </c>
      <c r="G8" s="152">
        <f t="shared" ref="G8" si="2">F8*(1+G9)</f>
        <v>1191809.3764510143</v>
      </c>
      <c r="H8" s="152">
        <f t="shared" ref="H8" si="3">G8*(1+H9)</f>
        <v>1209686.5170977793</v>
      </c>
      <c r="I8" s="152">
        <f t="shared" ref="I8" si="4">H8*(1+I9)</f>
        <v>1227831.8148542459</v>
      </c>
      <c r="U8" s="69"/>
    </row>
    <row r="9" spans="2:23">
      <c r="B9" s="70" t="s">
        <v>174</v>
      </c>
      <c r="C9" s="161">
        <f>LN('Income statement'!G14/'Income statement'!F14)</f>
        <v>-0.75977219266112495</v>
      </c>
      <c r="D9" s="67">
        <v>1.4999999999999999E-2</v>
      </c>
      <c r="E9" s="67">
        <v>1.4999999999999999E-2</v>
      </c>
      <c r="F9" s="67">
        <v>1.4999999999999999E-2</v>
      </c>
      <c r="G9" s="67">
        <v>1.4999999999999999E-2</v>
      </c>
      <c r="H9" s="67">
        <v>1.4999999999999999E-2</v>
      </c>
      <c r="I9" s="67">
        <v>1.4999999999999999E-2</v>
      </c>
      <c r="U9" s="69"/>
    </row>
    <row r="10" spans="2:23">
      <c r="B10" s="63" t="s">
        <v>175</v>
      </c>
      <c r="C10" s="158">
        <f>'Income statement'!G18</f>
        <v>986884</v>
      </c>
      <c r="D10" s="152">
        <f>C10*(1+D11)</f>
        <v>1001687.2599999999</v>
      </c>
      <c r="E10" s="152">
        <f t="shared" ref="E10" si="5">D10*(1+E11)</f>
        <v>1016712.5688999998</v>
      </c>
      <c r="F10" s="152">
        <f t="shared" ref="F10" si="6">E10*(1+F11)</f>
        <v>1031963.2574334998</v>
      </c>
      <c r="G10" s="152">
        <f t="shared" ref="G10" si="7">F10*(1+G11)</f>
        <v>1047442.7062950021</v>
      </c>
      <c r="H10" s="152">
        <f t="shared" ref="H10" si="8">G10*(1+H11)</f>
        <v>1063154.3468894272</v>
      </c>
      <c r="I10" s="152">
        <f t="shared" ref="I10" si="9">H10*(1+I11)</f>
        <v>1079101.6620927684</v>
      </c>
      <c r="U10" s="69"/>
      <c r="V10" s="47" t="s">
        <v>176</v>
      </c>
      <c r="W10" s="75">
        <v>2.9000000000000001E-2</v>
      </c>
    </row>
    <row r="11" spans="2:23">
      <c r="B11" s="70" t="s">
        <v>177</v>
      </c>
      <c r="C11" s="161">
        <f>LN(SUM('Income statement'!G14:G18)/SUM('Income statement'!F14:F19))</f>
        <v>-0.76349059803475738</v>
      </c>
      <c r="D11" s="67">
        <v>1.4999999999999999E-2</v>
      </c>
      <c r="E11" s="67">
        <v>1.4999999999999999E-2</v>
      </c>
      <c r="F11" s="67">
        <v>1.4999999999999999E-2</v>
      </c>
      <c r="G11" s="67">
        <v>1.4999999999999999E-2</v>
      </c>
      <c r="H11" s="67">
        <v>1.4999999999999999E-2</v>
      </c>
      <c r="I11" s="67">
        <v>1.4999999999999999E-2</v>
      </c>
      <c r="U11" s="69"/>
      <c r="V11" s="47" t="s">
        <v>178</v>
      </c>
      <c r="W11" s="75">
        <v>2.5000000000000001E-2</v>
      </c>
    </row>
    <row r="12" spans="2:23">
      <c r="B12" s="64" t="s">
        <v>179</v>
      </c>
      <c r="C12" s="159">
        <f>'Income statement'!G20</f>
        <v>790209</v>
      </c>
      <c r="D12" s="159">
        <f>D10-(D10*D14)</f>
        <v>809378.47268447292</v>
      </c>
      <c r="E12" s="159">
        <f t="shared" ref="E12:I12" si="10">E10-(E10*E14)</f>
        <v>821519.14977473998</v>
      </c>
      <c r="F12" s="159">
        <f t="shared" si="10"/>
        <v>833841.93702136108</v>
      </c>
      <c r="G12" s="159">
        <f t="shared" si="10"/>
        <v>846349.56607668137</v>
      </c>
      <c r="H12" s="159">
        <f t="shared" si="10"/>
        <v>859044.80956783157</v>
      </c>
      <c r="I12" s="159">
        <f t="shared" si="10"/>
        <v>871930.48171134887</v>
      </c>
      <c r="U12" s="69"/>
      <c r="V12" s="47" t="s">
        <v>180</v>
      </c>
      <c r="W12" s="75">
        <v>3.5000000000000003E-2</v>
      </c>
    </row>
    <row r="13" spans="2:23">
      <c r="B13" s="70" t="s">
        <v>181</v>
      </c>
      <c r="C13" s="67">
        <f>LN('Income statement'!G20/'Income statement'!F20)</f>
        <v>-0.86125666048094374</v>
      </c>
      <c r="D13" s="67">
        <v>0</v>
      </c>
      <c r="E13" s="67">
        <v>0.01</v>
      </c>
      <c r="F13" s="67">
        <v>0.01</v>
      </c>
      <c r="G13" s="67">
        <v>1.4999999999999999E-2</v>
      </c>
      <c r="H13" s="67">
        <v>1.4999999999999999E-2</v>
      </c>
      <c r="I13" s="67">
        <v>0.02</v>
      </c>
      <c r="L13" s="74"/>
      <c r="U13" s="69"/>
    </row>
    <row r="14" spans="2:23">
      <c r="B14" s="70" t="s">
        <v>35</v>
      </c>
      <c r="C14" s="67">
        <f>'Income statement'!G26</f>
        <v>0.1995918466608031</v>
      </c>
      <c r="D14" s="67">
        <f>AVERAGE('Income statement'!B26:G26)</f>
        <v>0.19198485894242778</v>
      </c>
      <c r="E14" s="67">
        <f>D14</f>
        <v>0.19198485894242778</v>
      </c>
      <c r="F14" s="67">
        <f t="shared" ref="F14:I14" si="11">E14</f>
        <v>0.19198485894242778</v>
      </c>
      <c r="G14" s="67">
        <f t="shared" si="11"/>
        <v>0.19198485894242778</v>
      </c>
      <c r="H14" s="67">
        <f t="shared" si="11"/>
        <v>0.19198485894242778</v>
      </c>
      <c r="I14" s="67">
        <f t="shared" si="11"/>
        <v>0.19198485894242778</v>
      </c>
      <c r="L14" s="71">
        <f>77%</f>
        <v>0.77</v>
      </c>
      <c r="U14" s="69"/>
    </row>
    <row r="15" spans="2:23">
      <c r="B15" s="65"/>
      <c r="C15" s="65"/>
      <c r="D15" s="65"/>
      <c r="E15" s="65"/>
      <c r="F15" s="65"/>
      <c r="G15" s="66"/>
      <c r="H15" s="66"/>
      <c r="I15" s="66"/>
      <c r="U15" s="69"/>
    </row>
    <row r="16" spans="2:23">
      <c r="B16" s="203" t="s">
        <v>182</v>
      </c>
      <c r="C16" s="203"/>
      <c r="D16" s="203"/>
      <c r="E16" s="203"/>
      <c r="F16" s="203"/>
      <c r="G16" s="203"/>
      <c r="H16" s="49"/>
      <c r="I16" s="49"/>
      <c r="U16" s="69"/>
    </row>
    <row r="17" spans="2:35" ht="17.100000000000001" thickBot="1">
      <c r="B17" s="77"/>
      <c r="C17" s="34">
        <v>2020</v>
      </c>
      <c r="D17" s="34">
        <v>2021</v>
      </c>
      <c r="E17" s="34">
        <v>2022</v>
      </c>
      <c r="F17" s="34">
        <v>2023</v>
      </c>
      <c r="G17" s="34">
        <v>2024</v>
      </c>
      <c r="H17" s="34">
        <v>2025</v>
      </c>
      <c r="I17" s="34">
        <v>2026</v>
      </c>
      <c r="U17" s="69"/>
    </row>
    <row r="18" spans="2:35">
      <c r="B18" s="29" t="s">
        <v>183</v>
      </c>
      <c r="C18" s="29">
        <f>C12</f>
        <v>790209</v>
      </c>
      <c r="D18" s="29">
        <f t="shared" ref="D18:I18" si="12">D12</f>
        <v>809378.47268447292</v>
      </c>
      <c r="E18" s="29">
        <f t="shared" si="12"/>
        <v>821519.14977473998</v>
      </c>
      <c r="F18" s="29">
        <f t="shared" si="12"/>
        <v>833841.93702136108</v>
      </c>
      <c r="G18" s="29">
        <f t="shared" si="12"/>
        <v>846349.56607668137</v>
      </c>
      <c r="H18" s="29">
        <f t="shared" si="12"/>
        <v>859044.80956783157</v>
      </c>
      <c r="I18" s="29">
        <f t="shared" si="12"/>
        <v>871930.48171134887</v>
      </c>
      <c r="U18" s="69"/>
    </row>
    <row r="19" spans="2:35">
      <c r="B19" s="7" t="s">
        <v>184</v>
      </c>
      <c r="C19" s="15">
        <f>C13</f>
        <v>-0.86125666048094374</v>
      </c>
      <c r="D19" s="67">
        <v>1.4999999999999999E-2</v>
      </c>
      <c r="E19" s="67">
        <v>1.4999999999999999E-2</v>
      </c>
      <c r="F19" s="67">
        <v>1.4999999999999999E-2</v>
      </c>
      <c r="G19" s="67">
        <v>1.4999999999999999E-2</v>
      </c>
      <c r="H19" s="67">
        <v>1.4999999999999999E-2</v>
      </c>
      <c r="I19" s="67">
        <v>1.4999999999999999E-2</v>
      </c>
      <c r="M19" s="69"/>
      <c r="N19" s="69"/>
      <c r="O19" s="69"/>
      <c r="P19" s="69"/>
      <c r="Q19" s="69"/>
      <c r="R19" s="69"/>
      <c r="S19" s="69"/>
      <c r="T19" s="69"/>
      <c r="U19" s="69"/>
    </row>
    <row r="20" spans="2:35">
      <c r="B20" s="29" t="s">
        <v>5</v>
      </c>
      <c r="C20" s="29">
        <f>'Income statement'!P4</f>
        <v>925930</v>
      </c>
      <c r="D20" s="29">
        <f>C20*(1+D21)</f>
        <v>939818.95</v>
      </c>
      <c r="E20" s="29">
        <f t="shared" ref="E20:I20" si="13">D20*(1+E21)</f>
        <v>953916.23424999986</v>
      </c>
      <c r="F20" s="29">
        <f t="shared" si="13"/>
        <v>968224.97776374978</v>
      </c>
      <c r="G20" s="29">
        <f t="shared" si="13"/>
        <v>982748.35243020591</v>
      </c>
      <c r="H20" s="29">
        <f t="shared" si="13"/>
        <v>997489.57771665894</v>
      </c>
      <c r="I20" s="29">
        <f t="shared" si="13"/>
        <v>1012451.9213824087</v>
      </c>
      <c r="M20" s="69"/>
      <c r="N20" s="69"/>
      <c r="O20" s="69"/>
      <c r="P20" s="69"/>
      <c r="Q20" s="69"/>
      <c r="R20" s="69"/>
      <c r="S20" s="69"/>
      <c r="T20" s="69"/>
      <c r="U20" s="69"/>
      <c r="AC20" s="74">
        <v>0.03</v>
      </c>
      <c r="AD20" s="74">
        <v>0.03</v>
      </c>
      <c r="AE20" s="74">
        <v>0.03</v>
      </c>
      <c r="AF20" s="74">
        <v>0.03</v>
      </c>
      <c r="AG20" s="74">
        <v>0.03</v>
      </c>
      <c r="AH20" s="74">
        <v>0.03</v>
      </c>
      <c r="AI20" s="74">
        <v>0.03</v>
      </c>
    </row>
    <row r="21" spans="2:35">
      <c r="B21" s="7" t="s">
        <v>185</v>
      </c>
      <c r="C21" s="15">
        <f>LN('Income statement'!P4/'Income statement'!O4)</f>
        <v>-0.72132788243514723</v>
      </c>
      <c r="D21" s="67">
        <v>1.4999999999999999E-2</v>
      </c>
      <c r="E21" s="67">
        <v>1.4999999999999999E-2</v>
      </c>
      <c r="F21" s="67">
        <v>1.4999999999999999E-2</v>
      </c>
      <c r="G21" s="67">
        <v>1.4999999999999999E-2</v>
      </c>
      <c r="H21" s="67">
        <v>1.4999999999999999E-2</v>
      </c>
      <c r="I21" s="67">
        <v>1.4999999999999999E-2</v>
      </c>
      <c r="M21" s="69"/>
    </row>
    <row r="22" spans="2:35">
      <c r="B22" s="48" t="s">
        <v>21</v>
      </c>
      <c r="C22" s="83">
        <f>'Income statement'!P14</f>
        <v>1763094</v>
      </c>
      <c r="D22" s="29">
        <f>C22*(1+D23)</f>
        <v>1763094</v>
      </c>
      <c r="E22" s="29">
        <f t="shared" ref="E22" si="14">D22*(1+E23)</f>
        <v>1780724.94</v>
      </c>
      <c r="F22" s="29">
        <f t="shared" ref="F22" si="15">E22*(1+F23)</f>
        <v>1798532.1894</v>
      </c>
      <c r="G22" s="29">
        <f t="shared" ref="G22" si="16">F22*(1+G23)</f>
        <v>1825510.1722409998</v>
      </c>
      <c r="H22" s="29">
        <f t="shared" ref="H22" si="17">G22*(1+H23)</f>
        <v>1852892.8248246147</v>
      </c>
      <c r="I22" s="29">
        <f t="shared" ref="I22" si="18">H22*(1+I23)</f>
        <v>1889950.6813211071</v>
      </c>
      <c r="M22" s="69"/>
    </row>
    <row r="23" spans="2:35">
      <c r="C23" s="14">
        <f>LN('Income statement'!P14/'Income statement'!O14)</f>
        <v>0.26084440074669457</v>
      </c>
      <c r="D23" s="67">
        <v>0</v>
      </c>
      <c r="E23" s="67">
        <v>0.01</v>
      </c>
      <c r="F23" s="67">
        <v>0.01</v>
      </c>
      <c r="G23" s="67">
        <v>1.4999999999999999E-2</v>
      </c>
      <c r="H23" s="67">
        <v>1.4999999999999999E-2</v>
      </c>
      <c r="I23" s="67">
        <v>0.02</v>
      </c>
      <c r="M23" s="69"/>
    </row>
    <row r="24" spans="2:35">
      <c r="M24" s="69"/>
    </row>
    <row r="25" spans="2:35">
      <c r="M25" s="69"/>
    </row>
    <row r="26" spans="2:35">
      <c r="M26" s="69"/>
    </row>
    <row r="27" spans="2:35" s="76" customFormat="1">
      <c r="B27" s="203" t="s">
        <v>186</v>
      </c>
      <c r="C27" s="203"/>
      <c r="D27" s="203"/>
      <c r="E27" s="203"/>
      <c r="F27" s="203"/>
      <c r="G27" s="203"/>
      <c r="H27" s="203"/>
      <c r="I27" s="203"/>
      <c r="J27" s="69"/>
      <c r="K27" s="69"/>
      <c r="L27" s="69"/>
      <c r="M27" s="70"/>
    </row>
    <row r="28" spans="2:35" ht="17.100000000000001" thickBot="1">
      <c r="B28" s="11"/>
      <c r="C28" s="34">
        <v>2020</v>
      </c>
      <c r="D28" s="34">
        <v>2021</v>
      </c>
      <c r="E28" s="34">
        <v>2022</v>
      </c>
      <c r="F28" s="34">
        <v>2023</v>
      </c>
      <c r="G28" s="34">
        <v>2024</v>
      </c>
      <c r="H28" s="34">
        <v>2025</v>
      </c>
      <c r="I28" s="34">
        <v>2026</v>
      </c>
      <c r="J28" s="12"/>
      <c r="K28" s="70"/>
      <c r="L28" s="70"/>
      <c r="M28" s="69"/>
    </row>
    <row r="29" spans="2:35">
      <c r="B29" s="29" t="s">
        <v>45</v>
      </c>
      <c r="C29" s="29">
        <f>'Balance sheet'!AI11</f>
        <v>16381804</v>
      </c>
      <c r="D29" s="152">
        <f>C29*(1+D30)</f>
        <v>16627531.059999999</v>
      </c>
      <c r="E29" s="152">
        <f t="shared" ref="E29" si="19">D29*(1+E30)</f>
        <v>16876944.025899999</v>
      </c>
      <c r="F29" s="152">
        <f t="shared" ref="F29" si="20">E29*(1+F30)</f>
        <v>17130098.186288498</v>
      </c>
      <c r="G29" s="152">
        <f t="shared" ref="G29" si="21">F29*(1+G30)</f>
        <v>17387049.659082823</v>
      </c>
      <c r="H29" s="152">
        <f t="shared" ref="H29" si="22">G29*(1+H30)</f>
        <v>17647855.403969064</v>
      </c>
      <c r="I29" s="152">
        <f t="shared" ref="I29" si="23">H29*(1+I30)</f>
        <v>17912573.235028598</v>
      </c>
      <c r="J29" s="58"/>
      <c r="K29" s="70"/>
      <c r="L29" s="70"/>
      <c r="M29" s="69"/>
    </row>
    <row r="30" spans="2:35">
      <c r="B30" s="7" t="s">
        <v>187</v>
      </c>
      <c r="C30" s="55"/>
      <c r="D30" s="184">
        <v>1.4999999999999999E-2</v>
      </c>
      <c r="E30" s="184">
        <v>1.4999999999999999E-2</v>
      </c>
      <c r="F30" s="184">
        <v>1.4999999999999999E-2</v>
      </c>
      <c r="G30" s="184">
        <v>1.4999999999999999E-2</v>
      </c>
      <c r="H30" s="184">
        <v>1.4999999999999999E-2</v>
      </c>
      <c r="I30" s="184">
        <v>1.4999999999999999E-2</v>
      </c>
      <c r="J30" s="70"/>
      <c r="K30" s="6"/>
      <c r="L30" s="70"/>
      <c r="M30" s="70"/>
      <c r="N30" s="70"/>
      <c r="O30" s="70"/>
      <c r="P30" s="70"/>
    </row>
    <row r="31" spans="2:35">
      <c r="B31" s="29" t="s">
        <v>47</v>
      </c>
      <c r="C31" s="29">
        <f>'Balance sheet'!AI22</f>
        <v>4215056</v>
      </c>
      <c r="D31" s="152">
        <f>C31*(1+D32)</f>
        <v>4278281.84</v>
      </c>
      <c r="E31" s="152">
        <f t="shared" ref="E31" si="24">D31*(1+E32)</f>
        <v>4342456.0675999997</v>
      </c>
      <c r="F31" s="152">
        <f t="shared" ref="F31" si="25">E31*(1+F32)</f>
        <v>4407592.9086139994</v>
      </c>
      <c r="G31" s="152">
        <f t="shared" ref="G31" si="26">F31*(1+G32)</f>
        <v>4473706.8022432085</v>
      </c>
      <c r="H31" s="152">
        <f t="shared" ref="H31" si="27">G31*(1+H32)</f>
        <v>4540812.4042768562</v>
      </c>
      <c r="I31" s="152">
        <f t="shared" ref="I31" si="28">H31*(1+I32)</f>
        <v>4608924.5903410083</v>
      </c>
      <c r="M31" s="70"/>
      <c r="N31" s="70"/>
      <c r="O31" s="70"/>
      <c r="P31" s="70"/>
    </row>
    <row r="32" spans="2:35">
      <c r="B32" s="7" t="s">
        <v>188</v>
      </c>
      <c r="C32" s="55"/>
      <c r="D32" s="184">
        <v>1.4999999999999999E-2</v>
      </c>
      <c r="E32" s="184">
        <v>1.4999999999999999E-2</v>
      </c>
      <c r="F32" s="184">
        <v>1.4999999999999999E-2</v>
      </c>
      <c r="G32" s="184">
        <v>1.4999999999999999E-2</v>
      </c>
      <c r="H32" s="184">
        <v>1.4999999999999999E-2</v>
      </c>
      <c r="I32" s="184">
        <v>1.4999999999999999E-2</v>
      </c>
      <c r="M32" s="70"/>
      <c r="N32" s="70"/>
      <c r="O32" s="70"/>
      <c r="P32" s="70"/>
    </row>
    <row r="33" spans="2:11">
      <c r="B33" s="72" t="s">
        <v>49</v>
      </c>
      <c r="C33" s="73">
        <f t="shared" ref="C33:I33" si="29">C29+C31</f>
        <v>20596860</v>
      </c>
      <c r="D33" s="73">
        <f t="shared" si="29"/>
        <v>20905812.899999999</v>
      </c>
      <c r="E33" s="73">
        <f t="shared" si="29"/>
        <v>21219400.093499999</v>
      </c>
      <c r="F33" s="73">
        <f t="shared" si="29"/>
        <v>21537691.094902497</v>
      </c>
      <c r="G33" s="73">
        <f t="shared" si="29"/>
        <v>21860756.461326033</v>
      </c>
      <c r="H33" s="73">
        <f t="shared" si="29"/>
        <v>22188667.80824592</v>
      </c>
      <c r="I33" s="73">
        <f t="shared" si="29"/>
        <v>22521497.825369608</v>
      </c>
      <c r="K33" s="69"/>
    </row>
    <row r="34" spans="2:11">
      <c r="B34" s="32"/>
      <c r="C34" s="55"/>
      <c r="D34" s="67"/>
      <c r="E34" s="67"/>
      <c r="F34" s="67"/>
      <c r="G34" s="67"/>
      <c r="H34" s="67"/>
      <c r="I34" s="67"/>
      <c r="K34" s="69"/>
    </row>
    <row r="35" spans="2:11">
      <c r="B35" s="7"/>
      <c r="C35" s="32"/>
      <c r="D35" s="32"/>
      <c r="E35" s="32"/>
      <c r="F35" s="32"/>
      <c r="G35" s="7"/>
      <c r="H35" s="7"/>
      <c r="I35" s="7"/>
      <c r="K35" s="69"/>
    </row>
    <row r="36" spans="2:11">
      <c r="B36" s="29" t="s">
        <v>54</v>
      </c>
      <c r="C36" s="29">
        <f>'Balance sheet'!AI32</f>
        <v>17632769</v>
      </c>
      <c r="D36" s="152">
        <f>C36*(1+D37)</f>
        <v>17632769</v>
      </c>
      <c r="E36" s="152">
        <f t="shared" ref="E36" si="30">D36*(1+E37)</f>
        <v>17809096.690000001</v>
      </c>
      <c r="F36" s="152">
        <f t="shared" ref="F36" si="31">E36*(1+F37)</f>
        <v>17987187.6569</v>
      </c>
      <c r="G36" s="152">
        <f t="shared" ref="G36" si="32">F36*(1+G37)</f>
        <v>18256995.471753497</v>
      </c>
      <c r="H36" s="152">
        <f t="shared" ref="H36" si="33">G36*(1+H37)</f>
        <v>18530850.403829798</v>
      </c>
      <c r="I36" s="152">
        <f t="shared" ref="I36" si="34">H36*(1+I37)</f>
        <v>18901467.411906395</v>
      </c>
      <c r="K36" s="69"/>
    </row>
    <row r="37" spans="2:11">
      <c r="B37" s="7" t="s">
        <v>189</v>
      </c>
      <c r="C37" s="55"/>
      <c r="D37" s="67">
        <v>0</v>
      </c>
      <c r="E37" s="67">
        <v>0.01</v>
      </c>
      <c r="F37" s="67">
        <v>0.01</v>
      </c>
      <c r="G37" s="67">
        <v>1.4999999999999999E-2</v>
      </c>
      <c r="H37" s="67">
        <v>1.4999999999999999E-2</v>
      </c>
      <c r="I37" s="67">
        <v>0.02</v>
      </c>
      <c r="K37" s="69"/>
    </row>
    <row r="38" spans="2:11">
      <c r="B38" s="29" t="s">
        <v>56</v>
      </c>
      <c r="C38" s="29">
        <f>'Balance sheet'!AI38</f>
        <v>2964091</v>
      </c>
      <c r="D38" s="152">
        <f>C38*(1+D39)</f>
        <v>2964091</v>
      </c>
      <c r="E38" s="152">
        <f t="shared" ref="E38" si="35">D38*(1+E39)</f>
        <v>2993731.91</v>
      </c>
      <c r="F38" s="152">
        <f t="shared" ref="F38" si="36">E38*(1+F39)</f>
        <v>3023669.2291000001</v>
      </c>
      <c r="G38" s="152">
        <f t="shared" ref="G38" si="37">F38*(1+G39)</f>
        <v>3069024.2675365</v>
      </c>
      <c r="H38" s="152">
        <f t="shared" ref="H38" si="38">G38*(1+H39)</f>
        <v>3115059.6315495474</v>
      </c>
      <c r="I38" s="152">
        <f t="shared" ref="I38" si="39">H38*(1+I39)</f>
        <v>3177360.8241805383</v>
      </c>
      <c r="K38" s="69"/>
    </row>
    <row r="39" spans="2:11">
      <c r="B39" s="7" t="s">
        <v>56</v>
      </c>
      <c r="C39" s="55"/>
      <c r="D39" s="67">
        <v>0</v>
      </c>
      <c r="E39" s="67">
        <v>0.01</v>
      </c>
      <c r="F39" s="67">
        <v>0.01</v>
      </c>
      <c r="G39" s="67">
        <v>1.4999999999999999E-2</v>
      </c>
      <c r="H39" s="67">
        <v>1.4999999999999999E-2</v>
      </c>
      <c r="I39" s="67">
        <v>0.02</v>
      </c>
      <c r="K39" s="69"/>
    </row>
    <row r="40" spans="2:11">
      <c r="B40" s="73" t="s">
        <v>58</v>
      </c>
      <c r="C40" s="73">
        <f>C38+C36</f>
        <v>20596860</v>
      </c>
      <c r="D40" s="73">
        <f t="shared" ref="D40:I40" si="40">D38+D36</f>
        <v>20596860</v>
      </c>
      <c r="E40" s="73">
        <f t="shared" si="40"/>
        <v>20802828.600000001</v>
      </c>
      <c r="F40" s="73">
        <f t="shared" si="40"/>
        <v>21010856.886</v>
      </c>
      <c r="G40" s="73">
        <f t="shared" si="40"/>
        <v>21326019.739289995</v>
      </c>
      <c r="H40" s="73">
        <f t="shared" si="40"/>
        <v>21645910.035379346</v>
      </c>
      <c r="I40" s="73">
        <f t="shared" si="40"/>
        <v>22078828.236086935</v>
      </c>
      <c r="K40" s="69"/>
    </row>
    <row r="41" spans="2:11">
      <c r="B41" s="69" t="s">
        <v>190</v>
      </c>
      <c r="C41" s="55"/>
      <c r="D41" s="67">
        <v>0</v>
      </c>
      <c r="E41" s="67">
        <v>0.01</v>
      </c>
      <c r="F41" s="67">
        <v>0.01</v>
      </c>
      <c r="G41" s="67">
        <v>1.4999999999999999E-2</v>
      </c>
      <c r="H41" s="67">
        <v>1.4999999999999999E-2</v>
      </c>
      <c r="I41" s="67">
        <v>0.02</v>
      </c>
      <c r="K41" s="69"/>
    </row>
    <row r="42" spans="2:11">
      <c r="K42" s="69"/>
    </row>
    <row r="43" spans="2:11">
      <c r="K43" s="69"/>
    </row>
    <row r="44" spans="2:11">
      <c r="K44" s="69"/>
    </row>
    <row r="45" spans="2:11">
      <c r="K45" s="69"/>
    </row>
    <row r="46" spans="2:11">
      <c r="K46" s="69"/>
    </row>
    <row r="47" spans="2:11">
      <c r="K47" s="69"/>
    </row>
    <row r="51" spans="11:24">
      <c r="M51" s="6"/>
      <c r="N51" s="6"/>
      <c r="O51" s="70"/>
      <c r="P51" s="6"/>
      <c r="Q51" s="70"/>
      <c r="R51" s="6"/>
      <c r="S51" s="58"/>
      <c r="T51" s="70"/>
    </row>
    <row r="52" spans="11:24">
      <c r="M52" s="6"/>
      <c r="N52" s="9"/>
      <c r="O52" s="9"/>
      <c r="P52" s="9"/>
      <c r="Q52" s="9"/>
      <c r="R52" s="9"/>
      <c r="S52" s="70"/>
      <c r="T52" s="70"/>
    </row>
    <row r="53" spans="11:24">
      <c r="K53" s="69"/>
      <c r="M53" s="6"/>
      <c r="N53" s="12"/>
      <c r="O53" s="12"/>
      <c r="P53" s="12"/>
      <c r="Q53" s="12"/>
      <c r="R53" s="12"/>
      <c r="S53" s="6"/>
      <c r="T53" s="70"/>
      <c r="U53" s="70"/>
      <c r="V53" s="70"/>
      <c r="W53" s="70"/>
      <c r="X53" s="70"/>
    </row>
    <row r="54" spans="11:24">
      <c r="K54" s="69"/>
      <c r="M54" s="6"/>
      <c r="N54" s="55"/>
      <c r="O54" s="55"/>
      <c r="P54" s="55"/>
      <c r="Q54" s="55"/>
      <c r="R54" s="55"/>
      <c r="S54" s="9"/>
      <c r="T54" s="70"/>
      <c r="U54" s="70"/>
      <c r="V54" s="70"/>
      <c r="W54" s="70"/>
      <c r="X54" s="70"/>
    </row>
    <row r="55" spans="11:24">
      <c r="K55" s="69"/>
      <c r="M55" s="70"/>
      <c r="N55" s="70"/>
      <c r="O55" s="70"/>
      <c r="P55" s="70"/>
      <c r="Q55" s="70"/>
      <c r="R55" s="70"/>
      <c r="S55" s="12"/>
      <c r="T55" s="70"/>
      <c r="U55" s="70"/>
      <c r="V55" s="70"/>
      <c r="W55" s="70"/>
      <c r="X55" s="70"/>
    </row>
    <row r="56" spans="11:24">
      <c r="K56" s="69"/>
      <c r="S56" s="55"/>
      <c r="U56" s="70"/>
      <c r="V56" s="70"/>
      <c r="W56" s="70"/>
      <c r="X56" s="70"/>
    </row>
    <row r="57" spans="11:24">
      <c r="K57" s="69"/>
      <c r="U57" s="70"/>
      <c r="V57" s="70"/>
      <c r="W57" s="70"/>
      <c r="X57" s="70"/>
    </row>
    <row r="58" spans="11:24">
      <c r="K58" s="69"/>
      <c r="U58" s="69"/>
    </row>
    <row r="59" spans="11:24">
      <c r="U59" s="69"/>
    </row>
    <row r="60" spans="11:24">
      <c r="U60" s="69"/>
    </row>
    <row r="61" spans="11:24">
      <c r="U61" s="69"/>
    </row>
    <row r="62" spans="11:24">
      <c r="U62" s="69"/>
    </row>
    <row r="63" spans="11:24">
      <c r="U63" s="69"/>
    </row>
    <row r="64" spans="11:24">
      <c r="U64" s="69"/>
    </row>
    <row r="65" spans="21:21">
      <c r="U65" s="69"/>
    </row>
    <row r="66" spans="21:21">
      <c r="U66" s="69"/>
    </row>
    <row r="67" spans="21:21">
      <c r="U67" s="69"/>
    </row>
    <row r="68" spans="21:21">
      <c r="U68" s="69"/>
    </row>
    <row r="69" spans="21:21">
      <c r="U69" s="69"/>
    </row>
    <row r="70" spans="21:21">
      <c r="U70" s="69"/>
    </row>
    <row r="71" spans="21:21">
      <c r="U71" s="69"/>
    </row>
    <row r="72" spans="21:21">
      <c r="U72" s="69"/>
    </row>
    <row r="73" spans="21:21">
      <c r="U73" s="69"/>
    </row>
    <row r="74" spans="21:21">
      <c r="U74" s="69"/>
    </row>
    <row r="75" spans="21:21">
      <c r="U75" s="69"/>
    </row>
    <row r="76" spans="21:21">
      <c r="U76" s="69"/>
    </row>
    <row r="77" spans="21:21">
      <c r="U77" s="69"/>
    </row>
    <row r="78" spans="21:21">
      <c r="U78" s="69"/>
    </row>
    <row r="79" spans="21:21">
      <c r="U79" s="69"/>
    </row>
    <row r="80" spans="21:21">
      <c r="U80" s="69"/>
    </row>
  </sheetData>
  <mergeCells count="4">
    <mergeCell ref="B3:I3"/>
    <mergeCell ref="B16:G16"/>
    <mergeCell ref="B27:I27"/>
    <mergeCell ref="D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793D8-C661-DF41-843C-2CF771A3444B}">
  <dimension ref="A1:J58"/>
  <sheetViews>
    <sheetView zoomScale="130" zoomScaleNormal="130" workbookViewId="0">
      <selection activeCell="E4" sqref="E4"/>
    </sheetView>
  </sheetViews>
  <sheetFormatPr defaultColWidth="11" defaultRowHeight="15.95"/>
  <cols>
    <col min="2" max="2" width="36.5" customWidth="1"/>
    <col min="3" max="7" width="14.875" customWidth="1"/>
    <col min="8" max="8" width="15.125" customWidth="1"/>
    <col min="10" max="10" width="16" bestFit="1" customWidth="1"/>
  </cols>
  <sheetData>
    <row r="1" spans="1:9">
      <c r="A1" s="4"/>
      <c r="B1" s="4"/>
      <c r="C1" s="4"/>
      <c r="D1" s="4"/>
      <c r="E1" s="4"/>
      <c r="F1" s="4"/>
      <c r="G1" s="4"/>
      <c r="H1" s="4"/>
      <c r="I1" s="4"/>
    </row>
    <row r="2" spans="1:9">
      <c r="A2" s="4"/>
      <c r="B2" s="4"/>
      <c r="C2" s="4"/>
      <c r="D2" s="4"/>
      <c r="E2" s="4"/>
      <c r="F2" s="4"/>
      <c r="G2" s="4"/>
      <c r="H2" s="4"/>
      <c r="I2" s="4"/>
    </row>
    <row r="3" spans="1:9">
      <c r="A3" s="4"/>
      <c r="B3" s="4"/>
      <c r="C3" s="4"/>
      <c r="D3" s="4"/>
      <c r="E3" s="4"/>
      <c r="F3" s="4"/>
      <c r="G3" s="4"/>
    </row>
    <row r="4" spans="1:9">
      <c r="A4" s="4"/>
      <c r="B4" s="204" t="s">
        <v>191</v>
      </c>
      <c r="C4" s="204"/>
      <c r="D4" s="204"/>
      <c r="E4" s="4"/>
      <c r="F4" s="4"/>
      <c r="G4" s="4"/>
    </row>
    <row r="5" spans="1:9">
      <c r="A5" s="4"/>
      <c r="B5" t="s">
        <v>192</v>
      </c>
      <c r="C5" t="s">
        <v>193</v>
      </c>
      <c r="D5" t="s">
        <v>194</v>
      </c>
      <c r="E5" s="4"/>
      <c r="F5" s="4"/>
      <c r="G5" s="4"/>
    </row>
    <row r="6" spans="1:9">
      <c r="A6" s="4"/>
      <c r="B6" s="4" t="s">
        <v>195</v>
      </c>
      <c r="C6" s="23">
        <v>1.4999999999999999E-2</v>
      </c>
      <c r="D6" s="17">
        <v>5.0000000000000001E-3</v>
      </c>
      <c r="E6" s="4"/>
      <c r="F6" s="4"/>
      <c r="G6" s="4"/>
    </row>
    <row r="7" spans="1:9">
      <c r="A7" s="4"/>
      <c r="B7" s="4" t="s">
        <v>196</v>
      </c>
      <c r="C7" s="23">
        <v>0.05</v>
      </c>
      <c r="D7" s="19">
        <v>0.01</v>
      </c>
      <c r="E7" s="180"/>
      <c r="F7" s="4"/>
      <c r="G7" s="4"/>
    </row>
    <row r="8" spans="1:9">
      <c r="A8" s="4"/>
      <c r="B8" s="4" t="s">
        <v>139</v>
      </c>
      <c r="C8" s="23">
        <v>7.4999999999999997E-2</v>
      </c>
      <c r="D8" s="19">
        <v>0.02</v>
      </c>
      <c r="E8" s="4"/>
      <c r="F8" s="4"/>
      <c r="G8" s="4"/>
    </row>
    <row r="9" spans="1:9">
      <c r="A9" s="4"/>
      <c r="B9" s="4"/>
      <c r="C9" s="4"/>
      <c r="D9" s="4"/>
      <c r="E9" s="4"/>
      <c r="F9" s="4"/>
      <c r="G9" s="4"/>
      <c r="H9" s="4"/>
      <c r="I9" s="4"/>
    </row>
    <row r="10" spans="1:9">
      <c r="A10" s="4"/>
      <c r="B10" s="4"/>
      <c r="C10" s="4"/>
      <c r="D10" s="4"/>
      <c r="E10" s="4"/>
      <c r="F10" s="4"/>
      <c r="G10" s="4"/>
      <c r="H10" s="4"/>
      <c r="I10" s="4"/>
    </row>
    <row r="11" spans="1:9">
      <c r="A11" s="4"/>
      <c r="B11" s="4"/>
      <c r="C11" s="4"/>
      <c r="D11" s="4"/>
      <c r="E11" s="4"/>
      <c r="F11" s="4"/>
      <c r="G11" s="4"/>
      <c r="H11" s="4"/>
      <c r="I11" s="4"/>
    </row>
    <row r="12" spans="1:9">
      <c r="A12" s="4"/>
      <c r="B12" s="4"/>
      <c r="C12" s="4"/>
      <c r="D12" s="4"/>
      <c r="E12" s="4"/>
      <c r="F12" s="4"/>
      <c r="G12" s="4"/>
      <c r="H12" s="4"/>
      <c r="I12" s="4"/>
    </row>
    <row r="13" spans="1:9">
      <c r="A13" s="4"/>
      <c r="B13" s="4"/>
      <c r="C13" s="4"/>
      <c r="D13" s="4"/>
      <c r="E13" s="4"/>
      <c r="F13" s="4"/>
      <c r="G13" s="4"/>
      <c r="H13" s="4"/>
      <c r="I13" s="4"/>
    </row>
    <row r="14" spans="1:9">
      <c r="A14" s="4"/>
      <c r="B14" s="204" t="s">
        <v>197</v>
      </c>
      <c r="C14" s="204"/>
      <c r="D14" s="204"/>
      <c r="E14" s="204"/>
      <c r="F14" s="204"/>
      <c r="G14" s="204"/>
      <c r="H14" s="204"/>
      <c r="I14" s="4"/>
    </row>
    <row r="15" spans="1:9">
      <c r="A15" s="4"/>
      <c r="B15" s="4"/>
      <c r="C15" s="4">
        <v>2021</v>
      </c>
      <c r="D15" s="4">
        <v>2022</v>
      </c>
      <c r="E15" s="4">
        <v>2023</v>
      </c>
      <c r="F15" s="4">
        <v>2024</v>
      </c>
      <c r="G15" s="4">
        <v>2025</v>
      </c>
      <c r="H15" s="6">
        <v>2026</v>
      </c>
      <c r="I15" s="4"/>
    </row>
    <row r="16" spans="1:9">
      <c r="A16" s="4"/>
      <c r="B16" s="4" t="s">
        <v>21</v>
      </c>
      <c r="C16" s="91">
        <f>Forecast!C22</f>
        <v>1763094</v>
      </c>
      <c r="D16" s="3">
        <f>C16*(1+($C$20*(D15-$C$15)))</f>
        <v>1789540.41</v>
      </c>
      <c r="E16" s="3">
        <f>D16*(1+($C$20*(E15-$C$15)))</f>
        <v>1843226.6222999999</v>
      </c>
      <c r="F16" s="3">
        <f>E16*(1+($C$20*(F15-$C$15)))</f>
        <v>1926171.8203034997</v>
      </c>
      <c r="G16" s="3">
        <f>F16*(1+($C$20*(G15-$C$15)))</f>
        <v>2041742.1295217099</v>
      </c>
      <c r="H16" s="3">
        <f>G16*(1+($C$20*(H15-$C$15)))</f>
        <v>2194872.7892358382</v>
      </c>
      <c r="I16" s="4"/>
    </row>
    <row r="17" spans="1:10">
      <c r="A17" s="4"/>
      <c r="B17" s="4" t="s">
        <v>139</v>
      </c>
      <c r="C17" s="23">
        <f>C8</f>
        <v>7.4999999999999997E-2</v>
      </c>
      <c r="D17" s="23">
        <f>C17</f>
        <v>7.4999999999999997E-2</v>
      </c>
      <c r="E17" s="23">
        <f t="shared" ref="E17:G17" si="0">D17</f>
        <v>7.4999999999999997E-2</v>
      </c>
      <c r="F17" s="23">
        <f t="shared" si="0"/>
        <v>7.4999999999999997E-2</v>
      </c>
      <c r="G17" s="23">
        <f t="shared" si="0"/>
        <v>7.4999999999999997E-2</v>
      </c>
      <c r="H17" s="23">
        <f>G17</f>
        <v>7.4999999999999997E-2</v>
      </c>
      <c r="I17" s="4"/>
    </row>
    <row r="18" spans="1:10">
      <c r="A18" s="4"/>
      <c r="B18" s="4" t="s">
        <v>198</v>
      </c>
      <c r="C18" s="25">
        <f>1/(1+C17)^(C15-2020)</f>
        <v>0.93023255813953487</v>
      </c>
      <c r="D18" s="25">
        <f>1/(1+D17)^(D15-2020)</f>
        <v>0.86533261222282321</v>
      </c>
      <c r="E18" s="25">
        <f t="shared" ref="E18:H18" si="1">1/(1+E17)^(E15-2020)</f>
        <v>0.80496056950960304</v>
      </c>
      <c r="F18" s="25">
        <f t="shared" si="1"/>
        <v>0.7488005297763749</v>
      </c>
      <c r="G18" s="25">
        <f t="shared" si="1"/>
        <v>0.69655863235011617</v>
      </c>
      <c r="H18" s="25">
        <f t="shared" si="1"/>
        <v>0.64796151846522443</v>
      </c>
      <c r="I18" s="4"/>
    </row>
    <row r="19" spans="1:10">
      <c r="A19" s="4"/>
      <c r="B19" s="4" t="s">
        <v>199</v>
      </c>
      <c r="C19" s="162">
        <f t="shared" ref="C19:H19" si="2">C16/((1+C17)^(C15-$C$15))</f>
        <v>1763094</v>
      </c>
      <c r="D19" s="162">
        <f t="shared" si="2"/>
        <v>1664688.7534883721</v>
      </c>
      <c r="E19" s="162">
        <f t="shared" si="2"/>
        <v>1595004.1079935101</v>
      </c>
      <c r="F19" s="162">
        <f t="shared" si="2"/>
        <v>1550492.3654448539</v>
      </c>
      <c r="G19" s="162">
        <f t="shared" si="2"/>
        <v>1528857.5882526003</v>
      </c>
      <c r="H19" s="162">
        <f t="shared" si="2"/>
        <v>1528857.5882526003</v>
      </c>
      <c r="I19" s="4"/>
    </row>
    <row r="20" spans="1:10">
      <c r="A20" s="4"/>
      <c r="B20" s="6" t="s">
        <v>195</v>
      </c>
      <c r="C20" s="166">
        <f>C6</f>
        <v>1.4999999999999999E-2</v>
      </c>
      <c r="D20" s="162"/>
      <c r="E20" s="162"/>
      <c r="F20" s="162"/>
      <c r="G20" s="162"/>
      <c r="H20" s="162"/>
      <c r="I20" s="4"/>
    </row>
    <row r="21" spans="1:10">
      <c r="A21" s="4"/>
      <c r="B21" s="6" t="s">
        <v>196</v>
      </c>
      <c r="C21" s="166">
        <f>C7</f>
        <v>0.05</v>
      </c>
      <c r="D21" s="162"/>
      <c r="E21" s="162"/>
      <c r="F21" s="162"/>
      <c r="G21" s="162"/>
      <c r="H21" s="162"/>
      <c r="I21" s="4"/>
    </row>
    <row r="22" spans="1:10">
      <c r="A22" s="4"/>
      <c r="B22" s="4" t="s">
        <v>200</v>
      </c>
      <c r="C22" s="162">
        <f>SUM(C19:H19)</f>
        <v>9630994.4034319371</v>
      </c>
      <c r="D22" s="162"/>
      <c r="G22" s="162"/>
      <c r="H22" s="162"/>
      <c r="I22" s="4"/>
    </row>
    <row r="23" spans="1:10">
      <c r="A23" s="4"/>
      <c r="B23" s="6" t="s">
        <v>201</v>
      </c>
      <c r="C23" s="162">
        <f>H19/(H17-C21)*H18</f>
        <v>39625635.376049437</v>
      </c>
      <c r="D23" s="162"/>
      <c r="E23" s="162"/>
      <c r="F23" s="162"/>
      <c r="G23" s="162"/>
      <c r="H23" s="162"/>
      <c r="I23" s="4"/>
      <c r="J23" s="178"/>
    </row>
    <row r="24" spans="1:10">
      <c r="A24" s="4"/>
      <c r="B24" s="163" t="s">
        <v>202</v>
      </c>
      <c r="C24" s="93">
        <f>C22+C23</f>
        <v>49256629.779481374</v>
      </c>
      <c r="D24" s="22"/>
      <c r="E24" s="4"/>
      <c r="F24" s="4"/>
      <c r="G24" s="79"/>
      <c r="H24" s="4"/>
      <c r="I24" s="4"/>
    </row>
    <row r="25" spans="1:10">
      <c r="A25" s="4"/>
      <c r="B25" s="6" t="s">
        <v>203</v>
      </c>
      <c r="C25" s="93">
        <f>'Balance sheet'!AI38</f>
        <v>2964091</v>
      </c>
      <c r="D25" s="22"/>
      <c r="E25" s="22"/>
      <c r="F25" s="22"/>
      <c r="G25" s="79"/>
      <c r="H25" s="4"/>
      <c r="I25" s="4"/>
    </row>
    <row r="26" spans="1:10">
      <c r="A26" s="4"/>
      <c r="B26" s="68" t="s">
        <v>204</v>
      </c>
      <c r="C26" s="185">
        <f>C24-C25</f>
        <v>46292538.779481374</v>
      </c>
      <c r="D26" s="165"/>
      <c r="E26" s="165"/>
      <c r="F26" s="165"/>
      <c r="G26" s="42"/>
      <c r="H26" s="42"/>
      <c r="I26" s="4"/>
    </row>
    <row r="27" spans="1:10">
      <c r="A27" s="4"/>
      <c r="B27" s="6" t="s">
        <v>159</v>
      </c>
      <c r="C27" s="164">
        <f>'Profitability analysis'!H63</f>
        <v>595476</v>
      </c>
      <c r="D27" s="4"/>
      <c r="E27" s="4"/>
      <c r="F27" s="4"/>
      <c r="G27" s="4"/>
      <c r="H27" s="4"/>
      <c r="I27" s="4"/>
    </row>
    <row r="28" spans="1:10">
      <c r="A28" s="4"/>
      <c r="B28" s="63" t="s">
        <v>205</v>
      </c>
      <c r="C28" s="186">
        <f>C26/C27</f>
        <v>77.740393868907177</v>
      </c>
      <c r="D28" s="4"/>
      <c r="E28" s="4"/>
      <c r="F28" s="4"/>
      <c r="G28" s="4"/>
      <c r="H28" s="4"/>
      <c r="I28" s="4"/>
    </row>
    <row r="29" spans="1:10">
      <c r="A29" s="4"/>
      <c r="B29" s="4"/>
      <c r="C29" s="4"/>
      <c r="D29" s="4"/>
      <c r="E29" s="4"/>
      <c r="F29" s="4"/>
      <c r="G29" s="4"/>
      <c r="H29" s="4"/>
      <c r="I29" s="4"/>
    </row>
    <row r="30" spans="1:10">
      <c r="A30" s="4"/>
    </row>
    <row r="31" spans="1:10">
      <c r="A31" s="4"/>
    </row>
    <row r="32" spans="1:10">
      <c r="A32" s="4"/>
    </row>
    <row r="33" spans="1:9">
      <c r="A33" s="4"/>
    </row>
    <row r="34" spans="1:9">
      <c r="A34" s="4"/>
    </row>
    <row r="35" spans="1:9">
      <c r="A35" s="4"/>
    </row>
    <row r="36" spans="1:9">
      <c r="A36" s="4"/>
    </row>
    <row r="37" spans="1:9">
      <c r="A37" s="4"/>
    </row>
    <row r="38" spans="1:9">
      <c r="A38" s="4"/>
    </row>
    <row r="39" spans="1:9">
      <c r="A39" s="4"/>
    </row>
    <row r="40" spans="1:9">
      <c r="A40" s="4"/>
    </row>
    <row r="41" spans="1:9">
      <c r="A41" s="4"/>
    </row>
    <row r="42" spans="1:9">
      <c r="A42" s="4"/>
    </row>
    <row r="43" spans="1:9">
      <c r="A43" s="4"/>
      <c r="B43" s="4"/>
      <c r="C43" s="4"/>
      <c r="D43" s="4"/>
      <c r="E43" s="4"/>
      <c r="F43" s="4"/>
      <c r="G43" s="4"/>
      <c r="H43" s="4"/>
      <c r="I43" s="4"/>
    </row>
    <row r="44" spans="1:9">
      <c r="A44" s="4"/>
      <c r="B44" s="4"/>
      <c r="C44" s="4"/>
      <c r="D44" s="4"/>
      <c r="E44" s="4"/>
      <c r="F44" s="4"/>
      <c r="G44" s="4"/>
      <c r="H44" s="4"/>
    </row>
    <row r="45" spans="1:9">
      <c r="A45" s="4"/>
      <c r="B45" s="4"/>
      <c r="C45" s="4"/>
    </row>
    <row r="46" spans="1:9">
      <c r="A46" s="4"/>
    </row>
    <row r="47" spans="1:9">
      <c r="A47" s="4"/>
    </row>
    <row r="48" spans="1:9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</sheetData>
  <mergeCells count="2">
    <mergeCell ref="B14:H14"/>
    <mergeCell ref="B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C4568-6F87-D84E-A323-7360B54C9839}">
  <dimension ref="B1:L503"/>
  <sheetViews>
    <sheetView zoomScale="140" zoomScaleNormal="140" workbookViewId="0">
      <selection activeCell="G41" sqref="G41"/>
    </sheetView>
  </sheetViews>
  <sheetFormatPr defaultColWidth="11" defaultRowHeight="15.95"/>
  <cols>
    <col min="2" max="2" width="12.125" customWidth="1"/>
    <col min="3" max="3" width="11.875" bestFit="1" customWidth="1"/>
    <col min="5" max="5" width="11.875" bestFit="1" customWidth="1"/>
    <col min="6" max="6" width="20" bestFit="1" customWidth="1"/>
    <col min="13" max="13" width="13.625" bestFit="1" customWidth="1"/>
    <col min="14" max="15" width="18.625" bestFit="1" customWidth="1"/>
  </cols>
  <sheetData>
    <row r="1" spans="2:12">
      <c r="K1" s="198" t="s">
        <v>206</v>
      </c>
      <c r="L1" s="198"/>
    </row>
    <row r="2" spans="2:12">
      <c r="B2" t="s">
        <v>207</v>
      </c>
      <c r="C2" t="s">
        <v>208</v>
      </c>
      <c r="D2" s="179"/>
      <c r="E2" t="s">
        <v>150</v>
      </c>
      <c r="F2" t="s">
        <v>209</v>
      </c>
      <c r="G2" t="s">
        <v>210</v>
      </c>
      <c r="J2" t="s">
        <v>206</v>
      </c>
      <c r="K2" s="19">
        <v>0.05</v>
      </c>
      <c r="L2" s="19">
        <v>0.95</v>
      </c>
    </row>
    <row r="3" spans="2:12">
      <c r="B3" s="190">
        <v>33.672517470084188</v>
      </c>
      <c r="C3">
        <v>0.01</v>
      </c>
      <c r="D3" s="187">
        <f>B3*C3</f>
        <v>0.3367251747008419</v>
      </c>
      <c r="E3" s="189">
        <f>SUMPRODUCT(B3:B502,C3:C502)/100</f>
        <v>75.627533861785025</v>
      </c>
      <c r="F3">
        <f>MEDIAN(B3:B502)</f>
        <v>74.728836543204153</v>
      </c>
      <c r="G3">
        <f>MIN(B3:B502)</f>
        <v>33.672517470084188</v>
      </c>
      <c r="J3" t="s">
        <v>211</v>
      </c>
      <c r="K3">
        <f>PERCENTILE(B3:B502,0.05)</f>
        <v>37.77814937739619</v>
      </c>
      <c r="L3">
        <f>PERCENTILE(B3:B502,0.95)</f>
        <v>111.67952370901213</v>
      </c>
    </row>
    <row r="4" spans="2:12">
      <c r="B4" s="190">
        <v>33.837071855146803</v>
      </c>
      <c r="C4">
        <v>0.02</v>
      </c>
      <c r="D4" s="187">
        <f t="shared" ref="D4:D67" si="0">B4*C4</f>
        <v>0.67674143710293611</v>
      </c>
      <c r="G4" t="s">
        <v>212</v>
      </c>
      <c r="J4" t="s">
        <v>213</v>
      </c>
      <c r="K4">
        <f>(K3-G10)/G10</f>
        <v>-0.51404490124265256</v>
      </c>
      <c r="L4">
        <f>(L3-G10)/G10</f>
        <v>0.43657735668911934</v>
      </c>
    </row>
    <row r="5" spans="2:12">
      <c r="B5" s="190">
        <v>34.001626240209397</v>
      </c>
      <c r="C5">
        <v>0</v>
      </c>
      <c r="D5" s="187">
        <f t="shared" si="0"/>
        <v>0</v>
      </c>
      <c r="G5">
        <f>MAX(B3:B502)</f>
        <v>115.7851556163241</v>
      </c>
      <c r="L5" s="2"/>
    </row>
    <row r="6" spans="2:12">
      <c r="B6" s="190">
        <v>34.166180625272013</v>
      </c>
      <c r="C6">
        <v>0</v>
      </c>
      <c r="D6" s="187">
        <f t="shared" si="0"/>
        <v>0</v>
      </c>
      <c r="L6" s="2"/>
    </row>
    <row r="7" spans="2:12">
      <c r="B7" s="190">
        <v>34.330735010334607</v>
      </c>
      <c r="C7">
        <v>0.01</v>
      </c>
      <c r="D7" s="187">
        <f t="shared" si="0"/>
        <v>0.34330735010334607</v>
      </c>
      <c r="L7" s="2"/>
    </row>
    <row r="8" spans="2:12">
      <c r="B8" s="190">
        <v>34.495289395397222</v>
      </c>
      <c r="C8">
        <v>0.03</v>
      </c>
      <c r="D8" s="187">
        <f t="shared" si="0"/>
        <v>1.0348586818619165</v>
      </c>
      <c r="F8" s="198" t="s">
        <v>214</v>
      </c>
      <c r="G8" s="198"/>
      <c r="H8" s="198"/>
      <c r="L8" s="2"/>
    </row>
    <row r="9" spans="2:12">
      <c r="B9" s="190">
        <v>34.659843780459823</v>
      </c>
      <c r="C9">
        <v>0.01</v>
      </c>
      <c r="D9" s="187">
        <f t="shared" si="0"/>
        <v>0.34659843780459826</v>
      </c>
      <c r="F9" t="s">
        <v>215</v>
      </c>
      <c r="G9" t="s">
        <v>216</v>
      </c>
      <c r="H9" t="s">
        <v>217</v>
      </c>
      <c r="L9" s="2"/>
    </row>
    <row r="10" spans="2:12">
      <c r="B10" s="190">
        <v>34.824398165522418</v>
      </c>
      <c r="C10">
        <v>0.02</v>
      </c>
      <c r="D10" s="187">
        <f t="shared" si="0"/>
        <v>0.69648796331044838</v>
      </c>
      <c r="F10" t="s">
        <v>218</v>
      </c>
      <c r="G10">
        <v>77.739999999999995</v>
      </c>
      <c r="L10" s="2"/>
    </row>
    <row r="11" spans="2:12">
      <c r="B11" s="190">
        <v>34.988952550585033</v>
      </c>
      <c r="C11">
        <v>0.03</v>
      </c>
      <c r="D11" s="187">
        <f t="shared" si="0"/>
        <v>1.0496685765175509</v>
      </c>
      <c r="F11" s="17" t="s">
        <v>219</v>
      </c>
      <c r="G11">
        <f>G10*1.075</f>
        <v>83.570499999999996</v>
      </c>
      <c r="H11">
        <f>SUMIF(B3:B502,"&gt;83,57",C3:C502)</f>
        <v>47.600000000000016</v>
      </c>
      <c r="L11" s="2"/>
    </row>
    <row r="12" spans="2:12">
      <c r="B12" s="190">
        <v>35.153506935647641</v>
      </c>
      <c r="C12">
        <v>0.02</v>
      </c>
      <c r="D12" s="187">
        <f t="shared" si="0"/>
        <v>0.70307013871295287</v>
      </c>
      <c r="F12" s="2" t="s">
        <v>220</v>
      </c>
      <c r="G12">
        <f>G10*(1-0.075)</f>
        <v>71.909499999999994</v>
      </c>
      <c r="H12">
        <f>SUMIF(B3:B502,"&lt;71,91",C3:C502)</f>
        <v>44.089999999999968</v>
      </c>
      <c r="L12" s="2"/>
    </row>
    <row r="13" spans="2:12">
      <c r="B13" s="190">
        <v>35.318061320710243</v>
      </c>
      <c r="C13">
        <v>0.03</v>
      </c>
      <c r="D13" s="187">
        <f t="shared" si="0"/>
        <v>1.0595418396213072</v>
      </c>
      <c r="L13" s="2"/>
    </row>
    <row r="14" spans="2:12">
      <c r="B14" s="190">
        <v>35.482615705772837</v>
      </c>
      <c r="C14">
        <v>0.06</v>
      </c>
      <c r="D14" s="187">
        <f t="shared" si="0"/>
        <v>2.1289569423463703</v>
      </c>
      <c r="L14" s="2"/>
    </row>
    <row r="15" spans="2:12">
      <c r="B15" s="190">
        <v>35.647170090835438</v>
      </c>
      <c r="C15">
        <v>0.03</v>
      </c>
      <c r="D15" s="187">
        <f t="shared" si="0"/>
        <v>1.0694151027250631</v>
      </c>
      <c r="F15" t="s">
        <v>221</v>
      </c>
      <c r="G15" s="14">
        <f>K4</f>
        <v>-0.51404490124265256</v>
      </c>
      <c r="L15" s="2"/>
    </row>
    <row r="16" spans="2:12">
      <c r="B16" s="190">
        <v>35.81172447589806</v>
      </c>
      <c r="C16">
        <v>6.9999999999999993E-2</v>
      </c>
      <c r="D16" s="187">
        <f t="shared" si="0"/>
        <v>2.5068207133128642</v>
      </c>
      <c r="F16" t="s">
        <v>222</v>
      </c>
      <c r="G16" s="14">
        <f>L4</f>
        <v>0.43657735668911934</v>
      </c>
      <c r="L16" s="2"/>
    </row>
    <row r="17" spans="2:12">
      <c r="B17" s="190">
        <v>35.976278860960662</v>
      </c>
      <c r="C17">
        <v>0.08</v>
      </c>
      <c r="D17" s="187">
        <f t="shared" si="0"/>
        <v>2.8781023088768531</v>
      </c>
      <c r="F17" t="s">
        <v>223</v>
      </c>
      <c r="G17" s="191">
        <f>E3</f>
        <v>75.627533861785025</v>
      </c>
      <c r="L17" s="2"/>
    </row>
    <row r="18" spans="2:12">
      <c r="B18" s="190">
        <v>36.140833246023263</v>
      </c>
      <c r="C18">
        <v>0.05</v>
      </c>
      <c r="D18" s="187">
        <f t="shared" si="0"/>
        <v>1.8070416623011631</v>
      </c>
      <c r="F18" t="s">
        <v>224</v>
      </c>
      <c r="G18" s="14">
        <f>H11/100</f>
        <v>0.47600000000000015</v>
      </c>
      <c r="L18" s="2"/>
    </row>
    <row r="19" spans="2:12">
      <c r="B19" s="190">
        <v>36.305387631085878</v>
      </c>
      <c r="C19">
        <v>0.05</v>
      </c>
      <c r="D19" s="187">
        <f t="shared" si="0"/>
        <v>1.815269381554294</v>
      </c>
      <c r="F19" t="s">
        <v>225</v>
      </c>
      <c r="G19" s="14">
        <f>H12/100</f>
        <v>0.44089999999999968</v>
      </c>
      <c r="L19" s="2"/>
    </row>
    <row r="20" spans="2:12">
      <c r="B20" s="190">
        <v>36.46994201614848</v>
      </c>
      <c r="C20">
        <v>0.06</v>
      </c>
      <c r="D20" s="187">
        <f t="shared" si="0"/>
        <v>2.1881965209689085</v>
      </c>
    </row>
    <row r="21" spans="2:12">
      <c r="B21" s="190">
        <v>36.634496401211081</v>
      </c>
      <c r="C21">
        <v>6.9999999999999993E-2</v>
      </c>
      <c r="D21" s="187">
        <f t="shared" si="0"/>
        <v>2.5644147480847752</v>
      </c>
    </row>
    <row r="22" spans="2:12">
      <c r="B22" s="190">
        <v>36.799050786273682</v>
      </c>
      <c r="C22">
        <v>6.9999999999999993E-2</v>
      </c>
      <c r="D22" s="187">
        <f t="shared" si="0"/>
        <v>2.5759335550391573</v>
      </c>
    </row>
    <row r="23" spans="2:12">
      <c r="B23" s="190">
        <v>36.963605171336297</v>
      </c>
      <c r="C23">
        <v>0.08</v>
      </c>
      <c r="D23" s="187">
        <f t="shared" si="0"/>
        <v>2.957088413706904</v>
      </c>
    </row>
    <row r="24" spans="2:12">
      <c r="B24" s="190">
        <v>37.128159556398899</v>
      </c>
      <c r="C24">
        <v>6.9999999999999993E-2</v>
      </c>
      <c r="D24" s="187">
        <f t="shared" si="0"/>
        <v>2.5989711689479225</v>
      </c>
    </row>
    <row r="25" spans="2:12">
      <c r="B25" s="190">
        <v>37.2927139414615</v>
      </c>
      <c r="C25">
        <v>0.11</v>
      </c>
      <c r="D25" s="187">
        <f t="shared" si="0"/>
        <v>4.1021985335607649</v>
      </c>
    </row>
    <row r="26" spans="2:12">
      <c r="B26" s="190">
        <v>37.457268326524101</v>
      </c>
      <c r="C26">
        <v>0.08</v>
      </c>
      <c r="D26" s="187">
        <f t="shared" si="0"/>
        <v>2.9965814661219281</v>
      </c>
    </row>
    <row r="27" spans="2:12">
      <c r="B27" s="190">
        <v>37.621822711586717</v>
      </c>
      <c r="C27">
        <v>6.9999999999999993E-2</v>
      </c>
      <c r="D27" s="187">
        <f t="shared" si="0"/>
        <v>2.6335275898110697</v>
      </c>
    </row>
    <row r="28" spans="2:12">
      <c r="B28" s="190">
        <v>37.786377096649318</v>
      </c>
      <c r="C28">
        <v>0.12</v>
      </c>
      <c r="D28" s="187">
        <f t="shared" si="0"/>
        <v>4.5343652515979178</v>
      </c>
    </row>
    <row r="29" spans="2:12">
      <c r="B29" s="190">
        <v>37.950931481711919</v>
      </c>
      <c r="C29">
        <v>0.15</v>
      </c>
      <c r="D29" s="187">
        <f t="shared" si="0"/>
        <v>5.6926397222567875</v>
      </c>
    </row>
    <row r="30" spans="2:12">
      <c r="B30" s="190">
        <v>38.115485866774527</v>
      </c>
      <c r="C30">
        <v>0.1</v>
      </c>
      <c r="D30" s="187">
        <f t="shared" si="0"/>
        <v>3.811548586677453</v>
      </c>
    </row>
    <row r="31" spans="2:12">
      <c r="B31" s="190">
        <v>38.280040251837143</v>
      </c>
      <c r="C31">
        <v>0.13</v>
      </c>
      <c r="D31" s="187">
        <f t="shared" si="0"/>
        <v>4.9764052327388288</v>
      </c>
    </row>
    <row r="32" spans="2:12">
      <c r="B32" s="190">
        <v>38.444594636899737</v>
      </c>
      <c r="C32">
        <v>0.18</v>
      </c>
      <c r="D32" s="187">
        <f t="shared" si="0"/>
        <v>6.9200270346419526</v>
      </c>
    </row>
    <row r="33" spans="2:4">
      <c r="B33" s="190">
        <v>38.609149021962338</v>
      </c>
      <c r="C33">
        <v>0.14000000000000001</v>
      </c>
      <c r="D33" s="187">
        <f t="shared" si="0"/>
        <v>5.4052808630747275</v>
      </c>
    </row>
    <row r="34" spans="2:4">
      <c r="B34" s="190">
        <v>38.773703407024954</v>
      </c>
      <c r="C34">
        <v>0.11</v>
      </c>
      <c r="D34" s="187">
        <f t="shared" si="0"/>
        <v>4.2651073747727448</v>
      </c>
    </row>
    <row r="35" spans="2:4">
      <c r="B35" s="190">
        <v>38.938257792087548</v>
      </c>
      <c r="C35">
        <v>0.1</v>
      </c>
      <c r="D35" s="187">
        <f t="shared" si="0"/>
        <v>3.8938257792087549</v>
      </c>
    </row>
    <row r="36" spans="2:4">
      <c r="B36" s="190">
        <v>39.102812177150163</v>
      </c>
      <c r="C36">
        <v>0.14000000000000001</v>
      </c>
      <c r="D36" s="187">
        <f t="shared" si="0"/>
        <v>5.4743937048010229</v>
      </c>
    </row>
    <row r="37" spans="2:4">
      <c r="B37" s="190">
        <v>39.267366562212757</v>
      </c>
      <c r="C37">
        <v>0.16</v>
      </c>
      <c r="D37" s="187">
        <f t="shared" si="0"/>
        <v>6.2827786499540412</v>
      </c>
    </row>
    <row r="38" spans="2:4">
      <c r="B38" s="190">
        <v>39.431920947275373</v>
      </c>
      <c r="C38">
        <v>0.22</v>
      </c>
      <c r="D38" s="187">
        <f t="shared" si="0"/>
        <v>8.6750226084005817</v>
      </c>
    </row>
    <row r="39" spans="2:4">
      <c r="B39" s="190">
        <v>39.596475332337967</v>
      </c>
      <c r="C39">
        <v>0.23</v>
      </c>
      <c r="D39" s="187">
        <f t="shared" si="0"/>
        <v>9.1071893264377319</v>
      </c>
    </row>
    <row r="40" spans="2:4">
      <c r="B40" s="190">
        <v>39.761029717400582</v>
      </c>
      <c r="C40">
        <v>0.24</v>
      </c>
      <c r="D40" s="187">
        <f t="shared" si="0"/>
        <v>9.542647132176139</v>
      </c>
    </row>
    <row r="41" spans="2:4">
      <c r="B41" s="190">
        <v>39.925584102463183</v>
      </c>
      <c r="C41">
        <v>0.24</v>
      </c>
      <c r="D41" s="187">
        <f t="shared" si="0"/>
        <v>9.5821401845911645</v>
      </c>
    </row>
    <row r="42" spans="2:4">
      <c r="B42" s="190">
        <v>40.090138487525792</v>
      </c>
      <c r="C42">
        <v>0.22</v>
      </c>
      <c r="D42" s="187">
        <f t="shared" si="0"/>
        <v>8.8198304672556738</v>
      </c>
    </row>
    <row r="43" spans="2:4">
      <c r="B43" s="190">
        <v>40.254692872588393</v>
      </c>
      <c r="C43">
        <v>0.21</v>
      </c>
      <c r="D43" s="187">
        <f t="shared" si="0"/>
        <v>8.453485503243563</v>
      </c>
    </row>
    <row r="44" spans="2:4">
      <c r="B44" s="190">
        <v>40.419247257650987</v>
      </c>
      <c r="C44">
        <v>0.23</v>
      </c>
      <c r="D44" s="187">
        <f t="shared" si="0"/>
        <v>9.2964268692597276</v>
      </c>
    </row>
    <row r="45" spans="2:4">
      <c r="B45" s="190">
        <v>40.58380164271361</v>
      </c>
      <c r="C45">
        <v>0.12</v>
      </c>
      <c r="D45" s="187">
        <f t="shared" si="0"/>
        <v>4.8700561971256331</v>
      </c>
    </row>
    <row r="46" spans="2:4">
      <c r="B46" s="190">
        <v>40.748356027776211</v>
      </c>
      <c r="C46">
        <v>0.22</v>
      </c>
      <c r="D46" s="187">
        <f t="shared" si="0"/>
        <v>8.9646383261107658</v>
      </c>
    </row>
    <row r="47" spans="2:4">
      <c r="B47" s="190">
        <v>40.912910412838812</v>
      </c>
      <c r="C47">
        <v>0.2</v>
      </c>
      <c r="D47" s="187">
        <f t="shared" si="0"/>
        <v>8.1825820825677624</v>
      </c>
    </row>
    <row r="48" spans="2:4">
      <c r="B48" s="190">
        <v>41.077464797901413</v>
      </c>
      <c r="C48">
        <v>0.16</v>
      </c>
      <c r="D48" s="187">
        <f t="shared" si="0"/>
        <v>6.5723943676642262</v>
      </c>
    </row>
    <row r="49" spans="2:4">
      <c r="B49" s="190">
        <v>41.242019182964029</v>
      </c>
      <c r="C49">
        <v>0.24</v>
      </c>
      <c r="D49" s="187">
        <f t="shared" si="0"/>
        <v>9.8980846039113661</v>
      </c>
    </row>
    <row r="50" spans="2:4">
      <c r="B50" s="190">
        <v>41.40657356802663</v>
      </c>
      <c r="C50">
        <v>0.21</v>
      </c>
      <c r="D50" s="187">
        <f t="shared" si="0"/>
        <v>8.695380449285592</v>
      </c>
    </row>
    <row r="51" spans="2:4">
      <c r="B51" s="190">
        <v>41.571127953089231</v>
      </c>
      <c r="C51">
        <v>0.23</v>
      </c>
      <c r="D51" s="187">
        <f t="shared" si="0"/>
        <v>9.5613594292105244</v>
      </c>
    </row>
    <row r="52" spans="2:4">
      <c r="B52" s="190">
        <v>41.735682338151832</v>
      </c>
      <c r="C52">
        <v>0.3</v>
      </c>
      <c r="D52" s="187">
        <f t="shared" si="0"/>
        <v>12.520704701445549</v>
      </c>
    </row>
    <row r="53" spans="2:4">
      <c r="B53" s="190">
        <v>41.900236723214448</v>
      </c>
      <c r="C53">
        <v>0.22</v>
      </c>
      <c r="D53" s="187">
        <f t="shared" si="0"/>
        <v>9.2180520791071778</v>
      </c>
    </row>
    <row r="54" spans="2:4">
      <c r="B54" s="190">
        <v>42.064791108277049</v>
      </c>
      <c r="C54">
        <v>0.21</v>
      </c>
      <c r="D54" s="187">
        <f t="shared" si="0"/>
        <v>8.8336061327381792</v>
      </c>
    </row>
    <row r="55" spans="2:4">
      <c r="B55" s="190">
        <v>42.22934549333965</v>
      </c>
      <c r="C55">
        <v>0.23</v>
      </c>
      <c r="D55" s="187">
        <f t="shared" si="0"/>
        <v>9.7127494634681195</v>
      </c>
    </row>
    <row r="56" spans="2:4">
      <c r="B56" s="190">
        <v>42.393899878402252</v>
      </c>
      <c r="C56">
        <v>0.19</v>
      </c>
      <c r="D56" s="187">
        <f t="shared" si="0"/>
        <v>8.0548409768964273</v>
      </c>
    </row>
    <row r="57" spans="2:4">
      <c r="B57" s="190">
        <v>42.558454263464867</v>
      </c>
      <c r="C57">
        <v>0.31</v>
      </c>
      <c r="D57" s="187">
        <f t="shared" si="0"/>
        <v>13.193120821674109</v>
      </c>
    </row>
    <row r="58" spans="2:4">
      <c r="B58" s="190">
        <v>42.723008648527468</v>
      </c>
      <c r="C58">
        <v>0.17</v>
      </c>
      <c r="D58" s="187">
        <f t="shared" si="0"/>
        <v>7.2629114702496702</v>
      </c>
    </row>
    <row r="59" spans="2:4">
      <c r="B59" s="190">
        <v>42.887563033590069</v>
      </c>
      <c r="C59">
        <v>0.18</v>
      </c>
      <c r="D59" s="187">
        <f t="shared" si="0"/>
        <v>7.7197613460462122</v>
      </c>
    </row>
    <row r="60" spans="2:4">
      <c r="B60" s="190">
        <v>43.052117418652678</v>
      </c>
      <c r="C60">
        <v>0.23</v>
      </c>
      <c r="D60" s="187">
        <f t="shared" si="0"/>
        <v>9.901987006290117</v>
      </c>
    </row>
    <row r="61" spans="2:4">
      <c r="B61" s="190">
        <v>43.216671803715293</v>
      </c>
      <c r="C61">
        <v>0.25</v>
      </c>
      <c r="D61" s="187">
        <f t="shared" si="0"/>
        <v>10.804167950928823</v>
      </c>
    </row>
    <row r="62" spans="2:4">
      <c r="B62" s="190">
        <v>43.381226188777887</v>
      </c>
      <c r="C62">
        <v>0.24</v>
      </c>
      <c r="D62" s="187">
        <f t="shared" si="0"/>
        <v>10.411494285306693</v>
      </c>
    </row>
    <row r="63" spans="2:4">
      <c r="B63" s="190">
        <v>43.545780573840489</v>
      </c>
      <c r="C63">
        <v>0.31</v>
      </c>
      <c r="D63" s="187">
        <f t="shared" si="0"/>
        <v>13.499191977890552</v>
      </c>
    </row>
    <row r="64" spans="2:4">
      <c r="B64" s="190">
        <v>43.710334958903097</v>
      </c>
      <c r="C64">
        <v>0.33</v>
      </c>
      <c r="D64" s="187">
        <f t="shared" si="0"/>
        <v>14.424410536438023</v>
      </c>
    </row>
    <row r="65" spans="2:4">
      <c r="B65" s="190">
        <v>43.874889343965712</v>
      </c>
      <c r="C65">
        <v>0.27</v>
      </c>
      <c r="D65" s="187">
        <f t="shared" si="0"/>
        <v>11.846220122870744</v>
      </c>
    </row>
    <row r="66" spans="2:4">
      <c r="B66" s="190">
        <v>44.039443729028307</v>
      </c>
      <c r="C66">
        <v>0.2</v>
      </c>
      <c r="D66" s="187">
        <f t="shared" si="0"/>
        <v>8.8078887458056609</v>
      </c>
    </row>
    <row r="67" spans="2:4">
      <c r="B67" s="190">
        <v>44.203998114090908</v>
      </c>
      <c r="C67">
        <v>0.24</v>
      </c>
      <c r="D67" s="187">
        <f t="shared" si="0"/>
        <v>10.608959547381817</v>
      </c>
    </row>
    <row r="68" spans="2:4">
      <c r="B68" s="190">
        <v>44.368552499153523</v>
      </c>
      <c r="C68">
        <v>0.24</v>
      </c>
      <c r="D68" s="187">
        <f t="shared" ref="D68:D131" si="1">B68*C68</f>
        <v>10.648452599796846</v>
      </c>
    </row>
    <row r="69" spans="2:4">
      <c r="B69" s="190">
        <v>44.533106884216117</v>
      </c>
      <c r="C69">
        <v>0.37</v>
      </c>
      <c r="D69" s="187">
        <f t="shared" si="1"/>
        <v>16.477249547159964</v>
      </c>
    </row>
    <row r="70" spans="2:4">
      <c r="B70" s="190">
        <v>44.697661269278733</v>
      </c>
      <c r="C70">
        <v>0.26</v>
      </c>
      <c r="D70" s="187">
        <f t="shared" si="1"/>
        <v>11.621391930012472</v>
      </c>
    </row>
    <row r="71" spans="2:4">
      <c r="B71" s="190">
        <v>44.862215654341341</v>
      </c>
      <c r="C71">
        <v>0.17</v>
      </c>
      <c r="D71" s="187">
        <f t="shared" si="1"/>
        <v>7.6265766612380288</v>
      </c>
    </row>
    <row r="72" spans="2:4">
      <c r="B72" s="190">
        <v>45.026770039403942</v>
      </c>
      <c r="C72">
        <v>0.3</v>
      </c>
      <c r="D72" s="187">
        <f t="shared" si="1"/>
        <v>13.508031011821183</v>
      </c>
    </row>
    <row r="73" spans="2:4">
      <c r="B73" s="190">
        <v>45.191324424466544</v>
      </c>
      <c r="C73">
        <v>0.25</v>
      </c>
      <c r="D73" s="187">
        <f t="shared" si="1"/>
        <v>11.297831106116636</v>
      </c>
    </row>
    <row r="74" spans="2:4">
      <c r="B74" s="190">
        <v>45.355878809529138</v>
      </c>
      <c r="C74">
        <v>0.28999999999999998</v>
      </c>
      <c r="D74" s="187">
        <f t="shared" si="1"/>
        <v>13.153204854763448</v>
      </c>
    </row>
    <row r="75" spans="2:4">
      <c r="B75" s="190">
        <v>45.52043319459176</v>
      </c>
      <c r="C75">
        <v>0.25</v>
      </c>
      <c r="D75" s="187">
        <f t="shared" si="1"/>
        <v>11.38010829864794</v>
      </c>
    </row>
    <row r="76" spans="2:4">
      <c r="B76" s="190">
        <v>45.684987579654361</v>
      </c>
      <c r="C76">
        <v>0.27</v>
      </c>
      <c r="D76" s="187">
        <f t="shared" si="1"/>
        <v>12.334946646506678</v>
      </c>
    </row>
    <row r="77" spans="2:4">
      <c r="B77" s="190">
        <v>45.849541964716963</v>
      </c>
      <c r="C77">
        <v>0.24</v>
      </c>
      <c r="D77" s="187">
        <f t="shared" si="1"/>
        <v>11.003890071532071</v>
      </c>
    </row>
    <row r="78" spans="2:4">
      <c r="B78" s="190">
        <v>46.014096349779557</v>
      </c>
      <c r="C78">
        <v>0.36</v>
      </c>
      <c r="D78" s="187">
        <f t="shared" si="1"/>
        <v>16.565074685920639</v>
      </c>
    </row>
    <row r="79" spans="2:4">
      <c r="B79" s="190">
        <v>46.178650734842179</v>
      </c>
      <c r="C79">
        <v>0.25</v>
      </c>
      <c r="D79" s="187">
        <f t="shared" si="1"/>
        <v>11.544662683710545</v>
      </c>
    </row>
    <row r="80" spans="2:4">
      <c r="B80" s="190">
        <v>46.343205119904781</v>
      </c>
      <c r="C80">
        <v>0.24</v>
      </c>
      <c r="D80" s="187">
        <f t="shared" si="1"/>
        <v>11.122369228777147</v>
      </c>
    </row>
    <row r="81" spans="2:4">
      <c r="B81" s="190">
        <v>46.507759504967382</v>
      </c>
      <c r="C81">
        <v>0.3</v>
      </c>
      <c r="D81" s="187">
        <f t="shared" si="1"/>
        <v>13.952327851490214</v>
      </c>
    </row>
    <row r="82" spans="2:4">
      <c r="B82" s="190">
        <v>46.672313890029983</v>
      </c>
      <c r="C82">
        <v>0.33</v>
      </c>
      <c r="D82" s="187">
        <f t="shared" si="1"/>
        <v>15.401863583709895</v>
      </c>
    </row>
    <row r="83" spans="2:4">
      <c r="B83" s="190">
        <v>46.836868275092598</v>
      </c>
      <c r="C83">
        <v>0.27</v>
      </c>
      <c r="D83" s="187">
        <f t="shared" si="1"/>
        <v>12.645954434275003</v>
      </c>
    </row>
    <row r="84" spans="2:4">
      <c r="B84" s="190">
        <v>47.0014226601552</v>
      </c>
      <c r="C84">
        <v>0.35</v>
      </c>
      <c r="D84" s="187">
        <f t="shared" si="1"/>
        <v>16.450497931054318</v>
      </c>
    </row>
    <row r="85" spans="2:4">
      <c r="B85" s="190">
        <v>47.165977045217801</v>
      </c>
      <c r="C85">
        <v>0.28000000000000003</v>
      </c>
      <c r="D85" s="187">
        <f t="shared" si="1"/>
        <v>13.206473572660986</v>
      </c>
    </row>
    <row r="86" spans="2:4">
      <c r="B86" s="190">
        <v>47.330531430280423</v>
      </c>
      <c r="C86">
        <v>0.28999999999999998</v>
      </c>
      <c r="D86" s="187">
        <f t="shared" si="1"/>
        <v>13.725854114781322</v>
      </c>
    </row>
    <row r="87" spans="2:4">
      <c r="B87" s="190">
        <v>47.495085815343018</v>
      </c>
      <c r="C87">
        <v>0.22</v>
      </c>
      <c r="D87" s="187">
        <f t="shared" si="1"/>
        <v>10.448918879375464</v>
      </c>
    </row>
    <row r="88" spans="2:4">
      <c r="B88" s="190">
        <v>47.659640200405619</v>
      </c>
      <c r="C88">
        <v>0.21</v>
      </c>
      <c r="D88" s="187">
        <f t="shared" si="1"/>
        <v>10.00852444208518</v>
      </c>
    </row>
    <row r="89" spans="2:4">
      <c r="B89" s="190">
        <v>47.82419458546822</v>
      </c>
      <c r="C89">
        <v>0.15</v>
      </c>
      <c r="D89" s="187">
        <f t="shared" si="1"/>
        <v>7.1736291878202332</v>
      </c>
    </row>
    <row r="90" spans="2:4">
      <c r="B90" s="190">
        <v>47.988748970530843</v>
      </c>
      <c r="C90">
        <v>0.2</v>
      </c>
      <c r="D90" s="187">
        <f t="shared" si="1"/>
        <v>9.5977497941061696</v>
      </c>
    </row>
    <row r="91" spans="2:4">
      <c r="B91" s="190">
        <v>48.153303355593437</v>
      </c>
      <c r="C91">
        <v>0.26</v>
      </c>
      <c r="D91" s="187">
        <f t="shared" si="1"/>
        <v>12.519858872454295</v>
      </c>
    </row>
    <row r="92" spans="2:4">
      <c r="B92" s="190">
        <v>48.317857740656038</v>
      </c>
      <c r="C92">
        <v>0.25</v>
      </c>
      <c r="D92" s="187">
        <f t="shared" si="1"/>
        <v>12.079464435164009</v>
      </c>
    </row>
    <row r="93" spans="2:4">
      <c r="B93" s="190">
        <v>48.482412125718639</v>
      </c>
      <c r="C93">
        <v>0.28000000000000003</v>
      </c>
      <c r="D93" s="187">
        <f t="shared" si="1"/>
        <v>13.575075395201221</v>
      </c>
    </row>
    <row r="94" spans="2:4">
      <c r="B94" s="190">
        <v>48.646966510781247</v>
      </c>
      <c r="C94">
        <v>0.25</v>
      </c>
      <c r="D94" s="187">
        <f t="shared" si="1"/>
        <v>12.161741627695312</v>
      </c>
    </row>
    <row r="95" spans="2:4">
      <c r="B95" s="190">
        <v>48.811520895843863</v>
      </c>
      <c r="C95">
        <v>0.2</v>
      </c>
      <c r="D95" s="187">
        <f t="shared" si="1"/>
        <v>9.7623041791687726</v>
      </c>
    </row>
    <row r="96" spans="2:4">
      <c r="B96" s="190">
        <v>48.976075280906457</v>
      </c>
      <c r="C96">
        <v>0.2</v>
      </c>
      <c r="D96" s="187">
        <f t="shared" si="1"/>
        <v>9.7952150561812914</v>
      </c>
    </row>
    <row r="97" spans="2:4">
      <c r="B97" s="190">
        <v>49.140629665969058</v>
      </c>
      <c r="C97">
        <v>0.25</v>
      </c>
      <c r="D97" s="187">
        <f t="shared" si="1"/>
        <v>12.285157416492265</v>
      </c>
    </row>
    <row r="98" spans="2:4">
      <c r="B98" s="190">
        <v>49.305184051031667</v>
      </c>
      <c r="C98">
        <v>0.3</v>
      </c>
      <c r="D98" s="187">
        <f t="shared" si="1"/>
        <v>14.791555215309499</v>
      </c>
    </row>
    <row r="99" spans="2:4">
      <c r="B99" s="190">
        <v>49.469738436094268</v>
      </c>
      <c r="C99">
        <v>0.32</v>
      </c>
      <c r="D99" s="187">
        <f t="shared" si="1"/>
        <v>15.830316299550166</v>
      </c>
    </row>
    <row r="100" spans="2:4">
      <c r="B100" s="190">
        <v>49.634292821156883</v>
      </c>
      <c r="C100">
        <v>0.35</v>
      </c>
      <c r="D100" s="187">
        <f t="shared" si="1"/>
        <v>17.372002487404909</v>
      </c>
    </row>
    <row r="101" spans="2:4">
      <c r="B101" s="190">
        <v>49.798847206219492</v>
      </c>
      <c r="C101">
        <v>0.36</v>
      </c>
      <c r="D101" s="187">
        <f t="shared" si="1"/>
        <v>17.927584994239016</v>
      </c>
    </row>
    <row r="102" spans="2:4">
      <c r="B102" s="190">
        <v>49.963401591282093</v>
      </c>
      <c r="C102">
        <v>0.31</v>
      </c>
      <c r="D102" s="187">
        <f t="shared" si="1"/>
        <v>15.488654493297449</v>
      </c>
    </row>
    <row r="103" spans="2:4">
      <c r="B103" s="190">
        <v>50.127955976344687</v>
      </c>
      <c r="C103">
        <v>0.21</v>
      </c>
      <c r="D103" s="187">
        <f t="shared" si="1"/>
        <v>10.526870755032384</v>
      </c>
    </row>
    <row r="104" spans="2:4">
      <c r="B104" s="190">
        <v>50.292510361407302</v>
      </c>
      <c r="C104">
        <v>0.28999999999999998</v>
      </c>
      <c r="D104" s="187">
        <f t="shared" si="1"/>
        <v>14.584828004808116</v>
      </c>
    </row>
    <row r="105" spans="2:4">
      <c r="B105" s="190">
        <v>50.457064746469911</v>
      </c>
      <c r="C105">
        <v>0.27</v>
      </c>
      <c r="D105" s="187">
        <f t="shared" si="1"/>
        <v>13.623407481546877</v>
      </c>
    </row>
    <row r="106" spans="2:4">
      <c r="B106" s="190">
        <v>50.621619131532512</v>
      </c>
      <c r="C106">
        <v>0.2</v>
      </c>
      <c r="D106" s="187">
        <f t="shared" si="1"/>
        <v>10.124323826306503</v>
      </c>
    </row>
    <row r="107" spans="2:4">
      <c r="B107" s="190">
        <v>50.786173516595113</v>
      </c>
      <c r="C107">
        <v>0.32</v>
      </c>
      <c r="D107" s="187">
        <f t="shared" si="1"/>
        <v>16.251575525310436</v>
      </c>
    </row>
    <row r="108" spans="2:4">
      <c r="B108" s="190">
        <v>50.950727901657707</v>
      </c>
      <c r="C108">
        <v>0.24</v>
      </c>
      <c r="D108" s="187">
        <f t="shared" si="1"/>
        <v>12.228174696397849</v>
      </c>
    </row>
    <row r="109" spans="2:4">
      <c r="B109" s="190">
        <v>51.11528228672033</v>
      </c>
      <c r="C109">
        <v>0.24</v>
      </c>
      <c r="D109" s="187">
        <f t="shared" si="1"/>
        <v>12.26766774881288</v>
      </c>
    </row>
    <row r="110" spans="2:4">
      <c r="B110" s="190">
        <v>51.279836671782931</v>
      </c>
      <c r="C110">
        <v>0.2</v>
      </c>
      <c r="D110" s="187">
        <f t="shared" si="1"/>
        <v>10.255967334356587</v>
      </c>
    </row>
    <row r="111" spans="2:4">
      <c r="B111" s="190">
        <v>51.444391056845532</v>
      </c>
      <c r="C111">
        <v>0.17</v>
      </c>
      <c r="D111" s="187">
        <f t="shared" si="1"/>
        <v>8.7455464796637408</v>
      </c>
    </row>
    <row r="112" spans="2:4">
      <c r="B112" s="190">
        <v>51.608945441908148</v>
      </c>
      <c r="C112">
        <v>0.22</v>
      </c>
      <c r="D112" s="187">
        <f t="shared" si="1"/>
        <v>11.353967997219792</v>
      </c>
    </row>
    <row r="113" spans="2:4">
      <c r="B113" s="190">
        <v>51.773499826970749</v>
      </c>
      <c r="C113">
        <v>0.23</v>
      </c>
      <c r="D113" s="187">
        <f t="shared" si="1"/>
        <v>11.907904960203274</v>
      </c>
    </row>
    <row r="114" spans="2:4">
      <c r="B114" s="190">
        <v>51.93805421203335</v>
      </c>
      <c r="C114">
        <v>0.28000000000000003</v>
      </c>
      <c r="D114" s="187">
        <f t="shared" si="1"/>
        <v>14.542655179369339</v>
      </c>
    </row>
    <row r="115" spans="2:4">
      <c r="B115" s="190">
        <v>52.102608597095951</v>
      </c>
      <c r="C115">
        <v>0.21</v>
      </c>
      <c r="D115" s="187">
        <f t="shared" si="1"/>
        <v>10.941547805390149</v>
      </c>
    </row>
    <row r="116" spans="2:4">
      <c r="B116" s="190">
        <v>52.267162982158567</v>
      </c>
      <c r="C116">
        <v>0.19</v>
      </c>
      <c r="D116" s="187">
        <f t="shared" si="1"/>
        <v>9.9307609666101282</v>
      </c>
    </row>
    <row r="117" spans="2:4">
      <c r="B117" s="190">
        <v>52.431717367221168</v>
      </c>
      <c r="C117">
        <v>0.23</v>
      </c>
      <c r="D117" s="187">
        <f t="shared" si="1"/>
        <v>12.059294994460869</v>
      </c>
    </row>
    <row r="118" spans="2:4">
      <c r="B118" s="190">
        <v>52.596271752283769</v>
      </c>
      <c r="C118">
        <v>0.24</v>
      </c>
      <c r="D118" s="187">
        <f t="shared" si="1"/>
        <v>12.623105220548105</v>
      </c>
    </row>
    <row r="119" spans="2:4">
      <c r="B119" s="190">
        <v>52.760826137346371</v>
      </c>
      <c r="C119">
        <v>0.21</v>
      </c>
      <c r="D119" s="187">
        <f t="shared" si="1"/>
        <v>11.079773488842738</v>
      </c>
    </row>
    <row r="120" spans="2:4">
      <c r="B120" s="190">
        <v>52.925380522408993</v>
      </c>
      <c r="C120">
        <v>0.23</v>
      </c>
      <c r="D120" s="187">
        <f t="shared" si="1"/>
        <v>12.172837520154069</v>
      </c>
    </row>
    <row r="121" spans="2:4">
      <c r="B121" s="190">
        <v>53.089934907471587</v>
      </c>
      <c r="C121">
        <v>0.28999999999999998</v>
      </c>
      <c r="D121" s="187">
        <f t="shared" si="1"/>
        <v>15.396081123166759</v>
      </c>
    </row>
    <row r="122" spans="2:4">
      <c r="B122" s="190">
        <v>53.254489292534188</v>
      </c>
      <c r="C122">
        <v>0.25</v>
      </c>
      <c r="D122" s="187">
        <f t="shared" si="1"/>
        <v>13.313622323133547</v>
      </c>
    </row>
    <row r="123" spans="2:4">
      <c r="B123" s="190">
        <v>53.41904367759679</v>
      </c>
      <c r="C123">
        <v>0.24</v>
      </c>
      <c r="D123" s="187">
        <f t="shared" si="1"/>
        <v>12.820570482623229</v>
      </c>
    </row>
    <row r="124" spans="2:4">
      <c r="B124" s="190">
        <v>53.583598062659412</v>
      </c>
      <c r="C124">
        <v>0.26</v>
      </c>
      <c r="D124" s="187">
        <f t="shared" si="1"/>
        <v>13.931735496291447</v>
      </c>
    </row>
    <row r="125" spans="2:4">
      <c r="B125" s="190">
        <v>53.748152447722013</v>
      </c>
      <c r="C125">
        <v>0.28000000000000003</v>
      </c>
      <c r="D125" s="187">
        <f t="shared" si="1"/>
        <v>15.049482685362165</v>
      </c>
    </row>
    <row r="126" spans="2:4">
      <c r="B126" s="190">
        <v>53.912706832784608</v>
      </c>
      <c r="C126">
        <v>0.22</v>
      </c>
      <c r="D126" s="187">
        <f t="shared" si="1"/>
        <v>11.860795503212614</v>
      </c>
    </row>
    <row r="127" spans="2:4">
      <c r="B127" s="190">
        <v>54.077261217847223</v>
      </c>
      <c r="C127">
        <v>0.24</v>
      </c>
      <c r="D127" s="187">
        <f t="shared" si="1"/>
        <v>12.978542692283334</v>
      </c>
    </row>
    <row r="128" spans="2:4">
      <c r="B128" s="190">
        <v>54.241815602909817</v>
      </c>
      <c r="C128">
        <v>0.25</v>
      </c>
      <c r="D128" s="187">
        <f t="shared" si="1"/>
        <v>13.560453900727454</v>
      </c>
    </row>
    <row r="129" spans="2:4">
      <c r="B129" s="190">
        <v>54.406369987972433</v>
      </c>
      <c r="C129">
        <v>0.22</v>
      </c>
      <c r="D129" s="187">
        <f t="shared" si="1"/>
        <v>11.969401397353936</v>
      </c>
    </row>
    <row r="130" spans="2:4">
      <c r="B130" s="190">
        <v>54.570924373035027</v>
      </c>
      <c r="C130">
        <v>0.26</v>
      </c>
      <c r="D130" s="187">
        <f t="shared" si="1"/>
        <v>14.188440336989107</v>
      </c>
    </row>
    <row r="131" spans="2:4">
      <c r="B131" s="190">
        <v>54.735478758097642</v>
      </c>
      <c r="C131">
        <v>0.22</v>
      </c>
      <c r="D131" s="187">
        <f t="shared" si="1"/>
        <v>12.041805326781482</v>
      </c>
    </row>
    <row r="132" spans="2:4">
      <c r="B132" s="190">
        <v>54.900033143160243</v>
      </c>
      <c r="C132">
        <v>0.15</v>
      </c>
      <c r="D132" s="187">
        <f t="shared" ref="D132:D195" si="2">B132*C132</f>
        <v>8.2350049714740354</v>
      </c>
    </row>
    <row r="133" spans="2:4">
      <c r="B133" s="190">
        <v>55.064587528222837</v>
      </c>
      <c r="C133">
        <v>0.25</v>
      </c>
      <c r="D133" s="187">
        <f t="shared" si="2"/>
        <v>13.766146882055709</v>
      </c>
    </row>
    <row r="134" spans="2:4">
      <c r="B134" s="190">
        <v>55.229141913285453</v>
      </c>
      <c r="C134">
        <v>0.25</v>
      </c>
      <c r="D134" s="187">
        <f t="shared" si="2"/>
        <v>13.807285478321363</v>
      </c>
    </row>
    <row r="135" spans="2:4">
      <c r="B135" s="190">
        <v>55.393696298348061</v>
      </c>
      <c r="C135">
        <v>0.2</v>
      </c>
      <c r="D135" s="187">
        <f t="shared" si="2"/>
        <v>11.078739259669613</v>
      </c>
    </row>
    <row r="136" spans="2:4">
      <c r="B136" s="190">
        <v>55.558250683410662</v>
      </c>
      <c r="C136">
        <v>0.22</v>
      </c>
      <c r="D136" s="187">
        <f t="shared" si="2"/>
        <v>12.222815150350346</v>
      </c>
    </row>
    <row r="137" spans="2:4">
      <c r="B137" s="190">
        <v>55.722805068473257</v>
      </c>
      <c r="C137">
        <v>0.21</v>
      </c>
      <c r="D137" s="187">
        <f t="shared" si="2"/>
        <v>11.701789064379383</v>
      </c>
    </row>
    <row r="138" spans="2:4">
      <c r="B138" s="190">
        <v>55.887359453535858</v>
      </c>
      <c r="C138">
        <v>0.2</v>
      </c>
      <c r="D138" s="187">
        <f t="shared" si="2"/>
        <v>11.177471890707173</v>
      </c>
    </row>
    <row r="139" spans="2:4">
      <c r="B139" s="190">
        <v>56.05191383859848</v>
      </c>
      <c r="C139">
        <v>0.17</v>
      </c>
      <c r="D139" s="187">
        <f t="shared" si="2"/>
        <v>9.5288253525617428</v>
      </c>
    </row>
    <row r="140" spans="2:4">
      <c r="B140" s="190">
        <v>56.216468223661082</v>
      </c>
      <c r="C140">
        <v>0.14000000000000001</v>
      </c>
      <c r="D140" s="187">
        <f t="shared" si="2"/>
        <v>7.8703055513125522</v>
      </c>
    </row>
    <row r="141" spans="2:4">
      <c r="B141" s="190">
        <v>56.381022608723683</v>
      </c>
      <c r="C141">
        <v>0.12</v>
      </c>
      <c r="D141" s="187">
        <f t="shared" si="2"/>
        <v>6.7657227130468414</v>
      </c>
    </row>
    <row r="142" spans="2:4">
      <c r="B142" s="190">
        <v>56.545576993786298</v>
      </c>
      <c r="C142">
        <v>0.18</v>
      </c>
      <c r="D142" s="187">
        <f t="shared" si="2"/>
        <v>10.178203858881533</v>
      </c>
    </row>
    <row r="143" spans="2:4">
      <c r="B143" s="190">
        <v>56.710131378848899</v>
      </c>
      <c r="C143">
        <v>0.2</v>
      </c>
      <c r="D143" s="187">
        <f t="shared" si="2"/>
        <v>11.342026275769781</v>
      </c>
    </row>
    <row r="144" spans="2:4">
      <c r="B144" s="190">
        <v>56.874685763911501</v>
      </c>
      <c r="C144">
        <v>0.12</v>
      </c>
      <c r="D144" s="187">
        <f t="shared" si="2"/>
        <v>6.8249622916693795</v>
      </c>
    </row>
    <row r="145" spans="2:4">
      <c r="B145" s="190">
        <v>57.039240148974102</v>
      </c>
      <c r="C145">
        <v>0.27</v>
      </c>
      <c r="D145" s="187">
        <f t="shared" si="2"/>
        <v>15.400594840223009</v>
      </c>
    </row>
    <row r="146" spans="2:4">
      <c r="B146" s="190">
        <v>57.203794534036717</v>
      </c>
      <c r="C146">
        <v>0.24</v>
      </c>
      <c r="D146" s="187">
        <f t="shared" si="2"/>
        <v>13.728910688168812</v>
      </c>
    </row>
    <row r="147" spans="2:4">
      <c r="B147" s="190">
        <v>57.368348919099319</v>
      </c>
      <c r="C147">
        <v>0.22</v>
      </c>
      <c r="D147" s="187">
        <f t="shared" si="2"/>
        <v>12.62103676220185</v>
      </c>
    </row>
    <row r="148" spans="2:4">
      <c r="B148" s="190">
        <v>57.53290330416192</v>
      </c>
      <c r="C148">
        <v>0.19</v>
      </c>
      <c r="D148" s="187">
        <f t="shared" si="2"/>
        <v>10.931251627790765</v>
      </c>
    </row>
    <row r="149" spans="2:4">
      <c r="B149" s="190">
        <v>57.697457689224521</v>
      </c>
      <c r="C149">
        <v>0.19</v>
      </c>
      <c r="D149" s="187">
        <f t="shared" si="2"/>
        <v>10.962516960952659</v>
      </c>
    </row>
    <row r="150" spans="2:4">
      <c r="B150" s="190">
        <v>57.862012074287144</v>
      </c>
      <c r="C150">
        <v>0.24</v>
      </c>
      <c r="D150" s="187">
        <f t="shared" si="2"/>
        <v>13.886882897828913</v>
      </c>
    </row>
    <row r="151" spans="2:4">
      <c r="B151" s="190">
        <v>58.026566459349738</v>
      </c>
      <c r="C151">
        <v>0.18</v>
      </c>
      <c r="D151" s="187">
        <f t="shared" si="2"/>
        <v>10.444781962682953</v>
      </c>
    </row>
    <row r="152" spans="2:4">
      <c r="B152" s="190">
        <v>58.191120844412339</v>
      </c>
      <c r="C152">
        <v>0.31</v>
      </c>
      <c r="D152" s="187">
        <f t="shared" si="2"/>
        <v>18.039247461767825</v>
      </c>
    </row>
    <row r="153" spans="2:4">
      <c r="B153" s="190">
        <v>58.355675229474947</v>
      </c>
      <c r="C153">
        <v>0.19</v>
      </c>
      <c r="D153" s="187">
        <f t="shared" si="2"/>
        <v>11.08757829360024</v>
      </c>
    </row>
    <row r="154" spans="2:4">
      <c r="B154" s="190">
        <v>58.520229614537563</v>
      </c>
      <c r="C154">
        <v>0.18</v>
      </c>
      <c r="D154" s="187">
        <f t="shared" si="2"/>
        <v>10.533641330616762</v>
      </c>
    </row>
    <row r="155" spans="2:4">
      <c r="B155" s="190">
        <v>58.684783999600157</v>
      </c>
      <c r="C155">
        <v>0.25</v>
      </c>
      <c r="D155" s="187">
        <f t="shared" si="2"/>
        <v>14.671195999900039</v>
      </c>
    </row>
    <row r="156" spans="2:4">
      <c r="B156" s="190">
        <v>58.849338384662758</v>
      </c>
      <c r="C156">
        <v>0.23</v>
      </c>
      <c r="D156" s="187">
        <f t="shared" si="2"/>
        <v>13.535347828472435</v>
      </c>
    </row>
    <row r="157" spans="2:4">
      <c r="B157" s="190">
        <v>59.013892769725373</v>
      </c>
      <c r="C157">
        <v>0.15</v>
      </c>
      <c r="D157" s="187">
        <f t="shared" si="2"/>
        <v>8.852083915458806</v>
      </c>
    </row>
    <row r="158" spans="2:4">
      <c r="B158" s="190">
        <v>59.178447154787968</v>
      </c>
      <c r="C158">
        <v>0.16</v>
      </c>
      <c r="D158" s="187">
        <f t="shared" si="2"/>
        <v>9.4685515447660755</v>
      </c>
    </row>
    <row r="159" spans="2:4">
      <c r="B159" s="190">
        <v>59.343001539850583</v>
      </c>
      <c r="C159">
        <v>0.15</v>
      </c>
      <c r="D159" s="187">
        <f t="shared" si="2"/>
        <v>8.9014502309775878</v>
      </c>
    </row>
    <row r="160" spans="2:4">
      <c r="B160" s="190">
        <v>59.507555924913177</v>
      </c>
      <c r="C160">
        <v>0.15</v>
      </c>
      <c r="D160" s="187">
        <f t="shared" si="2"/>
        <v>8.9261333887369769</v>
      </c>
    </row>
    <row r="161" spans="2:4">
      <c r="B161" s="190">
        <v>59.672110309975793</v>
      </c>
      <c r="C161">
        <v>0.25</v>
      </c>
      <c r="D161" s="187">
        <f t="shared" si="2"/>
        <v>14.918027577493948</v>
      </c>
    </row>
    <row r="162" spans="2:4">
      <c r="B162" s="190">
        <v>59.836664695038387</v>
      </c>
      <c r="C162">
        <v>0.18</v>
      </c>
      <c r="D162" s="187">
        <f t="shared" si="2"/>
        <v>10.770599645106909</v>
      </c>
    </row>
    <row r="163" spans="2:4">
      <c r="B163" s="190">
        <v>60.001219080101002</v>
      </c>
      <c r="C163">
        <v>0.24</v>
      </c>
      <c r="D163" s="187">
        <f t="shared" si="2"/>
        <v>14.40029257922424</v>
      </c>
    </row>
    <row r="164" spans="2:4">
      <c r="B164" s="190">
        <v>60.165773465163603</v>
      </c>
      <c r="C164">
        <v>0.2</v>
      </c>
      <c r="D164" s="187">
        <f t="shared" si="2"/>
        <v>12.033154693032721</v>
      </c>
    </row>
    <row r="165" spans="2:4">
      <c r="B165" s="190">
        <v>60.330327850226212</v>
      </c>
      <c r="C165">
        <v>0.16</v>
      </c>
      <c r="D165" s="187">
        <f t="shared" si="2"/>
        <v>9.6528524560361948</v>
      </c>
    </row>
    <row r="166" spans="2:4">
      <c r="B166" s="190">
        <v>60.494882235288813</v>
      </c>
      <c r="C166">
        <v>0.28000000000000003</v>
      </c>
      <c r="D166" s="187">
        <f t="shared" si="2"/>
        <v>16.938567025880868</v>
      </c>
    </row>
    <row r="167" spans="2:4">
      <c r="B167" s="190">
        <v>60.659436620351407</v>
      </c>
      <c r="C167">
        <v>0.17</v>
      </c>
      <c r="D167" s="187">
        <f t="shared" si="2"/>
        <v>10.312104225459739</v>
      </c>
    </row>
    <row r="168" spans="2:4">
      <c r="B168" s="190">
        <v>60.82399100541403</v>
      </c>
      <c r="C168">
        <v>0.09</v>
      </c>
      <c r="D168" s="187">
        <f t="shared" si="2"/>
        <v>5.4741591904872626</v>
      </c>
    </row>
    <row r="169" spans="2:4">
      <c r="B169" s="190">
        <v>60.988545390476631</v>
      </c>
      <c r="C169">
        <v>0.21</v>
      </c>
      <c r="D169" s="187">
        <f t="shared" si="2"/>
        <v>12.807594532000092</v>
      </c>
    </row>
    <row r="170" spans="2:4">
      <c r="B170" s="190">
        <v>61.153099775539232</v>
      </c>
      <c r="C170">
        <v>0.21</v>
      </c>
      <c r="D170" s="187">
        <f t="shared" si="2"/>
        <v>12.842150952863237</v>
      </c>
    </row>
    <row r="171" spans="2:4">
      <c r="B171" s="190">
        <v>61.317654160601833</v>
      </c>
      <c r="C171">
        <v>0.13</v>
      </c>
      <c r="D171" s="187">
        <f t="shared" si="2"/>
        <v>7.971295040878239</v>
      </c>
    </row>
    <row r="172" spans="2:4">
      <c r="B172" s="190">
        <v>61.482208545664449</v>
      </c>
      <c r="C172">
        <v>0.15</v>
      </c>
      <c r="D172" s="187">
        <f t="shared" si="2"/>
        <v>9.2223312818496677</v>
      </c>
    </row>
    <row r="173" spans="2:4">
      <c r="B173" s="190">
        <v>61.64676293072705</v>
      </c>
      <c r="C173">
        <v>0.26</v>
      </c>
      <c r="D173" s="187">
        <f t="shared" si="2"/>
        <v>16.028158361989032</v>
      </c>
    </row>
    <row r="174" spans="2:4">
      <c r="B174" s="190">
        <v>61.811317315789651</v>
      </c>
      <c r="C174">
        <v>6.9999999999999993E-2</v>
      </c>
      <c r="D174" s="187">
        <f t="shared" si="2"/>
        <v>4.3267922121052749</v>
      </c>
    </row>
    <row r="175" spans="2:4">
      <c r="B175" s="190">
        <v>61.975871700852252</v>
      </c>
      <c r="C175">
        <v>0.2</v>
      </c>
      <c r="D175" s="187">
        <f t="shared" si="2"/>
        <v>12.395174340170451</v>
      </c>
    </row>
    <row r="176" spans="2:4">
      <c r="B176" s="190">
        <v>62.140426085914868</v>
      </c>
      <c r="C176">
        <v>0.23</v>
      </c>
      <c r="D176" s="187">
        <f t="shared" si="2"/>
        <v>14.29229799976042</v>
      </c>
    </row>
    <row r="177" spans="2:4">
      <c r="B177" s="190">
        <v>62.304980470977469</v>
      </c>
      <c r="C177">
        <v>0.22</v>
      </c>
      <c r="D177" s="187">
        <f t="shared" si="2"/>
        <v>13.707095703615042</v>
      </c>
    </row>
    <row r="178" spans="2:4">
      <c r="B178" s="190">
        <v>62.46953485604007</v>
      </c>
      <c r="C178">
        <v>0.16</v>
      </c>
      <c r="D178" s="187">
        <f t="shared" si="2"/>
        <v>9.9951255769664122</v>
      </c>
    </row>
    <row r="179" spans="2:4">
      <c r="B179" s="190">
        <v>62.634089241102672</v>
      </c>
      <c r="C179">
        <v>0.25</v>
      </c>
      <c r="D179" s="187">
        <f t="shared" si="2"/>
        <v>15.658522310275668</v>
      </c>
    </row>
    <row r="180" spans="2:4">
      <c r="B180" s="190">
        <v>62.798643626165287</v>
      </c>
      <c r="C180">
        <v>0.15</v>
      </c>
      <c r="D180" s="187">
        <f t="shared" si="2"/>
        <v>9.419796543924793</v>
      </c>
    </row>
    <row r="181" spans="2:4">
      <c r="B181" s="190">
        <v>62.963198011227888</v>
      </c>
      <c r="C181">
        <v>0.15</v>
      </c>
      <c r="D181" s="187">
        <f t="shared" si="2"/>
        <v>9.4444797016841822</v>
      </c>
    </row>
    <row r="182" spans="2:4">
      <c r="B182" s="190">
        <v>63.127752396290489</v>
      </c>
      <c r="C182">
        <v>0.18</v>
      </c>
      <c r="D182" s="187">
        <f t="shared" si="2"/>
        <v>11.362995431332287</v>
      </c>
    </row>
    <row r="183" spans="2:4">
      <c r="B183" s="190">
        <v>63.292306781353098</v>
      </c>
      <c r="C183">
        <v>0.26</v>
      </c>
      <c r="D183" s="187">
        <f t="shared" si="2"/>
        <v>16.455999763151805</v>
      </c>
    </row>
    <row r="184" spans="2:4">
      <c r="B184" s="190">
        <v>63.456861166415713</v>
      </c>
      <c r="C184">
        <v>0.15</v>
      </c>
      <c r="D184" s="187">
        <f t="shared" si="2"/>
        <v>9.5185291749623566</v>
      </c>
    </row>
    <row r="185" spans="2:4">
      <c r="B185" s="190">
        <v>63.621415551478307</v>
      </c>
      <c r="C185">
        <v>0.22</v>
      </c>
      <c r="D185" s="187">
        <f t="shared" si="2"/>
        <v>13.996711421325228</v>
      </c>
    </row>
    <row r="186" spans="2:4">
      <c r="B186" s="190">
        <v>63.785969936540909</v>
      </c>
      <c r="C186">
        <v>0.23</v>
      </c>
      <c r="D186" s="187">
        <f t="shared" si="2"/>
        <v>14.670773085404409</v>
      </c>
    </row>
    <row r="187" spans="2:4">
      <c r="B187" s="190">
        <v>63.950524321603517</v>
      </c>
      <c r="C187">
        <v>0.18</v>
      </c>
      <c r="D187" s="187">
        <f t="shared" si="2"/>
        <v>11.511094377888632</v>
      </c>
    </row>
    <row r="188" spans="2:4">
      <c r="B188" s="190">
        <v>64.115078706666125</v>
      </c>
      <c r="C188">
        <v>0.13</v>
      </c>
      <c r="D188" s="187">
        <f t="shared" si="2"/>
        <v>8.3349602318665958</v>
      </c>
    </row>
    <row r="189" spans="2:4">
      <c r="B189" s="190">
        <v>64.279633091728726</v>
      </c>
      <c r="C189">
        <v>0.12</v>
      </c>
      <c r="D189" s="187">
        <f t="shared" si="2"/>
        <v>7.7135559710074473</v>
      </c>
    </row>
    <row r="190" spans="2:4">
      <c r="B190" s="190">
        <v>64.444187476791342</v>
      </c>
      <c r="C190">
        <v>0.1</v>
      </c>
      <c r="D190" s="187">
        <f t="shared" si="2"/>
        <v>6.4444187476791344</v>
      </c>
    </row>
    <row r="191" spans="2:4">
      <c r="B191" s="190">
        <v>64.608741861853943</v>
      </c>
      <c r="C191">
        <v>0.23</v>
      </c>
      <c r="D191" s="187">
        <f t="shared" si="2"/>
        <v>14.860010628226407</v>
      </c>
    </row>
    <row r="192" spans="2:4">
      <c r="B192" s="190">
        <v>64.773296246916544</v>
      </c>
      <c r="C192">
        <v>0.14000000000000001</v>
      </c>
      <c r="D192" s="187">
        <f t="shared" si="2"/>
        <v>9.0682614745683168</v>
      </c>
    </row>
    <row r="193" spans="2:4">
      <c r="B193" s="190">
        <v>64.937850631979146</v>
      </c>
      <c r="C193">
        <v>0.2</v>
      </c>
      <c r="D193" s="187">
        <f t="shared" si="2"/>
        <v>12.987570126395831</v>
      </c>
    </row>
    <row r="194" spans="2:4">
      <c r="B194" s="190">
        <v>65.102405017041747</v>
      </c>
      <c r="C194">
        <v>0.2</v>
      </c>
      <c r="D194" s="187">
        <f t="shared" si="2"/>
        <v>13.020481003408349</v>
      </c>
    </row>
    <row r="195" spans="2:4">
      <c r="B195" s="190">
        <v>65.266959402104362</v>
      </c>
      <c r="C195">
        <v>0.18</v>
      </c>
      <c r="D195" s="187">
        <f t="shared" si="2"/>
        <v>11.748052692378785</v>
      </c>
    </row>
    <row r="196" spans="2:4">
      <c r="B196" s="190">
        <v>65.431513787166963</v>
      </c>
      <c r="C196">
        <v>0.19</v>
      </c>
      <c r="D196" s="187">
        <f t="shared" ref="D196:D259" si="3">B196*C196</f>
        <v>12.431987619561724</v>
      </c>
    </row>
    <row r="197" spans="2:4">
      <c r="B197" s="190">
        <v>65.596068172229565</v>
      </c>
      <c r="C197">
        <v>0.13</v>
      </c>
      <c r="D197" s="187">
        <f t="shared" si="3"/>
        <v>8.527488862389843</v>
      </c>
    </row>
    <row r="198" spans="2:4">
      <c r="B198" s="190">
        <v>65.76062255729218</v>
      </c>
      <c r="C198">
        <v>0.22</v>
      </c>
      <c r="D198" s="187">
        <f t="shared" si="3"/>
        <v>14.46733696260428</v>
      </c>
    </row>
    <row r="199" spans="2:4">
      <c r="B199" s="190">
        <v>65.925176942354781</v>
      </c>
      <c r="C199">
        <v>0.25</v>
      </c>
      <c r="D199" s="187">
        <f t="shared" si="3"/>
        <v>16.481294235588695</v>
      </c>
    </row>
    <row r="200" spans="2:4">
      <c r="B200" s="190">
        <v>66.089731327417383</v>
      </c>
      <c r="C200">
        <v>0.19</v>
      </c>
      <c r="D200" s="187">
        <f t="shared" si="3"/>
        <v>12.557048952209303</v>
      </c>
    </row>
    <row r="201" spans="2:4">
      <c r="B201" s="190">
        <v>66.254285712479998</v>
      </c>
      <c r="C201">
        <v>0.12</v>
      </c>
      <c r="D201" s="187">
        <f t="shared" si="3"/>
        <v>7.9505142854975999</v>
      </c>
    </row>
    <row r="202" spans="2:4">
      <c r="B202" s="190">
        <v>66.418840097542585</v>
      </c>
      <c r="C202">
        <v>0.11</v>
      </c>
      <c r="D202" s="187">
        <f t="shared" si="3"/>
        <v>7.3060724107296844</v>
      </c>
    </row>
    <row r="203" spans="2:4">
      <c r="B203" s="190">
        <v>66.5833944826052</v>
      </c>
      <c r="C203">
        <v>0.16</v>
      </c>
      <c r="D203" s="187">
        <f t="shared" si="3"/>
        <v>10.653343117216833</v>
      </c>
    </row>
    <row r="204" spans="2:4">
      <c r="B204" s="190">
        <v>66.747948867667816</v>
      </c>
      <c r="C204">
        <v>0.17</v>
      </c>
      <c r="D204" s="187">
        <f t="shared" si="3"/>
        <v>11.347151307503529</v>
      </c>
    </row>
    <row r="205" spans="2:4">
      <c r="B205" s="190">
        <v>66.912503252730403</v>
      </c>
      <c r="C205">
        <v>0.21</v>
      </c>
      <c r="D205" s="187">
        <f t="shared" si="3"/>
        <v>14.051625683073384</v>
      </c>
    </row>
    <row r="206" spans="2:4">
      <c r="B206" s="190">
        <v>67.077057637793018</v>
      </c>
      <c r="C206">
        <v>0.16</v>
      </c>
      <c r="D206" s="187">
        <f t="shared" si="3"/>
        <v>10.732329222046884</v>
      </c>
    </row>
    <row r="207" spans="2:4">
      <c r="B207" s="190">
        <v>67.24161202285562</v>
      </c>
      <c r="C207">
        <v>0.13</v>
      </c>
      <c r="D207" s="187">
        <f t="shared" si="3"/>
        <v>8.7414095629712314</v>
      </c>
    </row>
    <row r="208" spans="2:4">
      <c r="B208" s="190">
        <v>67.406166407918221</v>
      </c>
      <c r="C208">
        <v>0.16</v>
      </c>
      <c r="D208" s="187">
        <f t="shared" si="3"/>
        <v>10.784986625266916</v>
      </c>
    </row>
    <row r="209" spans="2:4">
      <c r="B209" s="190">
        <v>67.570720792980836</v>
      </c>
      <c r="C209">
        <v>0.2</v>
      </c>
      <c r="D209" s="187">
        <f t="shared" si="3"/>
        <v>13.514144158596167</v>
      </c>
    </row>
    <row r="210" spans="2:4">
      <c r="B210" s="190">
        <v>67.735275178043437</v>
      </c>
      <c r="C210">
        <v>0.17</v>
      </c>
      <c r="D210" s="187">
        <f t="shared" si="3"/>
        <v>11.514996780267385</v>
      </c>
    </row>
    <row r="211" spans="2:4">
      <c r="B211" s="190">
        <v>67.899829563106039</v>
      </c>
      <c r="C211">
        <v>0.04</v>
      </c>
      <c r="D211" s="187">
        <f t="shared" si="3"/>
        <v>2.7159931825242416</v>
      </c>
    </row>
    <row r="212" spans="2:4">
      <c r="B212" s="190">
        <v>68.064383948168654</v>
      </c>
      <c r="C212">
        <v>0.11</v>
      </c>
      <c r="D212" s="187">
        <f t="shared" si="3"/>
        <v>7.4870822342985521</v>
      </c>
    </row>
    <row r="213" spans="2:4">
      <c r="B213" s="190">
        <v>68.228938333231241</v>
      </c>
      <c r="C213">
        <v>0.15</v>
      </c>
      <c r="D213" s="187">
        <f t="shared" si="3"/>
        <v>10.234340749984685</v>
      </c>
    </row>
    <row r="214" spans="2:4">
      <c r="B214" s="190">
        <v>68.393492718293857</v>
      </c>
      <c r="C214">
        <v>0.23</v>
      </c>
      <c r="D214" s="187">
        <f t="shared" si="3"/>
        <v>15.730503325207588</v>
      </c>
    </row>
    <row r="215" spans="2:4">
      <c r="B215" s="190">
        <v>68.558047103356458</v>
      </c>
      <c r="C215">
        <v>0.11</v>
      </c>
      <c r="D215" s="187">
        <f t="shared" si="3"/>
        <v>7.5413851813692103</v>
      </c>
    </row>
    <row r="216" spans="2:4">
      <c r="B216" s="190">
        <v>68.722601488419059</v>
      </c>
      <c r="C216">
        <v>0.21</v>
      </c>
      <c r="D216" s="187">
        <f t="shared" si="3"/>
        <v>14.431746312568002</v>
      </c>
    </row>
    <row r="217" spans="2:4">
      <c r="B217" s="190">
        <v>68.887155873481674</v>
      </c>
      <c r="C217">
        <v>0.2</v>
      </c>
      <c r="D217" s="187">
        <f t="shared" si="3"/>
        <v>13.777431174696336</v>
      </c>
    </row>
    <row r="218" spans="2:4">
      <c r="B218" s="190">
        <v>69.051710258544276</v>
      </c>
      <c r="C218">
        <v>0.19</v>
      </c>
      <c r="D218" s="187">
        <f t="shared" si="3"/>
        <v>13.119824949123412</v>
      </c>
    </row>
    <row r="219" spans="2:4">
      <c r="B219" s="190">
        <v>69.216264643606877</v>
      </c>
      <c r="C219">
        <v>0.22</v>
      </c>
      <c r="D219" s="187">
        <f t="shared" si="3"/>
        <v>15.227578221593513</v>
      </c>
    </row>
    <row r="220" spans="2:4">
      <c r="B220" s="190">
        <v>69.380819028669492</v>
      </c>
      <c r="C220">
        <v>0.12</v>
      </c>
      <c r="D220" s="187">
        <f t="shared" si="3"/>
        <v>8.3256982834403388</v>
      </c>
    </row>
    <row r="221" spans="2:4">
      <c r="B221" s="190">
        <v>69.545373413732094</v>
      </c>
      <c r="C221">
        <v>0.11</v>
      </c>
      <c r="D221" s="187">
        <f t="shared" si="3"/>
        <v>7.6499910755105303</v>
      </c>
    </row>
    <row r="222" spans="2:4">
      <c r="B222" s="190">
        <v>69.709927798794695</v>
      </c>
      <c r="C222">
        <v>0.11</v>
      </c>
      <c r="D222" s="187">
        <f t="shared" si="3"/>
        <v>7.6680920578674163</v>
      </c>
    </row>
    <row r="223" spans="2:4">
      <c r="B223" s="190">
        <v>69.87448218385731</v>
      </c>
      <c r="C223">
        <v>0.18</v>
      </c>
      <c r="D223" s="187">
        <f t="shared" si="3"/>
        <v>12.577406793094315</v>
      </c>
    </row>
    <row r="224" spans="2:4">
      <c r="B224" s="190">
        <v>70.039036568919897</v>
      </c>
      <c r="C224">
        <v>0.15</v>
      </c>
      <c r="D224" s="187">
        <f t="shared" si="3"/>
        <v>10.505855485337984</v>
      </c>
    </row>
    <row r="225" spans="2:4">
      <c r="B225" s="190">
        <v>70.203590953982513</v>
      </c>
      <c r="C225">
        <v>0.1</v>
      </c>
      <c r="D225" s="187">
        <f t="shared" si="3"/>
        <v>7.020359095398252</v>
      </c>
    </row>
    <row r="226" spans="2:4">
      <c r="B226" s="190">
        <v>70.368145339045114</v>
      </c>
      <c r="C226">
        <v>0.14000000000000001</v>
      </c>
      <c r="D226" s="187">
        <f t="shared" si="3"/>
        <v>9.851540347466317</v>
      </c>
    </row>
    <row r="227" spans="2:4">
      <c r="B227" s="190">
        <v>70.532699724107715</v>
      </c>
      <c r="C227">
        <v>0.16</v>
      </c>
      <c r="D227" s="187">
        <f t="shared" si="3"/>
        <v>11.285231955857235</v>
      </c>
    </row>
    <row r="228" spans="2:4">
      <c r="B228" s="190">
        <v>70.697254109170331</v>
      </c>
      <c r="C228">
        <v>0.09</v>
      </c>
      <c r="D228" s="187">
        <f t="shared" si="3"/>
        <v>6.3627528698253295</v>
      </c>
    </row>
    <row r="229" spans="2:4">
      <c r="B229" s="190">
        <v>70.861808494232932</v>
      </c>
      <c r="C229">
        <v>0.17</v>
      </c>
      <c r="D229" s="187">
        <f t="shared" si="3"/>
        <v>12.0465074440196</v>
      </c>
    </row>
    <row r="230" spans="2:4">
      <c r="B230" s="190">
        <v>71.026362879295533</v>
      </c>
      <c r="C230">
        <v>0.15</v>
      </c>
      <c r="D230" s="187">
        <f t="shared" si="3"/>
        <v>10.653954431894329</v>
      </c>
    </row>
    <row r="231" spans="2:4">
      <c r="B231" s="190">
        <v>71.190917264358148</v>
      </c>
      <c r="C231">
        <v>0.14000000000000001</v>
      </c>
      <c r="D231" s="187">
        <f t="shared" si="3"/>
        <v>9.9667284170101418</v>
      </c>
    </row>
    <row r="232" spans="2:4">
      <c r="B232" s="190">
        <v>71.35547164942075</v>
      </c>
      <c r="C232">
        <v>0.16</v>
      </c>
      <c r="D232" s="187">
        <f t="shared" si="3"/>
        <v>11.416875463907321</v>
      </c>
    </row>
    <row r="233" spans="2:4">
      <c r="B233" s="190">
        <v>71.520026034483351</v>
      </c>
      <c r="C233">
        <v>0.15</v>
      </c>
      <c r="D233" s="187">
        <f t="shared" si="3"/>
        <v>10.728003905172502</v>
      </c>
    </row>
    <row r="234" spans="2:4">
      <c r="B234" s="190">
        <v>71.684580419545966</v>
      </c>
      <c r="C234">
        <v>0.17</v>
      </c>
      <c r="D234" s="187">
        <f t="shared" si="3"/>
        <v>12.186378671322815</v>
      </c>
    </row>
    <row r="235" spans="2:4">
      <c r="B235" s="190">
        <v>71.849134804608553</v>
      </c>
      <c r="C235">
        <v>0.13</v>
      </c>
      <c r="D235" s="187">
        <f t="shared" si="3"/>
        <v>9.3403875245991124</v>
      </c>
    </row>
    <row r="236" spans="2:4">
      <c r="B236" s="190">
        <v>72.013689189671169</v>
      </c>
      <c r="C236">
        <v>0.16</v>
      </c>
      <c r="D236" s="187">
        <f t="shared" si="3"/>
        <v>11.522190270347387</v>
      </c>
    </row>
    <row r="237" spans="2:4">
      <c r="B237" s="190">
        <v>72.17824357473377</v>
      </c>
      <c r="C237">
        <v>0.16</v>
      </c>
      <c r="D237" s="187">
        <f t="shared" si="3"/>
        <v>11.548518971957403</v>
      </c>
    </row>
    <row r="238" spans="2:4">
      <c r="B238" s="190">
        <v>72.342797959796371</v>
      </c>
      <c r="C238">
        <v>0.18</v>
      </c>
      <c r="D238" s="187">
        <f t="shared" si="3"/>
        <v>13.021703632763346</v>
      </c>
    </row>
    <row r="239" spans="2:4">
      <c r="B239" s="190">
        <v>72.507352344858987</v>
      </c>
      <c r="C239">
        <v>0.17</v>
      </c>
      <c r="D239" s="187">
        <f t="shared" si="3"/>
        <v>12.326249898626029</v>
      </c>
    </row>
    <row r="240" spans="2:4">
      <c r="B240" s="190">
        <v>72.671906729921588</v>
      </c>
      <c r="C240">
        <v>0.15</v>
      </c>
      <c r="D240" s="187">
        <f t="shared" si="3"/>
        <v>10.900786009488238</v>
      </c>
    </row>
    <row r="241" spans="2:4">
      <c r="B241" s="190">
        <v>72.836461114984189</v>
      </c>
      <c r="C241">
        <v>0.14000000000000001</v>
      </c>
      <c r="D241" s="187">
        <f t="shared" si="3"/>
        <v>10.197104556097788</v>
      </c>
    </row>
    <row r="242" spans="2:4">
      <c r="B242" s="190">
        <v>73.001015500046805</v>
      </c>
      <c r="C242">
        <v>0.14000000000000001</v>
      </c>
      <c r="D242" s="187">
        <f t="shared" si="3"/>
        <v>10.220142170006554</v>
      </c>
    </row>
    <row r="243" spans="2:4">
      <c r="B243" s="190">
        <v>73.165569885109392</v>
      </c>
      <c r="C243">
        <v>0.15</v>
      </c>
      <c r="D243" s="187">
        <f t="shared" si="3"/>
        <v>10.974835482766409</v>
      </c>
    </row>
    <row r="244" spans="2:4">
      <c r="B244" s="190">
        <v>73.330124270172007</v>
      </c>
      <c r="C244">
        <v>0.19</v>
      </c>
      <c r="D244" s="187">
        <f t="shared" si="3"/>
        <v>13.932723611332682</v>
      </c>
    </row>
    <row r="245" spans="2:4">
      <c r="B245" s="190">
        <v>73.494678655234623</v>
      </c>
      <c r="C245">
        <v>0.12</v>
      </c>
      <c r="D245" s="187">
        <f t="shared" si="3"/>
        <v>8.8193614386281549</v>
      </c>
    </row>
    <row r="246" spans="2:4">
      <c r="B246" s="190">
        <v>73.65923304029721</v>
      </c>
      <c r="C246">
        <v>0.15</v>
      </c>
      <c r="D246" s="187">
        <f t="shared" si="3"/>
        <v>11.048884956044581</v>
      </c>
    </row>
    <row r="247" spans="2:4">
      <c r="B247" s="190">
        <v>73.823787425359825</v>
      </c>
      <c r="C247">
        <v>0.1</v>
      </c>
      <c r="D247" s="187">
        <f t="shared" si="3"/>
        <v>7.382378742535983</v>
      </c>
    </row>
    <row r="248" spans="2:4">
      <c r="B248" s="190">
        <v>73.988341810422426</v>
      </c>
      <c r="C248">
        <v>0.09</v>
      </c>
      <c r="D248" s="187">
        <f t="shared" si="3"/>
        <v>6.6589507629380185</v>
      </c>
    </row>
    <row r="249" spans="2:4">
      <c r="B249" s="190">
        <v>74.152896195485027</v>
      </c>
      <c r="C249">
        <v>0.11</v>
      </c>
      <c r="D249" s="187">
        <f t="shared" si="3"/>
        <v>8.1568185815033534</v>
      </c>
    </row>
    <row r="250" spans="2:4">
      <c r="B250" s="190">
        <v>74.317450580547643</v>
      </c>
      <c r="C250">
        <v>0.12</v>
      </c>
      <c r="D250" s="187">
        <f t="shared" si="3"/>
        <v>8.9180940696657167</v>
      </c>
    </row>
    <row r="251" spans="2:4">
      <c r="B251" s="190">
        <v>74.482004965610244</v>
      </c>
      <c r="C251">
        <v>0.13</v>
      </c>
      <c r="D251" s="187">
        <f t="shared" si="3"/>
        <v>9.6826606455293316</v>
      </c>
    </row>
    <row r="252" spans="2:4">
      <c r="B252" s="190">
        <v>74.646559350672845</v>
      </c>
      <c r="C252">
        <v>0.15</v>
      </c>
      <c r="D252" s="187">
        <f t="shared" si="3"/>
        <v>11.196983902600927</v>
      </c>
    </row>
    <row r="253" spans="2:4">
      <c r="B253" s="190">
        <v>74.811113735735461</v>
      </c>
      <c r="C253">
        <v>0.17</v>
      </c>
      <c r="D253" s="187">
        <f t="shared" si="3"/>
        <v>12.717889335075029</v>
      </c>
    </row>
    <row r="254" spans="2:4">
      <c r="B254" s="190">
        <v>74.975668120798048</v>
      </c>
      <c r="C254">
        <v>0.11</v>
      </c>
      <c r="D254" s="187">
        <f t="shared" si="3"/>
        <v>8.2473234932877855</v>
      </c>
    </row>
    <row r="255" spans="2:4">
      <c r="B255" s="190">
        <v>75.140222505860663</v>
      </c>
      <c r="C255">
        <v>0.12</v>
      </c>
      <c r="D255" s="187">
        <f t="shared" si="3"/>
        <v>9.0168267007032785</v>
      </c>
    </row>
    <row r="256" spans="2:4">
      <c r="B256" s="190">
        <v>75.304776890923264</v>
      </c>
      <c r="C256">
        <v>0.19</v>
      </c>
      <c r="D256" s="187">
        <f t="shared" si="3"/>
        <v>14.30790760927542</v>
      </c>
    </row>
    <row r="257" spans="2:4">
      <c r="B257" s="190">
        <v>75.469331275985866</v>
      </c>
      <c r="C257">
        <v>0.12</v>
      </c>
      <c r="D257" s="187">
        <f t="shared" si="3"/>
        <v>9.056319753118304</v>
      </c>
    </row>
    <row r="258" spans="2:4">
      <c r="B258" s="190">
        <v>75.633885661048481</v>
      </c>
      <c r="C258">
        <v>0.08</v>
      </c>
      <c r="D258" s="187">
        <f t="shared" si="3"/>
        <v>6.0507108528838787</v>
      </c>
    </row>
    <row r="259" spans="2:4">
      <c r="B259" s="190">
        <v>75.798440046111082</v>
      </c>
      <c r="C259">
        <v>0.13</v>
      </c>
      <c r="D259" s="187">
        <f t="shared" si="3"/>
        <v>9.8537972059944412</v>
      </c>
    </row>
    <row r="260" spans="2:4">
      <c r="B260" s="190">
        <v>75.962994431173684</v>
      </c>
      <c r="C260">
        <v>0.16</v>
      </c>
      <c r="D260" s="187">
        <f t="shared" ref="D260:D323" si="4">B260*C260</f>
        <v>12.154079108987789</v>
      </c>
    </row>
    <row r="261" spans="2:4">
      <c r="B261" s="190">
        <v>76.127548816236299</v>
      </c>
      <c r="C261">
        <v>0.11</v>
      </c>
      <c r="D261" s="187">
        <f t="shared" si="4"/>
        <v>8.3740303697859932</v>
      </c>
    </row>
    <row r="262" spans="2:4">
      <c r="B262" s="190">
        <v>76.2921032012989</v>
      </c>
      <c r="C262">
        <v>0.06</v>
      </c>
      <c r="D262" s="187">
        <f t="shared" si="4"/>
        <v>4.5775261920779338</v>
      </c>
    </row>
    <row r="263" spans="2:4">
      <c r="B263" s="190">
        <v>76.456657586361501</v>
      </c>
      <c r="C263">
        <v>0.12</v>
      </c>
      <c r="D263" s="187">
        <f t="shared" si="4"/>
        <v>9.1747989103633802</v>
      </c>
    </row>
    <row r="264" spans="2:4">
      <c r="B264" s="190">
        <v>76.621211971424117</v>
      </c>
      <c r="C264">
        <v>0.1</v>
      </c>
      <c r="D264" s="187">
        <f t="shared" si="4"/>
        <v>7.6621211971424117</v>
      </c>
    </row>
    <row r="265" spans="2:4">
      <c r="B265" s="190">
        <v>76.785766356486704</v>
      </c>
      <c r="C265">
        <v>0.11</v>
      </c>
      <c r="D265" s="187">
        <f t="shared" si="4"/>
        <v>8.4464342992135375</v>
      </c>
    </row>
    <row r="266" spans="2:4">
      <c r="B266" s="190">
        <v>76.950320741549319</v>
      </c>
      <c r="C266">
        <v>0.12</v>
      </c>
      <c r="D266" s="187">
        <f t="shared" si="4"/>
        <v>9.2340384889859184</v>
      </c>
    </row>
    <row r="267" spans="2:4">
      <c r="B267" s="190">
        <v>77.114875126611921</v>
      </c>
      <c r="C267">
        <v>0.11</v>
      </c>
      <c r="D267" s="187">
        <f t="shared" si="4"/>
        <v>8.4826362639273114</v>
      </c>
    </row>
    <row r="268" spans="2:4">
      <c r="B268" s="190">
        <v>77.279429511674522</v>
      </c>
      <c r="C268">
        <v>0.1</v>
      </c>
      <c r="D268" s="187">
        <f t="shared" si="4"/>
        <v>7.7279429511674529</v>
      </c>
    </row>
    <row r="269" spans="2:4">
      <c r="B269" s="190">
        <v>77.443983896737137</v>
      </c>
      <c r="C269">
        <v>0.15</v>
      </c>
      <c r="D269" s="187">
        <f t="shared" si="4"/>
        <v>11.61659758451057</v>
      </c>
    </row>
    <row r="270" spans="2:4">
      <c r="B270" s="190">
        <v>77.608538281799738</v>
      </c>
      <c r="C270">
        <v>0.22</v>
      </c>
      <c r="D270" s="187">
        <f t="shared" si="4"/>
        <v>17.073878421995943</v>
      </c>
    </row>
    <row r="271" spans="2:4">
      <c r="B271" s="190">
        <v>77.77309266686234</v>
      </c>
      <c r="C271">
        <v>0.04</v>
      </c>
      <c r="D271" s="187">
        <f t="shared" si="4"/>
        <v>3.1109237066744937</v>
      </c>
    </row>
    <row r="272" spans="2:4">
      <c r="B272" s="190">
        <v>77.937647051924955</v>
      </c>
      <c r="C272">
        <v>0.15</v>
      </c>
      <c r="D272" s="187">
        <f t="shared" si="4"/>
        <v>11.690647057788743</v>
      </c>
    </row>
    <row r="273" spans="2:4">
      <c r="B273" s="190">
        <v>78.102201436987542</v>
      </c>
      <c r="C273">
        <v>0.1</v>
      </c>
      <c r="D273" s="187">
        <f t="shared" si="4"/>
        <v>7.8102201436987544</v>
      </c>
    </row>
    <row r="274" spans="2:4">
      <c r="B274" s="190">
        <v>78.266755822050158</v>
      </c>
      <c r="C274">
        <v>0.08</v>
      </c>
      <c r="D274" s="187">
        <f t="shared" si="4"/>
        <v>6.2613404657640128</v>
      </c>
    </row>
    <row r="275" spans="2:4">
      <c r="B275" s="190">
        <v>78.431310207112773</v>
      </c>
      <c r="C275">
        <v>0.09</v>
      </c>
      <c r="D275" s="187">
        <f t="shared" si="4"/>
        <v>7.0588179186401492</v>
      </c>
    </row>
    <row r="276" spans="2:4">
      <c r="B276" s="190">
        <v>78.59586459217536</v>
      </c>
      <c r="C276">
        <v>0.15</v>
      </c>
      <c r="D276" s="187">
        <f t="shared" si="4"/>
        <v>11.789379688826303</v>
      </c>
    </row>
    <row r="277" spans="2:4">
      <c r="B277" s="190">
        <v>78.760418977237975</v>
      </c>
      <c r="C277">
        <v>6.9999999999999993E-2</v>
      </c>
      <c r="D277" s="187">
        <f t="shared" si="4"/>
        <v>5.5132293284066574</v>
      </c>
    </row>
    <row r="278" spans="2:4">
      <c r="B278" s="190">
        <v>78.924973362300577</v>
      </c>
      <c r="C278">
        <v>0.11</v>
      </c>
      <c r="D278" s="187">
        <f t="shared" si="4"/>
        <v>8.6817470698530634</v>
      </c>
    </row>
    <row r="279" spans="2:4">
      <c r="B279" s="190">
        <v>79.089527747363178</v>
      </c>
      <c r="C279">
        <v>0.13</v>
      </c>
      <c r="D279" s="187">
        <f t="shared" si="4"/>
        <v>10.281638607157214</v>
      </c>
    </row>
    <row r="280" spans="2:4">
      <c r="B280" s="190">
        <v>79.254082132425793</v>
      </c>
      <c r="C280">
        <v>0.12</v>
      </c>
      <c r="D280" s="187">
        <f t="shared" si="4"/>
        <v>9.5104898558910946</v>
      </c>
    </row>
    <row r="281" spans="2:4">
      <c r="B281" s="190">
        <v>79.418636517488395</v>
      </c>
      <c r="C281">
        <v>0.09</v>
      </c>
      <c r="D281" s="187">
        <f t="shared" si="4"/>
        <v>7.1476772865739555</v>
      </c>
    </row>
    <row r="282" spans="2:4">
      <c r="B282" s="190">
        <v>79.583190902550996</v>
      </c>
      <c r="C282">
        <v>0.08</v>
      </c>
      <c r="D282" s="187">
        <f t="shared" si="4"/>
        <v>6.3666552722040795</v>
      </c>
    </row>
    <row r="283" spans="2:4">
      <c r="B283" s="190">
        <v>79.747745287613611</v>
      </c>
      <c r="C283">
        <v>0.17</v>
      </c>
      <c r="D283" s="187">
        <f t="shared" si="4"/>
        <v>13.557116698894315</v>
      </c>
    </row>
    <row r="284" spans="2:4">
      <c r="B284" s="190">
        <v>79.912299672676198</v>
      </c>
      <c r="C284">
        <v>0.14000000000000001</v>
      </c>
      <c r="D284" s="187">
        <f t="shared" si="4"/>
        <v>11.187721954174668</v>
      </c>
    </row>
    <row r="285" spans="2:4">
      <c r="B285" s="190">
        <v>80.076854057738814</v>
      </c>
      <c r="C285">
        <v>0.14000000000000001</v>
      </c>
      <c r="D285" s="187">
        <f t="shared" si="4"/>
        <v>11.210759568083436</v>
      </c>
    </row>
    <row r="286" spans="2:4">
      <c r="B286" s="190">
        <v>80.241408442801415</v>
      </c>
      <c r="C286">
        <v>0.08</v>
      </c>
      <c r="D286" s="187">
        <f t="shared" si="4"/>
        <v>6.4193126754241137</v>
      </c>
    </row>
    <row r="287" spans="2:4">
      <c r="B287" s="190">
        <v>80.405962827864016</v>
      </c>
      <c r="C287">
        <v>0.09</v>
      </c>
      <c r="D287" s="187">
        <f t="shared" si="4"/>
        <v>7.236536654507761</v>
      </c>
    </row>
    <row r="288" spans="2:4">
      <c r="B288" s="190">
        <v>80.570517212926632</v>
      </c>
      <c r="C288">
        <v>0.05</v>
      </c>
      <c r="D288" s="187">
        <f t="shared" si="4"/>
        <v>4.0285258606463321</v>
      </c>
    </row>
    <row r="289" spans="2:4">
      <c r="B289" s="190">
        <v>80.735071597989233</v>
      </c>
      <c r="C289">
        <v>0.08</v>
      </c>
      <c r="D289" s="187">
        <f t="shared" si="4"/>
        <v>6.4588057278391391</v>
      </c>
    </row>
    <row r="290" spans="2:4">
      <c r="B290" s="190">
        <v>80.899625983051834</v>
      </c>
      <c r="C290">
        <v>0.08</v>
      </c>
      <c r="D290" s="187">
        <f t="shared" si="4"/>
        <v>6.471970078644147</v>
      </c>
    </row>
    <row r="291" spans="2:4">
      <c r="B291" s="190">
        <v>81.064180368114449</v>
      </c>
      <c r="C291">
        <v>0.1</v>
      </c>
      <c r="D291" s="187">
        <f t="shared" si="4"/>
        <v>8.106418036811446</v>
      </c>
    </row>
    <row r="292" spans="2:4">
      <c r="B292" s="190">
        <v>81.228734753177051</v>
      </c>
      <c r="C292">
        <v>0.06</v>
      </c>
      <c r="D292" s="187">
        <f t="shared" si="4"/>
        <v>4.8737240851906227</v>
      </c>
    </row>
    <row r="293" spans="2:4">
      <c r="B293" s="190">
        <v>81.393289138239652</v>
      </c>
      <c r="C293">
        <v>6.9999999999999993E-2</v>
      </c>
      <c r="D293" s="187">
        <f t="shared" si="4"/>
        <v>5.6975302396767749</v>
      </c>
    </row>
    <row r="294" spans="2:4">
      <c r="B294" s="190">
        <v>81.557843523302267</v>
      </c>
      <c r="C294">
        <v>0.11</v>
      </c>
      <c r="D294" s="187">
        <f t="shared" si="4"/>
        <v>8.9713627875632493</v>
      </c>
    </row>
    <row r="295" spans="2:4">
      <c r="B295" s="190">
        <v>81.722397908364854</v>
      </c>
      <c r="C295">
        <v>0.14000000000000001</v>
      </c>
      <c r="D295" s="187">
        <f t="shared" si="4"/>
        <v>11.44113570717108</v>
      </c>
    </row>
    <row r="296" spans="2:4">
      <c r="B296" s="190">
        <v>81.88695229342747</v>
      </c>
      <c r="C296">
        <v>0.14000000000000001</v>
      </c>
      <c r="D296" s="187">
        <f t="shared" si="4"/>
        <v>11.464173321079846</v>
      </c>
    </row>
    <row r="297" spans="2:4">
      <c r="B297" s="190">
        <v>82.051506678490071</v>
      </c>
      <c r="C297">
        <v>0.09</v>
      </c>
      <c r="D297" s="187">
        <f t="shared" si="4"/>
        <v>7.3846356010641063</v>
      </c>
    </row>
    <row r="298" spans="2:4">
      <c r="B298" s="190">
        <v>82.216061063552672</v>
      </c>
      <c r="C298">
        <v>6.9999999999999993E-2</v>
      </c>
      <c r="D298" s="187">
        <f t="shared" si="4"/>
        <v>5.7551242744486864</v>
      </c>
    </row>
    <row r="299" spans="2:4">
      <c r="B299" s="190">
        <v>82.380615448615288</v>
      </c>
      <c r="C299">
        <v>0.12</v>
      </c>
      <c r="D299" s="187">
        <f t="shared" si="4"/>
        <v>9.8856738538338345</v>
      </c>
    </row>
    <row r="300" spans="2:4">
      <c r="B300" s="190">
        <v>82.545169833677889</v>
      </c>
      <c r="C300">
        <v>0.12</v>
      </c>
      <c r="D300" s="187">
        <f t="shared" si="4"/>
        <v>9.9054203800413472</v>
      </c>
    </row>
    <row r="301" spans="2:4">
      <c r="B301" s="190">
        <v>82.70972421874049</v>
      </c>
      <c r="C301">
        <v>0.11</v>
      </c>
      <c r="D301" s="187">
        <f t="shared" si="4"/>
        <v>9.0980696640614536</v>
      </c>
    </row>
    <row r="302" spans="2:4">
      <c r="B302" s="190">
        <v>82.874278603803106</v>
      </c>
      <c r="C302">
        <v>0.08</v>
      </c>
      <c r="D302" s="187">
        <f t="shared" si="4"/>
        <v>6.6299422883042487</v>
      </c>
    </row>
    <row r="303" spans="2:4">
      <c r="B303" s="190">
        <v>83.038832988865707</v>
      </c>
      <c r="C303">
        <v>6.9999999999999993E-2</v>
      </c>
      <c r="D303" s="187">
        <f t="shared" si="4"/>
        <v>5.8127183092205987</v>
      </c>
    </row>
    <row r="304" spans="2:4">
      <c r="B304" s="190">
        <v>83.203387373928308</v>
      </c>
      <c r="C304">
        <v>0.08</v>
      </c>
      <c r="D304" s="187">
        <f t="shared" si="4"/>
        <v>6.6562709899142645</v>
      </c>
    </row>
    <row r="305" spans="2:4">
      <c r="B305" s="190">
        <v>83.367941758990924</v>
      </c>
      <c r="C305">
        <v>0.08</v>
      </c>
      <c r="D305" s="187">
        <f t="shared" si="4"/>
        <v>6.6694353407192741</v>
      </c>
    </row>
    <row r="306" spans="2:4">
      <c r="B306" s="190">
        <v>83.532496144053511</v>
      </c>
      <c r="C306">
        <v>0.14000000000000001</v>
      </c>
      <c r="D306" s="187">
        <f t="shared" si="4"/>
        <v>11.694549460167492</v>
      </c>
    </row>
    <row r="307" spans="2:4">
      <c r="B307" s="190">
        <v>83.697050529116126</v>
      </c>
      <c r="C307">
        <v>0.08</v>
      </c>
      <c r="D307" s="187">
        <f t="shared" si="4"/>
        <v>6.6957640423292899</v>
      </c>
    </row>
    <row r="308" spans="2:4">
      <c r="B308" s="190">
        <v>83.861604914178727</v>
      </c>
      <c r="C308">
        <v>0.15</v>
      </c>
      <c r="D308" s="187">
        <f t="shared" si="4"/>
        <v>12.579240737126808</v>
      </c>
    </row>
    <row r="309" spans="2:4">
      <c r="B309" s="190">
        <v>84.026159299241328</v>
      </c>
      <c r="C309">
        <v>0.14000000000000001</v>
      </c>
      <c r="D309" s="187">
        <f t="shared" si="4"/>
        <v>11.763662301893786</v>
      </c>
    </row>
    <row r="310" spans="2:4">
      <c r="B310" s="190">
        <v>84.190713684303944</v>
      </c>
      <c r="C310">
        <v>0.13</v>
      </c>
      <c r="D310" s="187">
        <f t="shared" si="4"/>
        <v>10.944792778959513</v>
      </c>
    </row>
    <row r="311" spans="2:4">
      <c r="B311" s="190">
        <v>84.355268069366545</v>
      </c>
      <c r="C311">
        <v>0.15</v>
      </c>
      <c r="D311" s="187">
        <f t="shared" si="4"/>
        <v>12.653290210404981</v>
      </c>
    </row>
    <row r="312" spans="2:4">
      <c r="B312" s="190">
        <v>84.519822454429146</v>
      </c>
      <c r="C312">
        <v>0.12</v>
      </c>
      <c r="D312" s="187">
        <f t="shared" si="4"/>
        <v>10.142378694531498</v>
      </c>
    </row>
    <row r="313" spans="2:4">
      <c r="B313" s="190">
        <v>84.684376839491762</v>
      </c>
      <c r="C313">
        <v>0.1</v>
      </c>
      <c r="D313" s="187">
        <f t="shared" si="4"/>
        <v>8.4684376839491762</v>
      </c>
    </row>
    <row r="314" spans="2:4">
      <c r="B314" s="190">
        <v>84.848931224554349</v>
      </c>
      <c r="C314">
        <v>0.12</v>
      </c>
      <c r="D314" s="187">
        <f t="shared" si="4"/>
        <v>10.181871746946522</v>
      </c>
    </row>
    <row r="315" spans="2:4">
      <c r="B315" s="190">
        <v>85.013485609616964</v>
      </c>
      <c r="C315">
        <v>0.18</v>
      </c>
      <c r="D315" s="187">
        <f t="shared" si="4"/>
        <v>15.302427409731052</v>
      </c>
    </row>
    <row r="316" spans="2:4">
      <c r="B316" s="190">
        <v>85.17803999467958</v>
      </c>
      <c r="C316">
        <v>0.17</v>
      </c>
      <c r="D316" s="187">
        <f t="shared" si="4"/>
        <v>14.48026679909553</v>
      </c>
    </row>
    <row r="317" spans="2:4">
      <c r="B317" s="190">
        <v>85.342594379742167</v>
      </c>
      <c r="C317">
        <v>0.18</v>
      </c>
      <c r="D317" s="187">
        <f t="shared" si="4"/>
        <v>15.361666988353589</v>
      </c>
    </row>
    <row r="318" spans="2:4">
      <c r="B318" s="190">
        <v>85.507148764804782</v>
      </c>
      <c r="C318">
        <v>0.15</v>
      </c>
      <c r="D318" s="187">
        <f t="shared" si="4"/>
        <v>12.826072314720717</v>
      </c>
    </row>
    <row r="319" spans="2:4">
      <c r="B319" s="190">
        <v>85.671703149867383</v>
      </c>
      <c r="C319">
        <v>0.15</v>
      </c>
      <c r="D319" s="187">
        <f t="shared" si="4"/>
        <v>12.850755472480108</v>
      </c>
    </row>
    <row r="320" spans="2:4">
      <c r="B320" s="190">
        <v>85.836257534929985</v>
      </c>
      <c r="C320">
        <v>0.17</v>
      </c>
      <c r="D320" s="187">
        <f t="shared" si="4"/>
        <v>14.592163780938099</v>
      </c>
    </row>
    <row r="321" spans="2:4">
      <c r="B321" s="190">
        <v>86.0008119199926</v>
      </c>
      <c r="C321">
        <v>0.22</v>
      </c>
      <c r="D321" s="187">
        <f t="shared" si="4"/>
        <v>18.920178622398371</v>
      </c>
    </row>
    <row r="322" spans="2:4">
      <c r="B322" s="190">
        <v>86.165366305055201</v>
      </c>
      <c r="C322">
        <v>0.21</v>
      </c>
      <c r="D322" s="187">
        <f t="shared" si="4"/>
        <v>18.094726924061593</v>
      </c>
    </row>
    <row r="323" spans="2:4">
      <c r="B323" s="190">
        <v>86.329920690117802</v>
      </c>
      <c r="C323">
        <v>0.21</v>
      </c>
      <c r="D323" s="187">
        <f t="shared" si="4"/>
        <v>18.129283344924737</v>
      </c>
    </row>
    <row r="324" spans="2:4">
      <c r="B324" s="190">
        <v>86.494475075180418</v>
      </c>
      <c r="C324">
        <v>0.22</v>
      </c>
      <c r="D324" s="187">
        <f t="shared" ref="D324:D387" si="5">B324*C324</f>
        <v>19.028784516539691</v>
      </c>
    </row>
    <row r="325" spans="2:4">
      <c r="B325" s="190">
        <v>86.659029460243005</v>
      </c>
      <c r="C325">
        <v>0.21</v>
      </c>
      <c r="D325" s="187">
        <f t="shared" si="5"/>
        <v>18.198396186651031</v>
      </c>
    </row>
    <row r="326" spans="2:4">
      <c r="B326" s="190">
        <v>86.82358384530562</v>
      </c>
      <c r="C326">
        <v>0.22</v>
      </c>
      <c r="D326" s="187">
        <f t="shared" si="5"/>
        <v>19.101188445967235</v>
      </c>
    </row>
    <row r="327" spans="2:4">
      <c r="B327" s="190">
        <v>86.988138230368222</v>
      </c>
      <c r="C327">
        <v>0.27</v>
      </c>
      <c r="D327" s="187">
        <f t="shared" si="5"/>
        <v>23.486797322199422</v>
      </c>
    </row>
    <row r="328" spans="2:4">
      <c r="B328" s="190">
        <v>87.152692615430823</v>
      </c>
      <c r="C328">
        <v>0.2</v>
      </c>
      <c r="D328" s="187">
        <f t="shared" si="5"/>
        <v>17.430538523086167</v>
      </c>
    </row>
    <row r="329" spans="2:4">
      <c r="B329" s="190">
        <v>87.317247000493438</v>
      </c>
      <c r="C329">
        <v>0.25</v>
      </c>
      <c r="D329" s="187">
        <f t="shared" si="5"/>
        <v>21.82931175012336</v>
      </c>
    </row>
    <row r="330" spans="2:4">
      <c r="B330" s="190">
        <v>87.481801385556039</v>
      </c>
      <c r="C330">
        <v>0.3</v>
      </c>
      <c r="D330" s="187">
        <f t="shared" si="5"/>
        <v>26.244540415666812</v>
      </c>
    </row>
    <row r="331" spans="2:4">
      <c r="B331" s="190">
        <v>87.646355770618641</v>
      </c>
      <c r="C331">
        <v>0.27</v>
      </c>
      <c r="D331" s="187">
        <f t="shared" si="5"/>
        <v>23.664516058067033</v>
      </c>
    </row>
    <row r="332" spans="2:4">
      <c r="B332" s="190">
        <v>87.810910155681256</v>
      </c>
      <c r="C332">
        <v>0.28000000000000003</v>
      </c>
      <c r="D332" s="187">
        <f t="shared" si="5"/>
        <v>24.587054843590753</v>
      </c>
    </row>
    <row r="333" spans="2:4">
      <c r="B333" s="190">
        <v>87.975464540743857</v>
      </c>
      <c r="C333">
        <v>0.27</v>
      </c>
      <c r="D333" s="187">
        <f t="shared" si="5"/>
        <v>23.753375426000844</v>
      </c>
    </row>
    <row r="334" spans="2:4">
      <c r="B334" s="190">
        <v>88.140018925806459</v>
      </c>
      <c r="C334">
        <v>0.33</v>
      </c>
      <c r="D334" s="187">
        <f t="shared" si="5"/>
        <v>29.086206245516134</v>
      </c>
    </row>
    <row r="335" spans="2:4">
      <c r="B335" s="190">
        <v>88.304573310869074</v>
      </c>
      <c r="C335">
        <v>0.26</v>
      </c>
      <c r="D335" s="187">
        <f t="shared" si="5"/>
        <v>22.95918906082596</v>
      </c>
    </row>
    <row r="336" spans="2:4">
      <c r="B336" s="190">
        <v>88.469127695931661</v>
      </c>
      <c r="C336">
        <v>0.22</v>
      </c>
      <c r="D336" s="187">
        <f t="shared" si="5"/>
        <v>19.463208093104967</v>
      </c>
    </row>
    <row r="337" spans="2:4">
      <c r="B337" s="190">
        <v>88.633682080994276</v>
      </c>
      <c r="C337">
        <v>0.25</v>
      </c>
      <c r="D337" s="187">
        <f t="shared" si="5"/>
        <v>22.158420520248569</v>
      </c>
    </row>
    <row r="338" spans="2:4">
      <c r="B338" s="190">
        <v>88.798236466056878</v>
      </c>
      <c r="C338">
        <v>0.37</v>
      </c>
      <c r="D338" s="187">
        <f t="shared" si="5"/>
        <v>32.855347492441041</v>
      </c>
    </row>
    <row r="339" spans="2:4">
      <c r="B339" s="190">
        <v>88.962790851119479</v>
      </c>
      <c r="C339">
        <v>0.47</v>
      </c>
      <c r="D339" s="187">
        <f t="shared" si="5"/>
        <v>41.81251170002615</v>
      </c>
    </row>
    <row r="340" spans="2:4">
      <c r="B340" s="190">
        <v>89.127345236182094</v>
      </c>
      <c r="C340">
        <v>0.4</v>
      </c>
      <c r="D340" s="187">
        <f t="shared" si="5"/>
        <v>35.650938094472842</v>
      </c>
    </row>
    <row r="341" spans="2:4">
      <c r="B341" s="190">
        <v>89.291899621244696</v>
      </c>
      <c r="C341">
        <v>0.27</v>
      </c>
      <c r="D341" s="187">
        <f t="shared" si="5"/>
        <v>24.108812897736069</v>
      </c>
    </row>
    <row r="342" spans="2:4">
      <c r="B342" s="190">
        <v>89.456454006307297</v>
      </c>
      <c r="C342">
        <v>0.34</v>
      </c>
      <c r="D342" s="187">
        <f t="shared" si="5"/>
        <v>30.415194362144483</v>
      </c>
    </row>
    <row r="343" spans="2:4">
      <c r="B343" s="190">
        <v>89.621008391369912</v>
      </c>
      <c r="C343">
        <v>0.27</v>
      </c>
      <c r="D343" s="187">
        <f t="shared" si="5"/>
        <v>24.197672265669876</v>
      </c>
    </row>
    <row r="344" spans="2:4">
      <c r="B344" s="190">
        <v>89.785562776432499</v>
      </c>
      <c r="C344">
        <v>0.41</v>
      </c>
      <c r="D344" s="187">
        <f t="shared" si="5"/>
        <v>36.812080738337322</v>
      </c>
    </row>
    <row r="345" spans="2:4">
      <c r="B345" s="190">
        <v>89.950117161495115</v>
      </c>
      <c r="C345">
        <v>0.33</v>
      </c>
      <c r="D345" s="187">
        <f t="shared" si="5"/>
        <v>29.68353866329339</v>
      </c>
    </row>
    <row r="346" spans="2:4">
      <c r="B346" s="190">
        <v>90.11467154655773</v>
      </c>
      <c r="C346">
        <v>0.44</v>
      </c>
      <c r="D346" s="187">
        <f t="shared" si="5"/>
        <v>39.650455480485398</v>
      </c>
    </row>
    <row r="347" spans="2:4">
      <c r="B347" s="190">
        <v>90.279225931620317</v>
      </c>
      <c r="C347">
        <v>0.49</v>
      </c>
      <c r="D347" s="187">
        <f t="shared" si="5"/>
        <v>44.236820706493951</v>
      </c>
    </row>
    <row r="348" spans="2:4">
      <c r="B348" s="190">
        <v>90.443780316682933</v>
      </c>
      <c r="C348">
        <v>0.46</v>
      </c>
      <c r="D348" s="187">
        <f t="shared" si="5"/>
        <v>41.604138945674151</v>
      </c>
    </row>
    <row r="349" spans="2:4">
      <c r="B349" s="190">
        <v>90.608334701745534</v>
      </c>
      <c r="C349">
        <v>0.39</v>
      </c>
      <c r="D349" s="187">
        <f t="shared" si="5"/>
        <v>35.337250533680759</v>
      </c>
    </row>
    <row r="350" spans="2:4">
      <c r="B350" s="190">
        <v>90.772889086808135</v>
      </c>
      <c r="C350">
        <v>0.43</v>
      </c>
      <c r="D350" s="187">
        <f t="shared" si="5"/>
        <v>39.032342307327497</v>
      </c>
    </row>
    <row r="351" spans="2:4">
      <c r="B351" s="190">
        <v>90.93744347187075</v>
      </c>
      <c r="C351">
        <v>0.45</v>
      </c>
      <c r="D351" s="187">
        <f t="shared" si="5"/>
        <v>40.921849562341841</v>
      </c>
    </row>
    <row r="352" spans="2:4">
      <c r="B352" s="190">
        <v>91.101997856933352</v>
      </c>
      <c r="C352">
        <v>0.46</v>
      </c>
      <c r="D352" s="187">
        <f t="shared" si="5"/>
        <v>41.906919014189342</v>
      </c>
    </row>
    <row r="353" spans="2:4">
      <c r="B353" s="190">
        <v>91.266552241995953</v>
      </c>
      <c r="C353">
        <v>0.28999999999999998</v>
      </c>
      <c r="D353" s="187">
        <f t="shared" si="5"/>
        <v>26.467300150178826</v>
      </c>
    </row>
    <row r="354" spans="2:4">
      <c r="B354" s="190">
        <v>91.431106627058568</v>
      </c>
      <c r="C354">
        <v>0.34</v>
      </c>
      <c r="D354" s="187">
        <f t="shared" si="5"/>
        <v>31.086576253199915</v>
      </c>
    </row>
    <row r="355" spans="2:4">
      <c r="B355" s="190">
        <v>91.595661012121155</v>
      </c>
      <c r="C355">
        <v>0.39</v>
      </c>
      <c r="D355" s="187">
        <f t="shared" si="5"/>
        <v>35.72230779472725</v>
      </c>
    </row>
    <row r="356" spans="2:4">
      <c r="B356" s="190">
        <v>91.760215397183771</v>
      </c>
      <c r="C356">
        <v>0.47</v>
      </c>
      <c r="D356" s="187">
        <f t="shared" si="5"/>
        <v>43.127301236676367</v>
      </c>
    </row>
    <row r="357" spans="2:4">
      <c r="B357" s="190">
        <v>91.924769782246372</v>
      </c>
      <c r="C357">
        <v>0.41</v>
      </c>
      <c r="D357" s="187">
        <f t="shared" si="5"/>
        <v>37.689155610721009</v>
      </c>
    </row>
    <row r="358" spans="2:4">
      <c r="B358" s="190">
        <v>92.089324167308973</v>
      </c>
      <c r="C358">
        <v>0.41</v>
      </c>
      <c r="D358" s="187">
        <f t="shared" si="5"/>
        <v>37.756622908596675</v>
      </c>
    </row>
    <row r="359" spans="2:4">
      <c r="B359" s="190">
        <v>92.253878552371589</v>
      </c>
      <c r="C359">
        <v>0.48</v>
      </c>
      <c r="D359" s="187">
        <f t="shared" si="5"/>
        <v>44.281861705138361</v>
      </c>
    </row>
    <row r="360" spans="2:4">
      <c r="B360" s="190">
        <v>92.41843293743419</v>
      </c>
      <c r="C360">
        <v>0.44</v>
      </c>
      <c r="D360" s="187">
        <f t="shared" si="5"/>
        <v>40.664110492471046</v>
      </c>
    </row>
    <row r="361" spans="2:4">
      <c r="B361" s="190">
        <v>92.582987322496791</v>
      </c>
      <c r="C361">
        <v>0.37</v>
      </c>
      <c r="D361" s="187">
        <f t="shared" si="5"/>
        <v>34.255705309323815</v>
      </c>
    </row>
    <row r="362" spans="2:4">
      <c r="B362" s="190">
        <v>92.747541707559407</v>
      </c>
      <c r="C362">
        <v>0.53</v>
      </c>
      <c r="D362" s="187">
        <f t="shared" si="5"/>
        <v>49.156197105006491</v>
      </c>
    </row>
    <row r="363" spans="2:4">
      <c r="B363" s="190">
        <v>92.912096092622008</v>
      </c>
      <c r="C363">
        <v>0.36</v>
      </c>
      <c r="D363" s="187">
        <f t="shared" si="5"/>
        <v>33.448354593343922</v>
      </c>
    </row>
    <row r="364" spans="2:4">
      <c r="B364" s="190">
        <v>93.076650477684609</v>
      </c>
      <c r="C364">
        <v>0.36</v>
      </c>
      <c r="D364" s="187">
        <f t="shared" si="5"/>
        <v>33.50759417196646</v>
      </c>
    </row>
    <row r="365" spans="2:4">
      <c r="B365" s="190">
        <v>93.241204862747225</v>
      </c>
      <c r="C365">
        <v>0.4</v>
      </c>
      <c r="D365" s="187">
        <f t="shared" si="5"/>
        <v>37.29648194509889</v>
      </c>
    </row>
    <row r="366" spans="2:4">
      <c r="B366" s="190">
        <v>93.405759247809812</v>
      </c>
      <c r="C366">
        <v>0.51</v>
      </c>
      <c r="D366" s="187">
        <f t="shared" si="5"/>
        <v>47.636937216383004</v>
      </c>
    </row>
    <row r="367" spans="2:4">
      <c r="B367" s="190">
        <v>93.570313632872427</v>
      </c>
      <c r="C367">
        <v>0.48</v>
      </c>
      <c r="D367" s="187">
        <f t="shared" si="5"/>
        <v>44.913750543778761</v>
      </c>
    </row>
    <row r="368" spans="2:4">
      <c r="B368" s="190">
        <v>93.734868017935028</v>
      </c>
      <c r="C368">
        <v>0.43</v>
      </c>
      <c r="D368" s="187">
        <f t="shared" si="5"/>
        <v>40.30599324771206</v>
      </c>
    </row>
    <row r="369" spans="2:4">
      <c r="B369" s="190">
        <v>93.899422402997629</v>
      </c>
      <c r="C369">
        <v>0.35</v>
      </c>
      <c r="D369" s="187">
        <f t="shared" si="5"/>
        <v>32.864797841049167</v>
      </c>
    </row>
    <row r="370" spans="2:4">
      <c r="B370" s="190">
        <v>94.063976788060245</v>
      </c>
      <c r="C370">
        <v>0.44</v>
      </c>
      <c r="D370" s="187">
        <f t="shared" si="5"/>
        <v>41.38814978674651</v>
      </c>
    </row>
    <row r="371" spans="2:4">
      <c r="B371" s="190">
        <v>94.228531173122846</v>
      </c>
      <c r="C371">
        <v>0.42</v>
      </c>
      <c r="D371" s="187">
        <f t="shared" si="5"/>
        <v>39.575983092711596</v>
      </c>
    </row>
    <row r="372" spans="2:4">
      <c r="B372" s="190">
        <v>94.393085558185447</v>
      </c>
      <c r="C372">
        <v>0.41</v>
      </c>
      <c r="D372" s="187">
        <f t="shared" si="5"/>
        <v>38.701165078856029</v>
      </c>
    </row>
    <row r="373" spans="2:4">
      <c r="B373" s="190">
        <v>94.557639943248063</v>
      </c>
      <c r="C373">
        <v>0.46</v>
      </c>
      <c r="D373" s="187">
        <f t="shared" si="5"/>
        <v>43.496514373894108</v>
      </c>
    </row>
    <row r="374" spans="2:4">
      <c r="B374" s="190">
        <v>94.722194328310664</v>
      </c>
      <c r="C374">
        <v>0.47</v>
      </c>
      <c r="D374" s="187">
        <f t="shared" si="5"/>
        <v>44.519431334306013</v>
      </c>
    </row>
    <row r="375" spans="2:4">
      <c r="B375" s="190">
        <v>94.886748713373265</v>
      </c>
      <c r="C375">
        <v>0.42</v>
      </c>
      <c r="D375" s="187">
        <f t="shared" si="5"/>
        <v>39.852434459616767</v>
      </c>
    </row>
    <row r="376" spans="2:4">
      <c r="B376" s="190">
        <v>95.051303098435881</v>
      </c>
      <c r="C376">
        <v>0.41</v>
      </c>
      <c r="D376" s="187">
        <f t="shared" si="5"/>
        <v>38.971034270358707</v>
      </c>
    </row>
    <row r="377" spans="2:4">
      <c r="B377" s="190">
        <v>95.215857483498468</v>
      </c>
      <c r="C377">
        <v>0.52</v>
      </c>
      <c r="D377" s="187">
        <f t="shared" si="5"/>
        <v>49.512245891419205</v>
      </c>
    </row>
    <row r="378" spans="2:4">
      <c r="B378" s="190">
        <v>95.380411868561083</v>
      </c>
      <c r="C378">
        <v>0.45</v>
      </c>
      <c r="D378" s="187">
        <f t="shared" si="5"/>
        <v>42.921185340852489</v>
      </c>
    </row>
    <row r="379" spans="2:4">
      <c r="B379" s="190">
        <v>95.544966253623684</v>
      </c>
      <c r="C379">
        <v>0.49</v>
      </c>
      <c r="D379" s="187">
        <f t="shared" si="5"/>
        <v>46.817033464275603</v>
      </c>
    </row>
    <row r="380" spans="2:4">
      <c r="B380" s="190">
        <v>95.709520638686286</v>
      </c>
      <c r="C380">
        <v>0.46</v>
      </c>
      <c r="D380" s="187">
        <f t="shared" si="5"/>
        <v>44.026379493795694</v>
      </c>
    </row>
    <row r="381" spans="2:4">
      <c r="B381" s="190">
        <v>95.874075023748901</v>
      </c>
      <c r="C381">
        <v>0.43</v>
      </c>
      <c r="D381" s="187">
        <f t="shared" si="5"/>
        <v>41.225852260212029</v>
      </c>
    </row>
    <row r="382" spans="2:4">
      <c r="B382" s="190">
        <v>96.038629408811502</v>
      </c>
      <c r="C382">
        <v>0.59</v>
      </c>
      <c r="D382" s="187">
        <f t="shared" si="5"/>
        <v>56.662791351198784</v>
      </c>
    </row>
    <row r="383" spans="2:4">
      <c r="B383" s="190">
        <v>96.203183793874103</v>
      </c>
      <c r="C383">
        <v>0.47</v>
      </c>
      <c r="D383" s="187">
        <f t="shared" si="5"/>
        <v>45.215496383120829</v>
      </c>
    </row>
    <row r="384" spans="2:4">
      <c r="B384" s="190">
        <v>96.367738178936719</v>
      </c>
      <c r="C384">
        <v>0.37</v>
      </c>
      <c r="D384" s="187">
        <f t="shared" si="5"/>
        <v>35.656063126206583</v>
      </c>
    </row>
    <row r="385" spans="2:4">
      <c r="B385" s="190">
        <v>96.532292563999306</v>
      </c>
      <c r="C385">
        <v>0.53</v>
      </c>
      <c r="D385" s="187">
        <f t="shared" si="5"/>
        <v>51.162115058919632</v>
      </c>
    </row>
    <row r="386" spans="2:4">
      <c r="B386" s="190">
        <v>96.696846949061921</v>
      </c>
      <c r="C386">
        <v>0.42</v>
      </c>
      <c r="D386" s="187">
        <f t="shared" si="5"/>
        <v>40.612675718606006</v>
      </c>
    </row>
    <row r="387" spans="2:4">
      <c r="B387" s="190">
        <v>96.861401334124537</v>
      </c>
      <c r="C387">
        <v>0.46</v>
      </c>
      <c r="D387" s="187">
        <f t="shared" si="5"/>
        <v>44.556244613697288</v>
      </c>
    </row>
    <row r="388" spans="2:4">
      <c r="B388" s="190">
        <v>97.025955719187124</v>
      </c>
      <c r="C388">
        <v>0.36</v>
      </c>
      <c r="D388" s="187">
        <f t="shared" ref="D388:D451" si="6">B388*C388</f>
        <v>34.929344058907361</v>
      </c>
    </row>
    <row r="389" spans="2:4">
      <c r="B389" s="190">
        <v>97.190510104249739</v>
      </c>
      <c r="C389">
        <v>0.41</v>
      </c>
      <c r="D389" s="187">
        <f t="shared" si="6"/>
        <v>39.848109142742388</v>
      </c>
    </row>
    <row r="390" spans="2:4">
      <c r="B390" s="190">
        <v>97.35506448931234</v>
      </c>
      <c r="C390">
        <v>0.36</v>
      </c>
      <c r="D390" s="187">
        <f t="shared" si="6"/>
        <v>35.047823216152445</v>
      </c>
    </row>
    <row r="391" spans="2:4">
      <c r="B391" s="190">
        <v>97.519618874374942</v>
      </c>
      <c r="C391">
        <v>0.41</v>
      </c>
      <c r="D391" s="187">
        <f t="shared" si="6"/>
        <v>39.983043738493727</v>
      </c>
    </row>
    <row r="392" spans="2:4">
      <c r="B392" s="190">
        <v>97.684173259437557</v>
      </c>
      <c r="C392">
        <v>0.46</v>
      </c>
      <c r="D392" s="187">
        <f t="shared" si="6"/>
        <v>44.934719699341279</v>
      </c>
    </row>
    <row r="393" spans="2:4">
      <c r="B393" s="190">
        <v>97.848727644500144</v>
      </c>
      <c r="C393">
        <v>0.5</v>
      </c>
      <c r="D393" s="187">
        <f t="shared" si="6"/>
        <v>48.924363822250072</v>
      </c>
    </row>
    <row r="394" spans="2:4">
      <c r="B394" s="190">
        <v>98.01328202956276</v>
      </c>
      <c r="C394">
        <v>0.37</v>
      </c>
      <c r="D394" s="187">
        <f t="shared" si="6"/>
        <v>36.26491435093822</v>
      </c>
    </row>
    <row r="395" spans="2:4">
      <c r="B395" s="190">
        <v>98.177836414625375</v>
      </c>
      <c r="C395">
        <v>0.38</v>
      </c>
      <c r="D395" s="187">
        <f t="shared" si="6"/>
        <v>37.307577837557645</v>
      </c>
    </row>
    <row r="396" spans="2:4">
      <c r="B396" s="190">
        <v>98.342390799687962</v>
      </c>
      <c r="C396">
        <v>0.47</v>
      </c>
      <c r="D396" s="187">
        <f t="shared" si="6"/>
        <v>46.220923675853342</v>
      </c>
    </row>
    <row r="397" spans="2:4">
      <c r="B397" s="190">
        <v>98.506945184750577</v>
      </c>
      <c r="C397">
        <v>0.4</v>
      </c>
      <c r="D397" s="187">
        <f t="shared" si="6"/>
        <v>39.402778073900237</v>
      </c>
    </row>
    <row r="398" spans="2:4">
      <c r="B398" s="190">
        <v>98.671499569813193</v>
      </c>
      <c r="C398">
        <v>0.37</v>
      </c>
      <c r="D398" s="187">
        <f t="shared" si="6"/>
        <v>36.508454840830879</v>
      </c>
    </row>
    <row r="399" spans="2:4">
      <c r="B399" s="190">
        <v>98.83605395487578</v>
      </c>
      <c r="C399">
        <v>0.42</v>
      </c>
      <c r="D399" s="187">
        <f t="shared" si="6"/>
        <v>41.511142661047828</v>
      </c>
    </row>
    <row r="400" spans="2:4">
      <c r="B400" s="190">
        <v>99.000608339938395</v>
      </c>
      <c r="C400">
        <v>0.38</v>
      </c>
      <c r="D400" s="187">
        <f t="shared" si="6"/>
        <v>37.620231169176591</v>
      </c>
    </row>
    <row r="401" spans="2:4">
      <c r="B401" s="190">
        <v>99.165162725000982</v>
      </c>
      <c r="C401">
        <v>0.28999999999999998</v>
      </c>
      <c r="D401" s="187">
        <f t="shared" si="6"/>
        <v>28.757897190250283</v>
      </c>
    </row>
    <row r="402" spans="2:4">
      <c r="B402" s="190">
        <v>99.329717110063598</v>
      </c>
      <c r="C402">
        <v>0.39</v>
      </c>
      <c r="D402" s="187">
        <f t="shared" si="6"/>
        <v>38.738589672924803</v>
      </c>
    </row>
    <row r="403" spans="2:4">
      <c r="B403" s="190">
        <v>99.494271495126213</v>
      </c>
      <c r="C403">
        <v>0.45</v>
      </c>
      <c r="D403" s="187">
        <f t="shared" si="6"/>
        <v>44.772422172806799</v>
      </c>
    </row>
    <row r="404" spans="2:4">
      <c r="B404" s="190">
        <v>99.6588258801888</v>
      </c>
      <c r="C404">
        <v>0.47</v>
      </c>
      <c r="D404" s="187">
        <f t="shared" si="6"/>
        <v>46.839648163688736</v>
      </c>
    </row>
    <row r="405" spans="2:4">
      <c r="B405" s="190">
        <v>99.823380265251416</v>
      </c>
      <c r="C405">
        <v>0.37</v>
      </c>
      <c r="D405" s="187">
        <f t="shared" si="6"/>
        <v>36.934650698143024</v>
      </c>
    </row>
    <row r="406" spans="2:4">
      <c r="B406" s="190">
        <v>99.987934650314031</v>
      </c>
      <c r="C406">
        <v>0.34</v>
      </c>
      <c r="D406" s="187">
        <f t="shared" si="6"/>
        <v>33.99589778110677</v>
      </c>
    </row>
    <row r="407" spans="2:4">
      <c r="B407" s="190">
        <v>100.1524890353766</v>
      </c>
      <c r="C407">
        <v>0.35</v>
      </c>
      <c r="D407" s="187">
        <f t="shared" si="6"/>
        <v>35.053371162381808</v>
      </c>
    </row>
    <row r="408" spans="2:4">
      <c r="B408" s="190">
        <v>100.31704342043921</v>
      </c>
      <c r="C408">
        <v>0.33</v>
      </c>
      <c r="D408" s="187">
        <f t="shared" si="6"/>
        <v>33.10462432874494</v>
      </c>
    </row>
    <row r="409" spans="2:4">
      <c r="B409" s="190">
        <v>100.48159780550181</v>
      </c>
      <c r="C409">
        <v>0.39</v>
      </c>
      <c r="D409" s="187">
        <f t="shared" si="6"/>
        <v>39.187823144145703</v>
      </c>
    </row>
    <row r="410" spans="2:4">
      <c r="B410" s="190">
        <v>100.64615219056439</v>
      </c>
      <c r="C410">
        <v>0.28000000000000003</v>
      </c>
      <c r="D410" s="187">
        <f t="shared" si="6"/>
        <v>28.180922613358032</v>
      </c>
    </row>
    <row r="411" spans="2:4">
      <c r="B411" s="190">
        <v>100.81070657562709</v>
      </c>
      <c r="C411">
        <v>0.26</v>
      </c>
      <c r="D411" s="187">
        <f t="shared" si="6"/>
        <v>26.210783709663044</v>
      </c>
    </row>
    <row r="412" spans="2:4">
      <c r="B412" s="190">
        <v>100.9752609606896</v>
      </c>
      <c r="C412">
        <v>0.4</v>
      </c>
      <c r="D412" s="187">
        <f t="shared" si="6"/>
        <v>40.390104384275844</v>
      </c>
    </row>
    <row r="413" spans="2:4">
      <c r="B413" s="190">
        <v>101.1398153457523</v>
      </c>
      <c r="C413">
        <v>0.31</v>
      </c>
      <c r="D413" s="187">
        <f t="shared" si="6"/>
        <v>31.35334275718321</v>
      </c>
    </row>
    <row r="414" spans="2:4">
      <c r="B414" s="190">
        <v>101.3043697308149</v>
      </c>
      <c r="C414">
        <v>0.27</v>
      </c>
      <c r="D414" s="187">
        <f t="shared" si="6"/>
        <v>27.352179827320025</v>
      </c>
    </row>
    <row r="415" spans="2:4">
      <c r="B415" s="190">
        <v>101.4689241158775</v>
      </c>
      <c r="C415">
        <v>0.38</v>
      </c>
      <c r="D415" s="187">
        <f t="shared" si="6"/>
        <v>38.558191164033452</v>
      </c>
    </row>
    <row r="416" spans="2:4">
      <c r="B416" s="190">
        <v>101.6334785009401</v>
      </c>
      <c r="C416">
        <v>0.3</v>
      </c>
      <c r="D416" s="187">
        <f t="shared" si="6"/>
        <v>30.490043550282028</v>
      </c>
    </row>
    <row r="417" spans="2:4">
      <c r="B417" s="190">
        <v>101.7980328860027</v>
      </c>
      <c r="C417">
        <v>0.25</v>
      </c>
      <c r="D417" s="187">
        <f t="shared" si="6"/>
        <v>25.449508221500675</v>
      </c>
    </row>
    <row r="418" spans="2:4">
      <c r="B418" s="190">
        <v>101.9625872710653</v>
      </c>
      <c r="C418">
        <v>0.39</v>
      </c>
      <c r="D418" s="187">
        <f t="shared" si="6"/>
        <v>39.765409035715471</v>
      </c>
    </row>
    <row r="419" spans="2:4">
      <c r="B419" s="190">
        <v>102.1271416561279</v>
      </c>
      <c r="C419">
        <v>0.28999999999999998</v>
      </c>
      <c r="D419" s="187">
        <f t="shared" si="6"/>
        <v>29.61687108027709</v>
      </c>
    </row>
    <row r="420" spans="2:4">
      <c r="B420" s="190">
        <v>102.29169604119051</v>
      </c>
      <c r="C420">
        <v>0.26</v>
      </c>
      <c r="D420" s="187">
        <f t="shared" si="6"/>
        <v>26.595840970709531</v>
      </c>
    </row>
    <row r="421" spans="2:4">
      <c r="B421" s="190">
        <v>102.45625042625311</v>
      </c>
      <c r="C421">
        <v>0.24</v>
      </c>
      <c r="D421" s="187">
        <f t="shared" si="6"/>
        <v>24.589500102300743</v>
      </c>
    </row>
    <row r="422" spans="2:4">
      <c r="B422" s="190">
        <v>102.62080481131569</v>
      </c>
      <c r="C422">
        <v>0.23</v>
      </c>
      <c r="D422" s="187">
        <f t="shared" si="6"/>
        <v>23.60278510660261</v>
      </c>
    </row>
    <row r="423" spans="2:4">
      <c r="B423" s="190">
        <v>102.78535919637829</v>
      </c>
      <c r="C423">
        <v>0.24</v>
      </c>
      <c r="D423" s="187">
        <f t="shared" si="6"/>
        <v>24.66848620713079</v>
      </c>
    </row>
    <row r="424" spans="2:4">
      <c r="B424" s="190">
        <v>102.9499135814409</v>
      </c>
      <c r="C424">
        <v>0.23</v>
      </c>
      <c r="D424" s="187">
        <f t="shared" si="6"/>
        <v>23.678480123731408</v>
      </c>
    </row>
    <row r="425" spans="2:4">
      <c r="B425" s="190">
        <v>103.1144679665035</v>
      </c>
      <c r="C425">
        <v>0.18</v>
      </c>
      <c r="D425" s="187">
        <f t="shared" si="6"/>
        <v>18.560604233970629</v>
      </c>
    </row>
    <row r="426" spans="2:4">
      <c r="B426" s="190">
        <v>103.2790223515661</v>
      </c>
      <c r="C426">
        <v>0.26</v>
      </c>
      <c r="D426" s="187">
        <f t="shared" si="6"/>
        <v>26.852545811407186</v>
      </c>
    </row>
    <row r="427" spans="2:4">
      <c r="B427" s="190">
        <v>103.4435767366287</v>
      </c>
      <c r="C427">
        <v>0.24</v>
      </c>
      <c r="D427" s="187">
        <f t="shared" si="6"/>
        <v>24.826458416790889</v>
      </c>
    </row>
    <row r="428" spans="2:4">
      <c r="B428" s="190">
        <v>103.6081311216913</v>
      </c>
      <c r="C428">
        <v>0.19</v>
      </c>
      <c r="D428" s="187">
        <f t="shared" si="6"/>
        <v>19.685544913121348</v>
      </c>
    </row>
    <row r="429" spans="2:4">
      <c r="B429" s="190">
        <v>103.7726855067539</v>
      </c>
      <c r="C429">
        <v>0.25</v>
      </c>
      <c r="D429" s="187">
        <f t="shared" si="6"/>
        <v>25.943171376688476</v>
      </c>
    </row>
    <row r="430" spans="2:4">
      <c r="B430" s="190">
        <v>103.9372398918165</v>
      </c>
      <c r="C430">
        <v>0.26</v>
      </c>
      <c r="D430" s="187">
        <f t="shared" si="6"/>
        <v>27.02368237187229</v>
      </c>
    </row>
    <row r="431" spans="2:4">
      <c r="B431" s="190">
        <v>104.1017942768792</v>
      </c>
      <c r="C431">
        <v>0.2</v>
      </c>
      <c r="D431" s="187">
        <f t="shared" si="6"/>
        <v>20.820358855375844</v>
      </c>
    </row>
    <row r="432" spans="2:4">
      <c r="B432" s="190">
        <v>104.26634866194171</v>
      </c>
      <c r="C432">
        <v>0.12</v>
      </c>
      <c r="D432" s="187">
        <f t="shared" si="6"/>
        <v>12.511961839433004</v>
      </c>
    </row>
    <row r="433" spans="2:4">
      <c r="B433" s="190">
        <v>104.43090304700441</v>
      </c>
      <c r="C433">
        <v>0.19</v>
      </c>
      <c r="D433" s="187">
        <f t="shared" si="6"/>
        <v>19.841871578930839</v>
      </c>
    </row>
    <row r="434" spans="2:4">
      <c r="B434" s="190">
        <v>104.59545743206699</v>
      </c>
      <c r="C434">
        <v>0.18</v>
      </c>
      <c r="D434" s="187">
        <f t="shared" si="6"/>
        <v>18.827182337772058</v>
      </c>
    </row>
    <row r="435" spans="2:4">
      <c r="B435" s="190">
        <v>104.76001181712959</v>
      </c>
      <c r="C435">
        <v>0.16</v>
      </c>
      <c r="D435" s="187">
        <f t="shared" si="6"/>
        <v>16.761601890740735</v>
      </c>
    </row>
    <row r="436" spans="2:4">
      <c r="B436" s="190">
        <v>104.9245662021922</v>
      </c>
      <c r="C436">
        <v>0.18</v>
      </c>
      <c r="D436" s="187">
        <f t="shared" si="6"/>
        <v>18.886421916394596</v>
      </c>
    </row>
    <row r="437" spans="2:4">
      <c r="B437" s="190">
        <v>105.0891205872548</v>
      </c>
      <c r="C437">
        <v>0.18</v>
      </c>
      <c r="D437" s="187">
        <f t="shared" si="6"/>
        <v>18.916041705705862</v>
      </c>
    </row>
    <row r="438" spans="2:4">
      <c r="B438" s="190">
        <v>105.2536749723174</v>
      </c>
      <c r="C438">
        <v>0.12</v>
      </c>
      <c r="D438" s="187">
        <f t="shared" si="6"/>
        <v>12.630440996678088</v>
      </c>
    </row>
    <row r="439" spans="2:4">
      <c r="B439" s="190">
        <v>105.41822935738</v>
      </c>
      <c r="C439">
        <v>0.13</v>
      </c>
      <c r="D439" s="187">
        <f t="shared" si="6"/>
        <v>13.704369816459401</v>
      </c>
    </row>
    <row r="440" spans="2:4">
      <c r="B440" s="190">
        <v>105.5827837424426</v>
      </c>
      <c r="C440">
        <v>0.14000000000000001</v>
      </c>
      <c r="D440" s="187">
        <f t="shared" si="6"/>
        <v>14.781589723941966</v>
      </c>
    </row>
    <row r="441" spans="2:4">
      <c r="B441" s="190">
        <v>105.7473381275052</v>
      </c>
      <c r="C441">
        <v>0.12</v>
      </c>
      <c r="D441" s="187">
        <f t="shared" si="6"/>
        <v>12.689680575300624</v>
      </c>
    </row>
    <row r="442" spans="2:4">
      <c r="B442" s="190">
        <v>105.9118925125678</v>
      </c>
      <c r="C442">
        <v>0.2</v>
      </c>
      <c r="D442" s="187">
        <f t="shared" si="6"/>
        <v>21.182378502513561</v>
      </c>
    </row>
    <row r="443" spans="2:4">
      <c r="B443" s="190">
        <v>106.0764468976304</v>
      </c>
      <c r="C443">
        <v>0.11</v>
      </c>
      <c r="D443" s="187">
        <f t="shared" si="6"/>
        <v>11.668409158739344</v>
      </c>
    </row>
    <row r="444" spans="2:4">
      <c r="B444" s="190">
        <v>106.24100128269301</v>
      </c>
      <c r="C444">
        <v>0.13</v>
      </c>
      <c r="D444" s="187">
        <f t="shared" si="6"/>
        <v>13.811330166750091</v>
      </c>
    </row>
    <row r="445" spans="2:4">
      <c r="B445" s="190">
        <v>106.40555566775561</v>
      </c>
      <c r="C445">
        <v>0.2</v>
      </c>
      <c r="D445" s="187">
        <f t="shared" si="6"/>
        <v>21.281111133551121</v>
      </c>
    </row>
    <row r="446" spans="2:4">
      <c r="B446" s="190">
        <v>106.57011005281819</v>
      </c>
      <c r="C446">
        <v>0.13</v>
      </c>
      <c r="D446" s="187">
        <f t="shared" si="6"/>
        <v>13.854114306866366</v>
      </c>
    </row>
    <row r="447" spans="2:4">
      <c r="B447" s="190">
        <v>106.7346644378808</v>
      </c>
      <c r="C447">
        <v>0.15</v>
      </c>
      <c r="D447" s="187">
        <f t="shared" si="6"/>
        <v>16.010199665682119</v>
      </c>
    </row>
    <row r="448" spans="2:4">
      <c r="B448" s="190">
        <v>106.8992188229434</v>
      </c>
      <c r="C448">
        <v>0.09</v>
      </c>
      <c r="D448" s="187">
        <f t="shared" si="6"/>
        <v>9.6209296940649054</v>
      </c>
    </row>
    <row r="449" spans="2:4">
      <c r="B449" s="190">
        <v>107.063773208006</v>
      </c>
      <c r="C449">
        <v>0.08</v>
      </c>
      <c r="D449" s="187">
        <f t="shared" si="6"/>
        <v>8.5651018566404797</v>
      </c>
    </row>
    <row r="450" spans="2:4">
      <c r="B450" s="190">
        <v>107.2283275930687</v>
      </c>
      <c r="C450">
        <v>0.04</v>
      </c>
      <c r="D450" s="187">
        <f t="shared" si="6"/>
        <v>4.2891331037227483</v>
      </c>
    </row>
    <row r="451" spans="2:4">
      <c r="B451" s="190">
        <v>107.3928819781312</v>
      </c>
      <c r="C451">
        <v>0.08</v>
      </c>
      <c r="D451" s="187">
        <f t="shared" si="6"/>
        <v>8.5914305582504955</v>
      </c>
    </row>
    <row r="452" spans="2:4">
      <c r="B452" s="190">
        <v>107.5574363631939</v>
      </c>
      <c r="C452">
        <v>0.12</v>
      </c>
      <c r="D452" s="187">
        <f t="shared" ref="D452:D502" si="7">B452*C452</f>
        <v>12.906892363583268</v>
      </c>
    </row>
    <row r="453" spans="2:4">
      <c r="B453" s="190">
        <v>107.7219907482564</v>
      </c>
      <c r="C453">
        <v>0.12</v>
      </c>
      <c r="D453" s="187">
        <f t="shared" si="7"/>
        <v>12.926638889790768</v>
      </c>
    </row>
    <row r="454" spans="2:4">
      <c r="B454" s="190">
        <v>107.8865451333191</v>
      </c>
      <c r="C454">
        <v>0.1</v>
      </c>
      <c r="D454" s="187">
        <f t="shared" si="7"/>
        <v>10.788654513331911</v>
      </c>
    </row>
    <row r="455" spans="2:4">
      <c r="B455" s="190">
        <v>108.0510995183817</v>
      </c>
      <c r="C455">
        <v>0.11</v>
      </c>
      <c r="D455" s="187">
        <f t="shared" si="7"/>
        <v>11.885620947021987</v>
      </c>
    </row>
    <row r="456" spans="2:4">
      <c r="B456" s="190">
        <v>108.21565390344431</v>
      </c>
      <c r="C456">
        <v>0.11</v>
      </c>
      <c r="D456" s="187">
        <f t="shared" si="7"/>
        <v>11.903721929378873</v>
      </c>
    </row>
    <row r="457" spans="2:4">
      <c r="B457" s="190">
        <v>108.38020828850691</v>
      </c>
      <c r="C457">
        <v>0.09</v>
      </c>
      <c r="D457" s="187">
        <f t="shared" si="7"/>
        <v>9.7542187459656216</v>
      </c>
    </row>
    <row r="458" spans="2:4">
      <c r="B458" s="190">
        <v>108.54476267356949</v>
      </c>
      <c r="C458">
        <v>0.11</v>
      </c>
      <c r="D458" s="187">
        <f t="shared" si="7"/>
        <v>11.939923894092644</v>
      </c>
    </row>
    <row r="459" spans="2:4">
      <c r="B459" s="190">
        <v>108.7093170586321</v>
      </c>
      <c r="C459">
        <v>6.9999999999999993E-2</v>
      </c>
      <c r="D459" s="187">
        <f t="shared" si="7"/>
        <v>7.6096521941042461</v>
      </c>
    </row>
    <row r="460" spans="2:4">
      <c r="B460" s="190">
        <v>108.8738714436947</v>
      </c>
      <c r="C460">
        <v>0.14000000000000001</v>
      </c>
      <c r="D460" s="187">
        <f t="shared" si="7"/>
        <v>15.242342002117258</v>
      </c>
    </row>
    <row r="461" spans="2:4">
      <c r="B461" s="190">
        <v>109.0384258287573</v>
      </c>
      <c r="C461">
        <v>0.12</v>
      </c>
      <c r="D461" s="187">
        <f t="shared" si="7"/>
        <v>13.084611099450875</v>
      </c>
    </row>
    <row r="462" spans="2:4">
      <c r="B462" s="190">
        <v>109.2029802138199</v>
      </c>
      <c r="C462">
        <v>0.1</v>
      </c>
      <c r="D462" s="187">
        <f t="shared" si="7"/>
        <v>10.92029802138199</v>
      </c>
    </row>
    <row r="463" spans="2:4">
      <c r="B463" s="190">
        <v>109.3675345988825</v>
      </c>
      <c r="C463">
        <v>0.11</v>
      </c>
      <c r="D463" s="187">
        <f t="shared" si="7"/>
        <v>12.030428805877076</v>
      </c>
    </row>
    <row r="464" spans="2:4">
      <c r="B464" s="190">
        <v>109.5320889839451</v>
      </c>
      <c r="C464">
        <v>0.11</v>
      </c>
      <c r="D464" s="187">
        <f t="shared" si="7"/>
        <v>12.048529788233962</v>
      </c>
    </row>
    <row r="465" spans="2:4">
      <c r="B465" s="190">
        <v>109.6966433690077</v>
      </c>
      <c r="C465">
        <v>0.1</v>
      </c>
      <c r="D465" s="187">
        <f t="shared" si="7"/>
        <v>10.96966433690077</v>
      </c>
    </row>
    <row r="466" spans="2:4">
      <c r="B466" s="190">
        <v>109.8611977540703</v>
      </c>
      <c r="C466">
        <v>0.11</v>
      </c>
      <c r="D466" s="187">
        <f t="shared" si="7"/>
        <v>12.084731752947734</v>
      </c>
    </row>
    <row r="467" spans="2:4">
      <c r="B467" s="190">
        <v>110.0257521391329</v>
      </c>
      <c r="C467">
        <v>0.11</v>
      </c>
      <c r="D467" s="187">
        <f t="shared" si="7"/>
        <v>12.10283273530462</v>
      </c>
    </row>
    <row r="468" spans="2:4">
      <c r="B468" s="190">
        <v>110.19030652419551</v>
      </c>
      <c r="C468">
        <v>0.12</v>
      </c>
      <c r="D468" s="187">
        <f t="shared" si="7"/>
        <v>13.22283678290346</v>
      </c>
    </row>
    <row r="469" spans="2:4">
      <c r="B469" s="190">
        <v>110.35486090925821</v>
      </c>
      <c r="C469">
        <v>0.1</v>
      </c>
      <c r="D469" s="187">
        <f t="shared" si="7"/>
        <v>11.035486090925822</v>
      </c>
    </row>
    <row r="470" spans="2:4">
      <c r="B470" s="190">
        <v>110.51941529432069</v>
      </c>
      <c r="C470">
        <v>0.02</v>
      </c>
      <c r="D470" s="187">
        <f t="shared" si="7"/>
        <v>2.210388305886414</v>
      </c>
    </row>
    <row r="471" spans="2:4">
      <c r="B471" s="190">
        <v>110.6839696793834</v>
      </c>
      <c r="C471">
        <v>0.06</v>
      </c>
      <c r="D471" s="187">
        <f t="shared" si="7"/>
        <v>6.6410381807630037</v>
      </c>
    </row>
    <row r="472" spans="2:4">
      <c r="B472" s="190">
        <v>110.8485240644459</v>
      </c>
      <c r="C472">
        <v>0.05</v>
      </c>
      <c r="D472" s="187">
        <f t="shared" si="7"/>
        <v>5.5424262032222948</v>
      </c>
    </row>
    <row r="473" spans="2:4">
      <c r="B473" s="190">
        <v>111.0130784495086</v>
      </c>
      <c r="C473">
        <v>0.01</v>
      </c>
      <c r="D473" s="187">
        <f t="shared" si="7"/>
        <v>1.1101307844950861</v>
      </c>
    </row>
    <row r="474" spans="2:4">
      <c r="B474" s="190">
        <v>111.1776328345712</v>
      </c>
      <c r="C474">
        <v>0.09</v>
      </c>
      <c r="D474" s="187">
        <f t="shared" si="7"/>
        <v>10.005986955111407</v>
      </c>
    </row>
    <row r="475" spans="2:4">
      <c r="B475" s="190">
        <v>111.3421872196338</v>
      </c>
      <c r="C475">
        <v>6.9999999999999993E-2</v>
      </c>
      <c r="D475" s="187">
        <f t="shared" si="7"/>
        <v>7.7939531053743654</v>
      </c>
    </row>
    <row r="476" spans="2:4">
      <c r="B476" s="190">
        <v>111.5067416046964</v>
      </c>
      <c r="C476">
        <v>0.09</v>
      </c>
      <c r="D476" s="187">
        <f t="shared" si="7"/>
        <v>10.035606744422676</v>
      </c>
    </row>
    <row r="477" spans="2:4">
      <c r="B477" s="190">
        <v>111.671295989759</v>
      </c>
      <c r="C477">
        <v>0.04</v>
      </c>
      <c r="D477" s="187">
        <f t="shared" si="7"/>
        <v>4.46685183959036</v>
      </c>
    </row>
    <row r="478" spans="2:4">
      <c r="B478" s="190">
        <v>111.8358503748216</v>
      </c>
      <c r="C478">
        <v>0.02</v>
      </c>
      <c r="D478" s="187">
        <f t="shared" si="7"/>
        <v>2.236717007496432</v>
      </c>
    </row>
    <row r="479" spans="2:4">
      <c r="B479" s="190">
        <v>112.0004047598842</v>
      </c>
      <c r="C479">
        <v>0.08</v>
      </c>
      <c r="D479" s="187">
        <f t="shared" si="7"/>
        <v>8.9600323807907358</v>
      </c>
    </row>
    <row r="480" spans="2:4">
      <c r="B480" s="190">
        <v>112.16495914494681</v>
      </c>
      <c r="C480">
        <v>0</v>
      </c>
      <c r="D480" s="187">
        <f t="shared" si="7"/>
        <v>0</v>
      </c>
    </row>
    <row r="481" spans="2:4">
      <c r="B481" s="190">
        <v>112.32951353000939</v>
      </c>
      <c r="C481">
        <v>0.04</v>
      </c>
      <c r="D481" s="187">
        <f t="shared" si="7"/>
        <v>4.4931805412003758</v>
      </c>
    </row>
    <row r="482" spans="2:4">
      <c r="B482" s="190">
        <v>112.49406791507199</v>
      </c>
      <c r="C482">
        <v>0.04</v>
      </c>
      <c r="D482" s="187">
        <f t="shared" si="7"/>
        <v>4.4997627166028797</v>
      </c>
    </row>
    <row r="483" spans="2:4">
      <c r="B483" s="190">
        <v>112.6586223001346</v>
      </c>
      <c r="C483">
        <v>0.02</v>
      </c>
      <c r="D483" s="187">
        <f t="shared" si="7"/>
        <v>2.2531724460026918</v>
      </c>
    </row>
    <row r="484" spans="2:4">
      <c r="B484" s="190">
        <v>112.8231766851972</v>
      </c>
      <c r="C484">
        <v>0.04</v>
      </c>
      <c r="D484" s="187">
        <f t="shared" si="7"/>
        <v>4.5129270674078876</v>
      </c>
    </row>
    <row r="485" spans="2:4">
      <c r="B485" s="190">
        <v>112.9877310702598</v>
      </c>
      <c r="C485">
        <v>0.05</v>
      </c>
      <c r="D485" s="187">
        <f t="shared" si="7"/>
        <v>5.6493865535129899</v>
      </c>
    </row>
    <row r="486" spans="2:4">
      <c r="B486" s="190">
        <v>113.1522854553224</v>
      </c>
      <c r="C486">
        <v>0.04</v>
      </c>
      <c r="D486" s="187">
        <f t="shared" si="7"/>
        <v>4.5260914182128964</v>
      </c>
    </row>
    <row r="487" spans="2:4">
      <c r="B487" s="190">
        <v>113.316839840385</v>
      </c>
      <c r="C487">
        <v>0</v>
      </c>
      <c r="D487" s="187">
        <f t="shared" si="7"/>
        <v>0</v>
      </c>
    </row>
    <row r="488" spans="2:4">
      <c r="B488" s="190">
        <v>113.4813942254476</v>
      </c>
      <c r="C488">
        <v>0.02</v>
      </c>
      <c r="D488" s="187">
        <f t="shared" si="7"/>
        <v>2.2696278845089521</v>
      </c>
    </row>
    <row r="489" spans="2:4">
      <c r="B489" s="190">
        <v>113.6459486105102</v>
      </c>
      <c r="C489">
        <v>0.03</v>
      </c>
      <c r="D489" s="187">
        <f t="shared" si="7"/>
        <v>3.4093784583153059</v>
      </c>
    </row>
    <row r="490" spans="2:4">
      <c r="B490" s="190">
        <v>113.8105029955728</v>
      </c>
      <c r="C490">
        <v>0</v>
      </c>
      <c r="D490" s="187">
        <f t="shared" si="7"/>
        <v>0</v>
      </c>
    </row>
    <row r="491" spans="2:4">
      <c r="B491" s="190">
        <v>113.9750573806355</v>
      </c>
      <c r="C491">
        <v>0.04</v>
      </c>
      <c r="D491" s="187">
        <f t="shared" si="7"/>
        <v>4.5590022952254206</v>
      </c>
    </row>
    <row r="492" spans="2:4">
      <c r="B492" s="190">
        <v>114.13961176569801</v>
      </c>
      <c r="C492">
        <v>0.02</v>
      </c>
      <c r="D492" s="187">
        <f t="shared" si="7"/>
        <v>2.28279223531396</v>
      </c>
    </row>
    <row r="493" spans="2:4">
      <c r="B493" s="190">
        <v>114.30416615076069</v>
      </c>
      <c r="C493">
        <v>0.02</v>
      </c>
      <c r="D493" s="187">
        <f t="shared" si="7"/>
        <v>2.2860833230152138</v>
      </c>
    </row>
    <row r="494" spans="2:4">
      <c r="B494" s="190">
        <v>114.46872053582329</v>
      </c>
      <c r="C494">
        <v>0.02</v>
      </c>
      <c r="D494" s="187">
        <f t="shared" si="7"/>
        <v>2.2893744107164657</v>
      </c>
    </row>
    <row r="495" spans="2:4">
      <c r="B495" s="190">
        <v>114.6332749208859</v>
      </c>
      <c r="C495">
        <v>0</v>
      </c>
      <c r="D495" s="187">
        <f t="shared" si="7"/>
        <v>0</v>
      </c>
    </row>
    <row r="496" spans="2:4">
      <c r="B496" s="190">
        <v>114.7978293059485</v>
      </c>
      <c r="C496">
        <v>0</v>
      </c>
      <c r="D496" s="187">
        <f t="shared" si="7"/>
        <v>0</v>
      </c>
    </row>
    <row r="497" spans="2:4">
      <c r="B497" s="190">
        <v>114.9623836910111</v>
      </c>
      <c r="C497">
        <v>0</v>
      </c>
      <c r="D497" s="187">
        <f t="shared" si="7"/>
        <v>0</v>
      </c>
    </row>
    <row r="498" spans="2:4">
      <c r="B498" s="190">
        <v>115.1269380760737</v>
      </c>
      <c r="C498">
        <v>0.01</v>
      </c>
      <c r="D498" s="187">
        <f t="shared" si="7"/>
        <v>1.151269380760737</v>
      </c>
    </row>
    <row r="499" spans="2:4">
      <c r="B499" s="190">
        <v>115.2914924611363</v>
      </c>
      <c r="C499">
        <v>0.01</v>
      </c>
      <c r="D499" s="187">
        <f t="shared" si="7"/>
        <v>1.152914924611363</v>
      </c>
    </row>
    <row r="500" spans="2:4">
      <c r="B500" s="190">
        <v>115.4560468461989</v>
      </c>
      <c r="C500">
        <v>0</v>
      </c>
      <c r="D500" s="187">
        <f t="shared" si="7"/>
        <v>0</v>
      </c>
    </row>
    <row r="501" spans="2:4">
      <c r="B501" s="190">
        <v>115.6206012312615</v>
      </c>
      <c r="C501">
        <v>0</v>
      </c>
      <c r="D501" s="187">
        <f t="shared" si="7"/>
        <v>0</v>
      </c>
    </row>
    <row r="502" spans="2:4">
      <c r="B502" s="190">
        <v>115.7851556163241</v>
      </c>
      <c r="C502">
        <v>0.01</v>
      </c>
      <c r="D502" s="187">
        <f t="shared" si="7"/>
        <v>1.157851556163241</v>
      </c>
    </row>
    <row r="503" spans="2:4">
      <c r="D503" s="188"/>
    </row>
  </sheetData>
  <mergeCells count="2">
    <mergeCell ref="K1:L1"/>
    <mergeCell ref="F8:H8"/>
  </mergeCells>
  <phoneticPr fontId="12" type="noConversion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05749-C97A-854A-A976-5B74AA6E73F3}">
  <dimension ref="A1:E72"/>
  <sheetViews>
    <sheetView topLeftCell="A6" workbookViewId="0">
      <selection activeCell="D31" sqref="D31"/>
    </sheetView>
  </sheetViews>
  <sheetFormatPr defaultColWidth="11" defaultRowHeight="15.95"/>
  <cols>
    <col min="1" max="1" width="46.375" bestFit="1" customWidth="1"/>
    <col min="2" max="2" width="22.625" customWidth="1"/>
    <col min="3" max="3" width="20.875" bestFit="1" customWidth="1"/>
    <col min="4" max="4" width="26.375" bestFit="1" customWidth="1"/>
    <col min="5" max="5" width="20.875" customWidth="1"/>
    <col min="6" max="6" width="21.875" customWidth="1"/>
    <col min="7" max="7" width="21" customWidth="1"/>
  </cols>
  <sheetData>
    <row r="1" spans="1:5">
      <c r="A1" s="1"/>
      <c r="B1" s="1"/>
      <c r="C1" s="1"/>
      <c r="D1" s="1"/>
      <c r="E1" s="1"/>
    </row>
    <row r="2" spans="1:5">
      <c r="A2" s="1"/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>
      <c r="A4" s="1" t="s">
        <v>226</v>
      </c>
      <c r="B4" s="2">
        <v>2018</v>
      </c>
      <c r="C4" s="2">
        <v>2019</v>
      </c>
      <c r="D4" s="2">
        <v>2020</v>
      </c>
    </row>
    <row r="5" spans="1:5">
      <c r="A5" s="1"/>
      <c r="B5" s="1"/>
      <c r="C5" s="1"/>
      <c r="D5" s="1"/>
    </row>
    <row r="6" spans="1:5">
      <c r="A6" s="99" t="s">
        <v>227</v>
      </c>
      <c r="B6" s="101"/>
      <c r="C6" s="101"/>
      <c r="D6" s="101"/>
    </row>
    <row r="7" spans="1:5">
      <c r="A7" t="s">
        <v>228</v>
      </c>
      <c r="B7" s="1">
        <v>3566</v>
      </c>
      <c r="C7" s="92">
        <v>2689</v>
      </c>
      <c r="D7" s="92">
        <v>2670</v>
      </c>
    </row>
    <row r="8" spans="1:5">
      <c r="A8" s="1" t="s">
        <v>78</v>
      </c>
      <c r="B8" s="1">
        <v>2443957</v>
      </c>
      <c r="C8" s="92">
        <v>2474530</v>
      </c>
      <c r="D8" s="92">
        <v>2320370</v>
      </c>
    </row>
    <row r="9" spans="1:5">
      <c r="A9" s="1" t="s">
        <v>229</v>
      </c>
      <c r="B9" s="92">
        <v>754970</v>
      </c>
      <c r="C9" s="92">
        <v>838270</v>
      </c>
      <c r="D9" s="92">
        <v>1041812</v>
      </c>
    </row>
    <row r="10" spans="1:5">
      <c r="A10" s="1" t="s">
        <v>230</v>
      </c>
      <c r="B10" s="92">
        <v>0</v>
      </c>
      <c r="C10" s="92">
        <v>1041322</v>
      </c>
      <c r="D10" s="92">
        <v>858164</v>
      </c>
    </row>
    <row r="11" spans="1:5">
      <c r="A11" s="1" t="s">
        <v>231</v>
      </c>
      <c r="B11" s="92">
        <v>3793985</v>
      </c>
      <c r="C11" s="92">
        <v>3628044</v>
      </c>
      <c r="D11" s="92">
        <v>3992432</v>
      </c>
    </row>
    <row r="12" spans="1:5">
      <c r="A12" s="1" t="s">
        <v>232</v>
      </c>
      <c r="B12" s="92">
        <v>1744</v>
      </c>
      <c r="C12" s="92">
        <v>1452</v>
      </c>
      <c r="D12" s="92">
        <v>1246</v>
      </c>
    </row>
    <row r="13" spans="1:5" ht="17.100000000000001" thickBot="1">
      <c r="A13" s="33" t="s">
        <v>233</v>
      </c>
      <c r="B13" s="102">
        <v>62843</v>
      </c>
      <c r="C13" s="102">
        <v>30854</v>
      </c>
      <c r="D13" s="102">
        <v>34176</v>
      </c>
    </row>
    <row r="14" spans="1:5">
      <c r="A14" s="125" t="s">
        <v>234</v>
      </c>
      <c r="B14" s="126">
        <f>SUM(B7:B13)</f>
        <v>7061065</v>
      </c>
      <c r="C14" s="126">
        <f t="shared" ref="C14:D14" si="0">SUM(C7:C13)</f>
        <v>8017161</v>
      </c>
      <c r="D14" s="126">
        <f t="shared" si="0"/>
        <v>8250870</v>
      </c>
    </row>
    <row r="15" spans="1:5">
      <c r="B15" s="92"/>
      <c r="C15" s="92"/>
      <c r="D15" s="92"/>
    </row>
    <row r="16" spans="1:5">
      <c r="A16" s="99" t="s">
        <v>235</v>
      </c>
      <c r="B16" s="101"/>
      <c r="C16" s="101"/>
      <c r="D16" s="101"/>
    </row>
    <row r="17" spans="1:4">
      <c r="A17" s="1" t="s">
        <v>236</v>
      </c>
      <c r="B17" s="92">
        <v>590700</v>
      </c>
      <c r="C17" s="92">
        <v>816679</v>
      </c>
      <c r="D17" s="92">
        <v>837138</v>
      </c>
    </row>
    <row r="18" spans="1:4">
      <c r="A18" s="1" t="s">
        <v>237</v>
      </c>
      <c r="B18" s="92">
        <v>441168</v>
      </c>
      <c r="C18" s="92">
        <v>585128</v>
      </c>
      <c r="D18" s="92">
        <v>815120</v>
      </c>
    </row>
    <row r="19" spans="1:4">
      <c r="A19" s="1" t="s">
        <v>238</v>
      </c>
      <c r="B19" s="92">
        <v>1486119</v>
      </c>
      <c r="C19" s="92">
        <v>1554071</v>
      </c>
      <c r="D19" s="92">
        <v>1194471</v>
      </c>
    </row>
    <row r="20" spans="1:4">
      <c r="A20" s="1" t="s">
        <v>239</v>
      </c>
      <c r="B20" s="92">
        <v>226513</v>
      </c>
      <c r="C20" s="92">
        <v>279333</v>
      </c>
      <c r="D20" s="92">
        <v>252629</v>
      </c>
    </row>
    <row r="21" spans="1:4">
      <c r="A21" s="3" t="s">
        <v>240</v>
      </c>
      <c r="B21" s="91">
        <v>678075</v>
      </c>
      <c r="C21" s="91">
        <v>448813</v>
      </c>
      <c r="D21" s="91">
        <v>349562</v>
      </c>
    </row>
    <row r="22" spans="1:4" ht="17.100000000000001" thickBot="1">
      <c r="A22" s="100" t="s">
        <v>88</v>
      </c>
      <c r="B22" s="102">
        <v>754803</v>
      </c>
      <c r="C22" s="102">
        <v>724941</v>
      </c>
      <c r="D22" s="102">
        <v>830540</v>
      </c>
    </row>
    <row r="23" spans="1:4">
      <c r="A23" s="125" t="s">
        <v>241</v>
      </c>
      <c r="B23" s="126">
        <f>SUM(B17:B22)</f>
        <v>4177378</v>
      </c>
      <c r="C23" s="126">
        <f>SUM(C17:C22)</f>
        <v>4408965</v>
      </c>
      <c r="D23" s="126">
        <f>SUM(D17:D22)</f>
        <v>4279460</v>
      </c>
    </row>
    <row r="27" spans="1:4">
      <c r="A27" s="1"/>
      <c r="B27">
        <v>2018</v>
      </c>
      <c r="C27">
        <v>2019</v>
      </c>
      <c r="D27">
        <v>2020</v>
      </c>
    </row>
    <row r="29" spans="1:4">
      <c r="A29" s="99" t="s">
        <v>227</v>
      </c>
      <c r="B29" s="101"/>
      <c r="C29" s="101"/>
      <c r="D29" s="101"/>
    </row>
    <row r="30" spans="1:4">
      <c r="A30" t="s">
        <v>242</v>
      </c>
      <c r="B30" s="92">
        <f>SUM(B9:B12)</f>
        <v>4550699</v>
      </c>
      <c r="C30" s="92">
        <f t="shared" ref="C30:D30" si="1">SUM(C9:C12)</f>
        <v>5509088</v>
      </c>
      <c r="D30" s="92">
        <f t="shared" si="1"/>
        <v>5893654</v>
      </c>
    </row>
    <row r="31" spans="1:4">
      <c r="A31" t="s">
        <v>78</v>
      </c>
      <c r="B31" s="92">
        <f>B8</f>
        <v>2443957</v>
      </c>
      <c r="C31" s="92">
        <f t="shared" ref="C31:D31" si="2">C8</f>
        <v>2474530</v>
      </c>
      <c r="D31" s="92">
        <f t="shared" si="2"/>
        <v>2320370</v>
      </c>
    </row>
    <row r="32" spans="1:4">
      <c r="A32" t="s">
        <v>79</v>
      </c>
      <c r="B32" s="92">
        <f>B7</f>
        <v>3566</v>
      </c>
      <c r="C32" s="92">
        <f t="shared" ref="C32:D32" si="3">C7</f>
        <v>2689</v>
      </c>
      <c r="D32" s="92">
        <f t="shared" si="3"/>
        <v>2670</v>
      </c>
    </row>
    <row r="33" spans="1:4" ht="17.100000000000001" thickBot="1">
      <c r="A33" s="100" t="s">
        <v>243</v>
      </c>
      <c r="B33" s="102">
        <f>B13</f>
        <v>62843</v>
      </c>
      <c r="C33" s="102">
        <f t="shared" ref="C33:D33" si="4">C13</f>
        <v>30854</v>
      </c>
      <c r="D33" s="102">
        <f t="shared" si="4"/>
        <v>34176</v>
      </c>
    </row>
    <row r="34" spans="1:4">
      <c r="A34" t="s">
        <v>244</v>
      </c>
      <c r="B34" s="92">
        <f>SUM(B30:B33)</f>
        <v>7061065</v>
      </c>
      <c r="C34" s="92">
        <f t="shared" ref="C34:D34" si="5">SUM(C30:C33)</f>
        <v>8017161</v>
      </c>
      <c r="D34" s="92">
        <f t="shared" si="5"/>
        <v>8250870</v>
      </c>
    </row>
    <row r="35" spans="1:4">
      <c r="B35" s="92"/>
      <c r="C35" s="92"/>
      <c r="D35" s="92"/>
    </row>
    <row r="36" spans="1:4">
      <c r="A36" s="21" t="s">
        <v>82</v>
      </c>
      <c r="B36" s="101"/>
      <c r="C36" s="101"/>
      <c r="D36" s="101"/>
    </row>
    <row r="37" spans="1:4">
      <c r="A37" t="s">
        <v>83</v>
      </c>
      <c r="B37" s="92">
        <f>B19</f>
        <v>1486119</v>
      </c>
      <c r="C37" s="92">
        <f t="shared" ref="C37:D37" si="6">C19</f>
        <v>1554071</v>
      </c>
      <c r="D37" s="92">
        <f t="shared" si="6"/>
        <v>1194471</v>
      </c>
    </row>
    <row r="38" spans="1:4">
      <c r="A38" t="s">
        <v>245</v>
      </c>
      <c r="B38" s="92">
        <f>SUM(B17:B18)</f>
        <v>1031868</v>
      </c>
      <c r="C38" s="92">
        <f t="shared" ref="C38:D38" si="7">SUM(C17:C18)</f>
        <v>1401807</v>
      </c>
      <c r="D38" s="92">
        <f t="shared" si="7"/>
        <v>1652258</v>
      </c>
    </row>
    <row r="39" spans="1:4">
      <c r="A39" t="s">
        <v>85</v>
      </c>
      <c r="B39" s="92">
        <f>B20</f>
        <v>226513</v>
      </c>
      <c r="C39" s="92">
        <f t="shared" ref="C39:D39" si="8">C20</f>
        <v>279333</v>
      </c>
      <c r="D39" s="92">
        <f t="shared" si="8"/>
        <v>252629</v>
      </c>
    </row>
    <row r="40" spans="1:4">
      <c r="A40" t="s">
        <v>240</v>
      </c>
      <c r="B40" s="92">
        <f>B21</f>
        <v>678075</v>
      </c>
      <c r="C40" s="92">
        <f t="shared" ref="C40:D40" si="9">C21</f>
        <v>448813</v>
      </c>
      <c r="D40" s="92">
        <f t="shared" si="9"/>
        <v>349562</v>
      </c>
    </row>
    <row r="41" spans="1:4" ht="17.100000000000001" thickBot="1">
      <c r="A41" s="100" t="s">
        <v>246</v>
      </c>
      <c r="B41" s="102">
        <f>B22</f>
        <v>754803</v>
      </c>
      <c r="C41" s="102">
        <f t="shared" ref="C41:D41" si="10">C22</f>
        <v>724941</v>
      </c>
      <c r="D41" s="102">
        <f t="shared" si="10"/>
        <v>830540</v>
      </c>
    </row>
    <row r="42" spans="1:4">
      <c r="A42" t="s">
        <v>247</v>
      </c>
      <c r="B42" s="92">
        <f>SUM(B37:B41)</f>
        <v>4177378</v>
      </c>
      <c r="C42" s="92">
        <f t="shared" ref="C42:D42" si="11">SUM(C37:C41)</f>
        <v>4408965</v>
      </c>
      <c r="D42" s="92">
        <f t="shared" si="11"/>
        <v>4279460</v>
      </c>
    </row>
    <row r="53" spans="1:5">
      <c r="A53" s="1" t="s">
        <v>248</v>
      </c>
      <c r="B53" s="2">
        <v>2018</v>
      </c>
      <c r="C53" s="1"/>
    </row>
    <row r="54" spans="1:5">
      <c r="A54" s="1"/>
      <c r="B54" s="1"/>
    </row>
    <row r="55" spans="1:5">
      <c r="A55" s="99" t="s">
        <v>227</v>
      </c>
      <c r="B55" s="101"/>
    </row>
    <row r="56" spans="1:5">
      <c r="A56" t="s">
        <v>228</v>
      </c>
      <c r="B56" s="103">
        <v>3566</v>
      </c>
      <c r="D56" s="1"/>
      <c r="E56">
        <v>2018</v>
      </c>
    </row>
    <row r="57" spans="1:5">
      <c r="A57" s="1" t="s">
        <v>78</v>
      </c>
      <c r="B57" s="103">
        <v>2443957</v>
      </c>
    </row>
    <row r="58" spans="1:5">
      <c r="A58" s="1" t="s">
        <v>229</v>
      </c>
      <c r="B58" s="107">
        <v>754970</v>
      </c>
      <c r="D58" s="99" t="s">
        <v>227</v>
      </c>
      <c r="E58" s="101"/>
    </row>
    <row r="59" spans="1:5">
      <c r="A59" s="1" t="s">
        <v>230</v>
      </c>
      <c r="B59" s="107">
        <v>0</v>
      </c>
      <c r="D59" t="s">
        <v>242</v>
      </c>
      <c r="E59" s="92">
        <f>B58+B59+B60+B61</f>
        <v>4550699</v>
      </c>
    </row>
    <row r="60" spans="1:5">
      <c r="A60" s="1" t="s">
        <v>231</v>
      </c>
      <c r="B60" s="107">
        <v>3793985</v>
      </c>
      <c r="D60" t="s">
        <v>78</v>
      </c>
      <c r="E60" s="92">
        <v>2443957</v>
      </c>
    </row>
    <row r="61" spans="1:5">
      <c r="A61" s="1" t="s">
        <v>232</v>
      </c>
      <c r="B61" s="107">
        <v>1744</v>
      </c>
      <c r="D61" t="s">
        <v>79</v>
      </c>
      <c r="E61" s="92">
        <v>3566</v>
      </c>
    </row>
    <row r="62" spans="1:5" ht="17.100000000000001" thickBot="1">
      <c r="A62" s="33" t="s">
        <v>233</v>
      </c>
      <c r="B62" s="106">
        <v>62843</v>
      </c>
      <c r="D62" s="100" t="s">
        <v>243</v>
      </c>
      <c r="E62" s="102">
        <f>B62</f>
        <v>62843</v>
      </c>
    </row>
    <row r="63" spans="1:5">
      <c r="A63" s="1" t="s">
        <v>234</v>
      </c>
      <c r="B63" s="92">
        <f>SUM(B56:B62)</f>
        <v>7061065</v>
      </c>
      <c r="D63" t="s">
        <v>244</v>
      </c>
      <c r="E63" s="92">
        <f>SUM(E59:E62)</f>
        <v>7061065</v>
      </c>
    </row>
    <row r="64" spans="1:5">
      <c r="B64" s="92"/>
      <c r="E64" s="92"/>
    </row>
    <row r="65" spans="1:5">
      <c r="A65" s="99" t="s">
        <v>235</v>
      </c>
      <c r="B65" s="101"/>
      <c r="D65" s="21" t="s">
        <v>82</v>
      </c>
      <c r="E65" s="101"/>
    </row>
    <row r="66" spans="1:5">
      <c r="A66" s="1" t="s">
        <v>236</v>
      </c>
      <c r="B66" s="107">
        <v>590700</v>
      </c>
      <c r="D66" t="s">
        <v>83</v>
      </c>
      <c r="E66" s="92">
        <v>1486119</v>
      </c>
    </row>
    <row r="67" spans="1:5">
      <c r="A67" s="1" t="s">
        <v>237</v>
      </c>
      <c r="B67" s="107">
        <v>441168</v>
      </c>
      <c r="D67" t="s">
        <v>245</v>
      </c>
      <c r="E67" s="92">
        <f>B66+B67</f>
        <v>1031868</v>
      </c>
    </row>
    <row r="68" spans="1:5">
      <c r="A68" s="1" t="s">
        <v>238</v>
      </c>
      <c r="B68" s="104">
        <v>1486119</v>
      </c>
      <c r="D68" t="s">
        <v>85</v>
      </c>
      <c r="E68" s="92">
        <v>226513</v>
      </c>
    </row>
    <row r="69" spans="1:5">
      <c r="A69" s="1" t="s">
        <v>239</v>
      </c>
      <c r="B69" s="104">
        <v>226513</v>
      </c>
      <c r="D69" t="s">
        <v>240</v>
      </c>
      <c r="E69" s="92">
        <v>678075</v>
      </c>
    </row>
    <row r="70" spans="1:5" ht="17.100000000000001" thickBot="1">
      <c r="A70" s="3" t="s">
        <v>240</v>
      </c>
      <c r="B70" s="105">
        <v>678075</v>
      </c>
      <c r="D70" s="100" t="s">
        <v>246</v>
      </c>
      <c r="E70" s="102">
        <v>754803</v>
      </c>
    </row>
    <row r="71" spans="1:5" ht="17.100000000000001" thickBot="1">
      <c r="A71" s="100" t="s">
        <v>88</v>
      </c>
      <c r="B71" s="106">
        <v>754803</v>
      </c>
      <c r="D71" t="s">
        <v>247</v>
      </c>
      <c r="E71" s="92">
        <f>SUM(E66:E70)</f>
        <v>4177378</v>
      </c>
    </row>
    <row r="72" spans="1:5">
      <c r="A72" s="1" t="s">
        <v>241</v>
      </c>
      <c r="B72" s="92">
        <f>SUM(B66:B71)</f>
        <v>4177378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2C453-D993-C64E-94D7-B4447F426FC8}">
  <dimension ref="A2:X137"/>
  <sheetViews>
    <sheetView workbookViewId="0">
      <selection activeCell="G12" sqref="G12"/>
    </sheetView>
  </sheetViews>
  <sheetFormatPr defaultColWidth="11" defaultRowHeight="15.95"/>
  <cols>
    <col min="1" max="1" width="12.125" bestFit="1" customWidth="1"/>
    <col min="9" max="9" width="7.375" bestFit="1" customWidth="1"/>
    <col min="10" max="10" width="8.125" bestFit="1" customWidth="1"/>
  </cols>
  <sheetData>
    <row r="2" spans="1:24">
      <c r="A2" s="140" t="s">
        <v>249</v>
      </c>
      <c r="B2" s="140"/>
      <c r="C2" s="140"/>
      <c r="D2" s="140"/>
      <c r="E2" s="140"/>
      <c r="F2" s="140"/>
      <c r="G2" s="140"/>
      <c r="S2" s="130"/>
    </row>
    <row r="3" spans="1:24">
      <c r="A3">
        <v>2015</v>
      </c>
      <c r="B3">
        <v>2016</v>
      </c>
      <c r="C3">
        <v>2017</v>
      </c>
      <c r="D3">
        <v>2018</v>
      </c>
      <c r="E3">
        <v>2019</v>
      </c>
      <c r="F3">
        <v>2020</v>
      </c>
      <c r="S3" s="130"/>
    </row>
    <row r="4" spans="1:24">
      <c r="A4" s="127">
        <v>9.9000000000000008E-3</v>
      </c>
      <c r="B4" s="127">
        <v>8.3999999999999995E-3</v>
      </c>
      <c r="C4" s="127">
        <v>1.0699999999999999E-2</v>
      </c>
      <c r="D4" s="127">
        <v>1.44E-2</v>
      </c>
      <c r="E4" s="127">
        <v>1.2800000000000001E-2</v>
      </c>
      <c r="F4" s="127">
        <v>5.5999999999999999E-3</v>
      </c>
      <c r="G4" s="17"/>
      <c r="S4" s="130"/>
    </row>
    <row r="5" spans="1:24">
      <c r="A5" s="128"/>
      <c r="B5" s="128"/>
      <c r="C5" s="128"/>
      <c r="D5" s="128"/>
      <c r="E5" s="128"/>
      <c r="F5" s="128"/>
      <c r="S5" s="130"/>
    </row>
    <row r="6" spans="1:24">
      <c r="A6" s="140" t="s">
        <v>250</v>
      </c>
      <c r="B6" s="140" t="s">
        <v>251</v>
      </c>
      <c r="C6" s="140"/>
      <c r="D6" s="140"/>
      <c r="E6" s="140"/>
      <c r="F6" s="140"/>
      <c r="G6" s="140"/>
      <c r="S6" s="130"/>
    </row>
    <row r="7" spans="1:24">
      <c r="B7">
        <v>2015</v>
      </c>
      <c r="C7">
        <v>2016</v>
      </c>
      <c r="D7">
        <v>2017</v>
      </c>
      <c r="E7">
        <v>2018</v>
      </c>
      <c r="F7">
        <v>2019</v>
      </c>
      <c r="G7">
        <v>2020</v>
      </c>
      <c r="S7" s="130"/>
    </row>
    <row r="8" spans="1:24">
      <c r="B8">
        <f>F13</f>
        <v>-4.1239489970790848E-2</v>
      </c>
      <c r="C8">
        <f>F14</f>
        <v>1.5175068871913271E-2</v>
      </c>
      <c r="D8">
        <f>F15</f>
        <v>0.15564051598058673</v>
      </c>
      <c r="E8">
        <f>F16</f>
        <v>0.18309279515793592</v>
      </c>
      <c r="F8">
        <f>F17</f>
        <v>-5.9087723756763039E-3</v>
      </c>
      <c r="G8">
        <f>F18</f>
        <v>5.5438568373303042E-2</v>
      </c>
      <c r="S8" s="130"/>
    </row>
    <row r="9" spans="1:24">
      <c r="B9" s="14"/>
      <c r="C9" s="14"/>
      <c r="D9" s="14"/>
      <c r="E9" s="14"/>
      <c r="F9" s="14"/>
      <c r="G9" s="14"/>
    </row>
    <row r="10" spans="1:24">
      <c r="S10" s="131"/>
      <c r="T10" s="131"/>
      <c r="U10" s="131"/>
      <c r="V10" s="131"/>
      <c r="W10" s="131"/>
      <c r="X10" s="131"/>
    </row>
    <row r="11" spans="1:24">
      <c r="A11" s="198" t="s">
        <v>252</v>
      </c>
      <c r="B11" s="198"/>
      <c r="S11" s="130"/>
    </row>
    <row r="12" spans="1:24">
      <c r="A12" t="s">
        <v>253</v>
      </c>
      <c r="B12" t="s">
        <v>254</v>
      </c>
    </row>
    <row r="13" spans="1:24">
      <c r="A13" s="129">
        <v>44166</v>
      </c>
      <c r="B13">
        <v>973.97</v>
      </c>
      <c r="D13">
        <v>2020</v>
      </c>
      <c r="E13">
        <f>SUM(B13:B24)/12</f>
        <v>839.67416666666668</v>
      </c>
      <c r="F13">
        <f>LN(E13/E14)</f>
        <v>-4.1239489970790848E-2</v>
      </c>
    </row>
    <row r="14" spans="1:24">
      <c r="A14" s="129">
        <v>44136</v>
      </c>
      <c r="B14">
        <v>930.39</v>
      </c>
      <c r="D14">
        <v>2019</v>
      </c>
      <c r="E14">
        <f>SUM(B25:B36)/12</f>
        <v>875.02583333333348</v>
      </c>
      <c r="F14">
        <f t="shared" ref="F14:F18" si="0">LN(E14/E15)</f>
        <v>1.5175068871913271E-2</v>
      </c>
      <c r="R14" s="127"/>
      <c r="S14" s="127"/>
      <c r="T14" s="127"/>
      <c r="U14" s="127"/>
      <c r="V14" s="127"/>
      <c r="W14" s="127"/>
    </row>
    <row r="15" spans="1:24">
      <c r="A15" s="129">
        <v>44105</v>
      </c>
      <c r="B15">
        <v>811.85</v>
      </c>
      <c r="D15">
        <v>2018</v>
      </c>
      <c r="E15">
        <f>SUM(B37:B48)/12</f>
        <v>861.84749999999997</v>
      </c>
      <c r="F15">
        <f t="shared" si="0"/>
        <v>0.15564051598058673</v>
      </c>
      <c r="S15" s="130"/>
    </row>
    <row r="16" spans="1:24">
      <c r="A16" s="129">
        <v>44075</v>
      </c>
      <c r="B16">
        <v>856.09</v>
      </c>
      <c r="D16">
        <v>2017</v>
      </c>
      <c r="E16">
        <f>SUM(B49:B60)/12</f>
        <v>737.62666666666689</v>
      </c>
      <c r="F16">
        <f t="shared" si="0"/>
        <v>0.18309279515793592</v>
      </c>
      <c r="S16" s="130"/>
    </row>
    <row r="17" spans="1:19">
      <c r="A17" s="129">
        <v>44044</v>
      </c>
      <c r="B17">
        <v>859.26</v>
      </c>
      <c r="D17">
        <v>2016</v>
      </c>
      <c r="E17">
        <f>SUM(B61:B72)/12</f>
        <v>614.21500000000003</v>
      </c>
      <c r="F17">
        <f t="shared" si="0"/>
        <v>-5.9087723756763039E-3</v>
      </c>
      <c r="S17" s="130"/>
    </row>
    <row r="18" spans="1:19">
      <c r="A18" s="129">
        <v>44013</v>
      </c>
      <c r="B18">
        <v>826.23</v>
      </c>
      <c r="D18">
        <v>2015</v>
      </c>
      <c r="E18">
        <f>SUM(B73:B84)/12</f>
        <v>617.85500000000002</v>
      </c>
      <c r="F18">
        <f t="shared" si="0"/>
        <v>5.5438568373303042E-2</v>
      </c>
      <c r="S18" s="130"/>
    </row>
    <row r="19" spans="1:19">
      <c r="A19" s="129">
        <v>43983</v>
      </c>
      <c r="B19">
        <v>795.22</v>
      </c>
      <c r="D19">
        <v>2014</v>
      </c>
      <c r="E19">
        <f>SUM(B85:B96)/12</f>
        <v>584.53416666666669</v>
      </c>
      <c r="S19" s="130"/>
    </row>
    <row r="20" spans="1:19">
      <c r="A20" s="129">
        <v>43952</v>
      </c>
      <c r="B20">
        <v>796.77</v>
      </c>
      <c r="S20" s="130"/>
    </row>
    <row r="21" spans="1:19">
      <c r="A21" s="129">
        <v>43922</v>
      </c>
      <c r="B21">
        <v>775.11</v>
      </c>
      <c r="S21" s="130"/>
    </row>
    <row r="22" spans="1:19">
      <c r="A22" s="129">
        <v>43891</v>
      </c>
      <c r="B22">
        <v>707.13</v>
      </c>
      <c r="S22" s="130"/>
    </row>
    <row r="23" spans="1:19">
      <c r="A23" s="129">
        <v>43862</v>
      </c>
      <c r="B23">
        <v>830.26</v>
      </c>
      <c r="S23" s="130"/>
    </row>
    <row r="24" spans="1:19">
      <c r="A24" s="129">
        <v>43831</v>
      </c>
      <c r="B24">
        <v>913.81</v>
      </c>
      <c r="S24" s="130"/>
    </row>
    <row r="25" spans="1:19">
      <c r="A25" s="129">
        <v>43800</v>
      </c>
      <c r="B25">
        <v>931.45</v>
      </c>
      <c r="S25" s="130"/>
    </row>
    <row r="26" spans="1:19">
      <c r="A26" s="129">
        <v>43770</v>
      </c>
      <c r="B26">
        <v>902.45</v>
      </c>
      <c r="S26" s="130"/>
    </row>
    <row r="27" spans="1:19">
      <c r="A27" s="129">
        <v>43739</v>
      </c>
      <c r="B27">
        <v>898.05</v>
      </c>
      <c r="S27" s="130"/>
    </row>
    <row r="28" spans="1:19">
      <c r="A28" s="129">
        <v>43709</v>
      </c>
      <c r="B28">
        <v>886.6</v>
      </c>
      <c r="S28" s="130"/>
    </row>
    <row r="29" spans="1:19">
      <c r="A29" s="129">
        <v>43678</v>
      </c>
      <c r="B29">
        <v>861.29</v>
      </c>
      <c r="S29" s="130"/>
    </row>
    <row r="30" spans="1:19">
      <c r="A30" s="129">
        <v>43647</v>
      </c>
      <c r="B30">
        <v>859.14</v>
      </c>
      <c r="S30" s="130"/>
    </row>
    <row r="31" spans="1:19">
      <c r="A31" s="129">
        <v>43617</v>
      </c>
      <c r="B31">
        <v>864.63</v>
      </c>
      <c r="S31" s="130"/>
    </row>
    <row r="32" spans="1:19">
      <c r="A32" s="129">
        <v>43586</v>
      </c>
      <c r="B32">
        <v>852.09</v>
      </c>
      <c r="S32" s="130"/>
    </row>
    <row r="33" spans="1:19">
      <c r="A33" s="129">
        <v>43556</v>
      </c>
      <c r="B33">
        <v>880.91</v>
      </c>
      <c r="S33" s="130"/>
    </row>
    <row r="34" spans="1:19">
      <c r="A34" s="129">
        <v>43525</v>
      </c>
      <c r="B34">
        <v>863.11</v>
      </c>
      <c r="S34" s="130"/>
    </row>
    <row r="35" spans="1:19">
      <c r="A35" s="129">
        <v>43497</v>
      </c>
      <c r="B35">
        <v>865.28</v>
      </c>
      <c r="S35" s="130"/>
    </row>
    <row r="36" spans="1:19">
      <c r="A36" s="129">
        <v>43466</v>
      </c>
      <c r="B36">
        <v>835.31</v>
      </c>
      <c r="S36" s="130"/>
    </row>
    <row r="37" spans="1:19">
      <c r="A37" s="129">
        <v>43435</v>
      </c>
      <c r="B37">
        <v>799.46</v>
      </c>
      <c r="S37" s="130"/>
    </row>
    <row r="38" spans="1:19">
      <c r="A38" s="129">
        <v>43405</v>
      </c>
      <c r="B38">
        <v>860.98</v>
      </c>
    </row>
    <row r="39" spans="1:19">
      <c r="A39" s="129">
        <v>43374</v>
      </c>
      <c r="B39">
        <v>889.66</v>
      </c>
    </row>
    <row r="40" spans="1:19">
      <c r="A40" s="129">
        <v>43344</v>
      </c>
      <c r="B40">
        <v>938.26</v>
      </c>
    </row>
    <row r="41" spans="1:19">
      <c r="A41" s="129">
        <v>43313</v>
      </c>
      <c r="B41">
        <v>906.69</v>
      </c>
    </row>
    <row r="42" spans="1:19">
      <c r="A42" s="129">
        <v>43282</v>
      </c>
      <c r="B42">
        <v>896.4</v>
      </c>
    </row>
    <row r="43" spans="1:19">
      <c r="A43" s="129">
        <v>43252</v>
      </c>
      <c r="B43">
        <v>879.14</v>
      </c>
    </row>
    <row r="44" spans="1:19">
      <c r="A44" s="129">
        <v>43221</v>
      </c>
      <c r="B44">
        <v>875.52</v>
      </c>
    </row>
    <row r="45" spans="1:19">
      <c r="A45" s="129">
        <v>43191</v>
      </c>
      <c r="B45">
        <v>859.96</v>
      </c>
    </row>
    <row r="46" spans="1:19">
      <c r="A46" s="129">
        <v>43160</v>
      </c>
      <c r="B46">
        <v>805.32</v>
      </c>
    </row>
    <row r="47" spans="1:19">
      <c r="A47" s="129">
        <v>43132</v>
      </c>
      <c r="B47">
        <v>819.77</v>
      </c>
    </row>
    <row r="48" spans="1:19">
      <c r="A48" s="129">
        <v>43101</v>
      </c>
      <c r="B48">
        <v>811.01</v>
      </c>
    </row>
    <row r="49" spans="1:2">
      <c r="A49" s="129">
        <v>43070</v>
      </c>
      <c r="B49">
        <v>814.45</v>
      </c>
    </row>
    <row r="50" spans="1:2">
      <c r="A50" s="129">
        <v>43040</v>
      </c>
      <c r="B50">
        <v>796.83</v>
      </c>
    </row>
    <row r="51" spans="1:2">
      <c r="A51" s="129">
        <v>43009</v>
      </c>
      <c r="B51">
        <v>806.95</v>
      </c>
    </row>
    <row r="52" spans="1:2">
      <c r="A52" s="129">
        <v>42979</v>
      </c>
      <c r="B52">
        <v>783.09</v>
      </c>
    </row>
    <row r="53" spans="1:2">
      <c r="A53" s="129">
        <v>42948</v>
      </c>
      <c r="B53">
        <v>739.87</v>
      </c>
    </row>
    <row r="54" spans="1:2">
      <c r="A54" s="129">
        <v>42917</v>
      </c>
      <c r="B54">
        <v>732.51</v>
      </c>
    </row>
    <row r="55" spans="1:2">
      <c r="A55" s="129">
        <v>42887</v>
      </c>
      <c r="B55">
        <v>698.58</v>
      </c>
    </row>
    <row r="56" spans="1:2">
      <c r="A56" s="129">
        <v>42856</v>
      </c>
      <c r="B56">
        <v>710.34</v>
      </c>
    </row>
    <row r="57" spans="1:2">
      <c r="A57" s="129">
        <v>42826</v>
      </c>
      <c r="B57">
        <v>697.66</v>
      </c>
    </row>
    <row r="58" spans="1:2">
      <c r="A58" s="129">
        <v>42795</v>
      </c>
      <c r="B58">
        <v>687.85</v>
      </c>
    </row>
    <row r="59" spans="1:2">
      <c r="A59" s="129">
        <v>42767</v>
      </c>
      <c r="B59">
        <v>690.27</v>
      </c>
    </row>
    <row r="60" spans="1:2">
      <c r="A60" s="129">
        <v>42736</v>
      </c>
      <c r="B60">
        <v>693.12</v>
      </c>
    </row>
    <row r="61" spans="1:2">
      <c r="A61" s="129">
        <v>42705</v>
      </c>
      <c r="B61">
        <v>683.87</v>
      </c>
    </row>
    <row r="62" spans="1:2">
      <c r="A62" s="129">
        <v>42675</v>
      </c>
      <c r="B62">
        <v>656.63</v>
      </c>
    </row>
    <row r="63" spans="1:2">
      <c r="A63" s="129">
        <v>42644</v>
      </c>
      <c r="B63">
        <v>638.20000000000005</v>
      </c>
    </row>
    <row r="64" spans="1:2">
      <c r="A64" s="129">
        <v>42614</v>
      </c>
      <c r="B64">
        <v>622.69000000000005</v>
      </c>
    </row>
    <row r="65" spans="1:2">
      <c r="A65" s="129">
        <v>42583</v>
      </c>
      <c r="B65">
        <v>618.92999999999995</v>
      </c>
    </row>
    <row r="66" spans="1:2">
      <c r="A66" s="129">
        <v>42552</v>
      </c>
      <c r="B66">
        <v>612.63</v>
      </c>
    </row>
    <row r="67" spans="1:2">
      <c r="A67" s="129">
        <v>42522</v>
      </c>
      <c r="B67">
        <v>602.86</v>
      </c>
    </row>
    <row r="68" spans="1:2">
      <c r="A68" s="129">
        <v>42491</v>
      </c>
      <c r="B68">
        <v>617.30999999999995</v>
      </c>
    </row>
    <row r="69" spans="1:2">
      <c r="A69" s="129">
        <v>42461</v>
      </c>
      <c r="B69">
        <v>606.28</v>
      </c>
    </row>
    <row r="70" spans="1:2">
      <c r="A70" s="129">
        <v>42430</v>
      </c>
      <c r="B70">
        <v>577.75</v>
      </c>
    </row>
    <row r="71" spans="1:2">
      <c r="A71" s="129">
        <v>42401</v>
      </c>
      <c r="B71">
        <v>572.5</v>
      </c>
    </row>
    <row r="72" spans="1:2">
      <c r="A72" s="129">
        <v>42370</v>
      </c>
      <c r="B72">
        <v>560.92999999999995</v>
      </c>
    </row>
    <row r="73" spans="1:2">
      <c r="A73" s="129">
        <v>42339</v>
      </c>
      <c r="B73">
        <v>610.26</v>
      </c>
    </row>
    <row r="74" spans="1:2">
      <c r="A74" s="129">
        <v>42309</v>
      </c>
      <c r="B74">
        <v>628.76</v>
      </c>
    </row>
    <row r="75" spans="1:2">
      <c r="A75" s="129">
        <v>42278</v>
      </c>
      <c r="B75">
        <v>615.24</v>
      </c>
    </row>
    <row r="76" spans="1:2">
      <c r="A76" s="129">
        <v>42248</v>
      </c>
      <c r="B76">
        <v>581.79</v>
      </c>
    </row>
    <row r="77" spans="1:2">
      <c r="A77" s="129">
        <v>42217</v>
      </c>
      <c r="B77">
        <v>594.1</v>
      </c>
    </row>
    <row r="78" spans="1:2">
      <c r="A78" s="129">
        <v>42186</v>
      </c>
      <c r="B78">
        <v>638.92999999999995</v>
      </c>
    </row>
    <row r="79" spans="1:2">
      <c r="A79" s="129">
        <v>42156</v>
      </c>
      <c r="B79">
        <v>629.11</v>
      </c>
    </row>
    <row r="80" spans="1:2">
      <c r="A80" s="129">
        <v>42125</v>
      </c>
      <c r="B80">
        <v>645.67999999999995</v>
      </c>
    </row>
    <row r="81" spans="1:2">
      <c r="A81" s="129">
        <v>42095</v>
      </c>
      <c r="B81">
        <v>639.36</v>
      </c>
    </row>
    <row r="82" spans="1:2">
      <c r="A82" s="129">
        <v>42064</v>
      </c>
      <c r="B82">
        <v>619.20000000000005</v>
      </c>
    </row>
    <row r="83" spans="1:2">
      <c r="A83" s="129">
        <v>42036</v>
      </c>
      <c r="B83">
        <v>615.64</v>
      </c>
    </row>
    <row r="84" spans="1:2">
      <c r="A84" s="129">
        <v>42005</v>
      </c>
      <c r="B84">
        <v>596.19000000000005</v>
      </c>
    </row>
    <row r="85" spans="1:2">
      <c r="A85" s="129">
        <v>41974</v>
      </c>
      <c r="B85">
        <v>576.04</v>
      </c>
    </row>
    <row r="86" spans="1:2">
      <c r="A86" s="129">
        <v>41944</v>
      </c>
      <c r="B86">
        <v>566.34</v>
      </c>
    </row>
    <row r="87" spans="1:2">
      <c r="A87" s="129">
        <v>41913</v>
      </c>
      <c r="B87">
        <v>585.28</v>
      </c>
    </row>
    <row r="88" spans="1:2">
      <c r="A88" s="129">
        <v>41883</v>
      </c>
      <c r="B88">
        <v>609.38</v>
      </c>
    </row>
    <row r="89" spans="1:2">
      <c r="A89" s="129">
        <v>41852</v>
      </c>
      <c r="B89">
        <v>610.16999999999996</v>
      </c>
    </row>
    <row r="90" spans="1:2">
      <c r="A90" s="129">
        <v>41821</v>
      </c>
      <c r="B90">
        <v>612.29</v>
      </c>
    </row>
    <row r="91" spans="1:2">
      <c r="A91" s="129">
        <v>41791</v>
      </c>
      <c r="B91">
        <v>617.88</v>
      </c>
    </row>
    <row r="92" spans="1:2">
      <c r="A92" s="129">
        <v>41760</v>
      </c>
      <c r="B92">
        <v>605.26</v>
      </c>
    </row>
    <row r="93" spans="1:2">
      <c r="A93" s="129">
        <v>41730</v>
      </c>
      <c r="B93">
        <v>578.37</v>
      </c>
    </row>
    <row r="94" spans="1:2">
      <c r="A94" s="129">
        <v>41699</v>
      </c>
      <c r="B94">
        <v>561.95000000000005</v>
      </c>
    </row>
    <row r="95" spans="1:2">
      <c r="A95" s="129">
        <v>41671</v>
      </c>
      <c r="B95">
        <v>555.72</v>
      </c>
    </row>
    <row r="96" spans="1:2">
      <c r="A96" s="129">
        <v>41640</v>
      </c>
      <c r="B96">
        <v>535.73</v>
      </c>
    </row>
    <row r="97" spans="1:2">
      <c r="A97" s="129">
        <v>41609</v>
      </c>
      <c r="B97">
        <v>548.86</v>
      </c>
    </row>
    <row r="98" spans="1:2">
      <c r="A98" s="129">
        <v>41579</v>
      </c>
      <c r="B98">
        <v>542.79</v>
      </c>
    </row>
    <row r="99" spans="1:2">
      <c r="A99" s="129">
        <v>41548</v>
      </c>
      <c r="B99">
        <v>532.33000000000004</v>
      </c>
    </row>
    <row r="100" spans="1:2">
      <c r="A100" s="129">
        <v>41518</v>
      </c>
      <c r="B100">
        <v>501.76</v>
      </c>
    </row>
    <row r="101" spans="1:2">
      <c r="A101" s="129">
        <v>41487</v>
      </c>
      <c r="B101">
        <v>496.78</v>
      </c>
    </row>
    <row r="102" spans="1:2">
      <c r="A102" s="129">
        <v>41456</v>
      </c>
      <c r="B102">
        <v>495.36</v>
      </c>
    </row>
    <row r="103" spans="1:2">
      <c r="A103" s="129">
        <v>41426</v>
      </c>
      <c r="B103">
        <v>468.79</v>
      </c>
    </row>
    <row r="104" spans="1:2">
      <c r="A104" s="129">
        <v>41395</v>
      </c>
      <c r="B104">
        <v>491.71</v>
      </c>
    </row>
    <row r="105" spans="1:2">
      <c r="A105" s="129">
        <v>41365</v>
      </c>
      <c r="B105">
        <v>480.13</v>
      </c>
    </row>
    <row r="106" spans="1:2">
      <c r="A106" s="129">
        <v>41334</v>
      </c>
      <c r="B106">
        <v>471.21</v>
      </c>
    </row>
    <row r="107" spans="1:2">
      <c r="A107" s="129">
        <v>41306</v>
      </c>
      <c r="B107">
        <v>473.07</v>
      </c>
    </row>
    <row r="108" spans="1:2">
      <c r="A108" s="129">
        <v>41275</v>
      </c>
      <c r="B108">
        <v>465.79</v>
      </c>
    </row>
    <row r="109" spans="1:2">
      <c r="A109" s="129">
        <v>41244</v>
      </c>
      <c r="B109">
        <v>444.09</v>
      </c>
    </row>
    <row r="110" spans="1:2">
      <c r="A110" s="129">
        <v>41214</v>
      </c>
      <c r="B110">
        <v>442.08</v>
      </c>
    </row>
    <row r="111" spans="1:2">
      <c r="A111" s="129">
        <v>41183</v>
      </c>
      <c r="B111">
        <v>442.18</v>
      </c>
    </row>
    <row r="112" spans="1:2">
      <c r="A112" s="129">
        <v>41153</v>
      </c>
      <c r="B112">
        <v>445.92</v>
      </c>
    </row>
    <row r="113" spans="1:2">
      <c r="A113" s="129">
        <v>41122</v>
      </c>
      <c r="B113">
        <v>435.22</v>
      </c>
    </row>
    <row r="114" spans="1:2">
      <c r="A114" s="129">
        <v>41091</v>
      </c>
      <c r="B114">
        <v>423.31</v>
      </c>
    </row>
    <row r="115" spans="1:2">
      <c r="A115" s="129">
        <v>41061</v>
      </c>
      <c r="B115">
        <v>407.09</v>
      </c>
    </row>
    <row r="116" spans="1:2">
      <c r="A116" s="129">
        <v>41030</v>
      </c>
      <c r="B116">
        <v>384.36</v>
      </c>
    </row>
    <row r="117" spans="1:2">
      <c r="A117" s="129">
        <v>41000</v>
      </c>
      <c r="B117">
        <v>421.21</v>
      </c>
    </row>
    <row r="118" spans="1:2">
      <c r="A118" s="129">
        <v>40969</v>
      </c>
      <c r="B118">
        <v>426.61</v>
      </c>
    </row>
    <row r="119" spans="1:2">
      <c r="A119" s="129">
        <v>40940</v>
      </c>
      <c r="B119">
        <v>429.85</v>
      </c>
    </row>
    <row r="120" spans="1:2">
      <c r="A120" s="129">
        <v>40909</v>
      </c>
      <c r="B120">
        <v>397.36</v>
      </c>
    </row>
    <row r="121" spans="1:2">
      <c r="A121" s="129">
        <v>40878</v>
      </c>
      <c r="B121">
        <v>384.95</v>
      </c>
    </row>
    <row r="122" spans="1:2">
      <c r="A122" s="129">
        <v>40848</v>
      </c>
      <c r="B122">
        <v>380.85</v>
      </c>
    </row>
    <row r="123" spans="1:2">
      <c r="A123" s="129">
        <v>40817</v>
      </c>
      <c r="B123">
        <v>384.22</v>
      </c>
    </row>
    <row r="124" spans="1:2">
      <c r="A124" s="129">
        <v>40787</v>
      </c>
      <c r="B124">
        <v>348.28</v>
      </c>
    </row>
    <row r="125" spans="1:2">
      <c r="A125" s="129">
        <v>40756</v>
      </c>
      <c r="B125">
        <v>378.47</v>
      </c>
    </row>
    <row r="126" spans="1:2">
      <c r="A126" s="129">
        <v>40725</v>
      </c>
      <c r="B126">
        <v>417.65</v>
      </c>
    </row>
    <row r="127" spans="1:2">
      <c r="A127" s="129">
        <v>40695</v>
      </c>
      <c r="B127">
        <v>421.33</v>
      </c>
    </row>
    <row r="128" spans="1:2">
      <c r="A128" s="129">
        <v>40664</v>
      </c>
      <c r="B128">
        <v>440.91</v>
      </c>
    </row>
    <row r="129" spans="1:2">
      <c r="A129" s="129">
        <v>40634</v>
      </c>
      <c r="B129">
        <v>447.74</v>
      </c>
    </row>
    <row r="130" spans="1:2">
      <c r="A130" s="129">
        <v>40603</v>
      </c>
      <c r="B130">
        <v>445.41</v>
      </c>
    </row>
    <row r="131" spans="1:2">
      <c r="A131" s="129">
        <v>40575</v>
      </c>
      <c r="B131">
        <v>446.16</v>
      </c>
    </row>
    <row r="132" spans="1:2">
      <c r="A132" s="129">
        <v>40544</v>
      </c>
      <c r="B132">
        <v>430.24</v>
      </c>
    </row>
    <row r="133" spans="1:2">
      <c r="A133" s="129">
        <v>40513</v>
      </c>
      <c r="B133">
        <v>439.72</v>
      </c>
    </row>
    <row r="134" spans="1:2">
      <c r="A134" s="129">
        <v>40483</v>
      </c>
      <c r="B134">
        <v>396.07</v>
      </c>
    </row>
    <row r="135" spans="1:2">
      <c r="A135" s="129">
        <v>40452</v>
      </c>
      <c r="B135">
        <v>404.62</v>
      </c>
    </row>
    <row r="136" spans="1:2">
      <c r="A136" s="129">
        <v>40422</v>
      </c>
      <c r="B136">
        <v>381.43</v>
      </c>
    </row>
    <row r="137" spans="1:2">
      <c r="A137" s="129">
        <v>40391</v>
      </c>
      <c r="B137">
        <v>352.66</v>
      </c>
    </row>
  </sheetData>
  <mergeCells count="1">
    <mergeCell ref="A11:B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FD612D3FDCC54AB0867F0997DA0A34" ma:contentTypeVersion="13" ma:contentTypeDescription="Create a new document." ma:contentTypeScope="" ma:versionID="918f396252e26a53156966209d05b2ac">
  <xsd:schema xmlns:xsd="http://www.w3.org/2001/XMLSchema" xmlns:xs="http://www.w3.org/2001/XMLSchema" xmlns:p="http://schemas.microsoft.com/office/2006/metadata/properties" xmlns:ns2="9e06d9b7-fa57-492d-879c-c63ae699c196" xmlns:ns3="263ca01a-a29a-4a2b-9879-77f8d21a8c38" targetNamespace="http://schemas.microsoft.com/office/2006/metadata/properties" ma:root="true" ma:fieldsID="82ee63a73e7bf7b43acf63d7e067e041" ns2:_="" ns3:_="">
    <xsd:import namespace="9e06d9b7-fa57-492d-879c-c63ae699c196"/>
    <xsd:import namespace="263ca01a-a29a-4a2b-9879-77f8d21a8c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06d9b7-fa57-492d-879c-c63ae699c1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3ca01a-a29a-4a2b-9879-77f8d21a8c3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C9155F-A9C3-4664-BA61-A55A127853D5}"/>
</file>

<file path=customXml/itemProps2.xml><?xml version="1.0" encoding="utf-8"?>
<ds:datastoreItem xmlns:ds="http://schemas.openxmlformats.org/officeDocument/2006/customXml" ds:itemID="{67F15B76-AD82-4338-97D1-AE1224D75D9D}"/>
</file>

<file path=customXml/itemProps3.xml><?xml version="1.0" encoding="utf-8"?>
<ds:datastoreItem xmlns:ds="http://schemas.openxmlformats.org/officeDocument/2006/customXml" ds:itemID="{E4FF8AA3-76C0-4700-9715-932E6DE32B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Ueland</dc:creator>
  <cp:keywords/>
  <dc:description/>
  <cp:lastModifiedBy>Jørgen Ueland</cp:lastModifiedBy>
  <cp:revision/>
  <dcterms:created xsi:type="dcterms:W3CDTF">2019-10-14T08:46:22Z</dcterms:created>
  <dcterms:modified xsi:type="dcterms:W3CDTF">2021-09-20T07:16:08Z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0x01010074FD612D3FDCC54AB0867F0997DA0A34</vt:lpwstr>
  </property>
</Properties>
</file>