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elixusterud/Downloads/"/>
    </mc:Choice>
  </mc:AlternateContent>
  <xr:revisionPtr revIDLastSave="0" documentId="13_ncr:1_{CA085477-AC5B-324A-BD7D-8B132A31A830}" xr6:coauthVersionLast="45" xr6:coauthVersionMax="45" xr10:uidLastSave="{00000000-0000-0000-0000-000000000000}"/>
  <bookViews>
    <workbookView xWindow="140" yWindow="460" windowWidth="28340" windowHeight="17540" activeTab="6" xr2:uid="{4D2500F0-8F40-8A4F-AF90-B44DFA241D38}"/>
  </bookViews>
  <sheets>
    <sheet name="Hovedmodell" sheetId="19" r:id="rId1"/>
    <sheet name="Base Scenario" sheetId="10" r:id="rId2"/>
    <sheet name="Covid kortsiktig" sheetId="15" r:id="rId3"/>
    <sheet name="Covid langsiktig" sheetId="14" r:id="rId4"/>
    <sheet name="Satt opp mot hverandre" sheetId="16" r:id="rId5"/>
    <sheet name="Kostnader Base-Scenario" sheetId="11" r:id="rId6"/>
    <sheet name="Kostnader Covid-kort" sheetId="18" r:id="rId7"/>
    <sheet name="Kostnader Covid-lang" sheetId="17" r:id="rId8"/>
    <sheet name="Fremtidig priser" sheetId="7" r:id="rId9"/>
    <sheet name="Prisliste Drivstoff" sheetId="6" r:id="rId10"/>
    <sheet name="Opsjon" sheetId="21" r:id="rId11"/>
    <sheet name="Regresjon; Drivstoff,Olje" sheetId="8" r:id="rId12"/>
    <sheet name="Port Calls" sheetId="12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21" l="1"/>
  <c r="P37" i="21"/>
  <c r="H52" i="21" s="1"/>
  <c r="O37" i="21"/>
  <c r="H47" i="21"/>
  <c r="Q37" i="21"/>
  <c r="Q35" i="21"/>
  <c r="P35" i="21"/>
  <c r="O35" i="21"/>
  <c r="O31" i="21"/>
  <c r="O41" i="21"/>
  <c r="I11" i="21" l="1"/>
  <c r="I35" i="21" s="1"/>
  <c r="J11" i="21"/>
  <c r="J35" i="21" s="1"/>
  <c r="K11" i="21"/>
  <c r="K35" i="21" s="1"/>
  <c r="L11" i="21"/>
  <c r="L35" i="21" s="1"/>
  <c r="M11" i="21"/>
  <c r="M35" i="21" s="1"/>
  <c r="L15" i="21"/>
  <c r="L41" i="21" s="1"/>
  <c r="M15" i="21"/>
  <c r="M41" i="21" s="1"/>
  <c r="I15" i="21"/>
  <c r="I41" i="21" s="1"/>
  <c r="J15" i="21"/>
  <c r="J37" i="21" s="1"/>
  <c r="K15" i="21"/>
  <c r="K41" i="21" s="1"/>
  <c r="G11" i="21"/>
  <c r="G35" i="21" s="1"/>
  <c r="H11" i="21"/>
  <c r="H35" i="21" s="1"/>
  <c r="G15" i="21"/>
  <c r="G41" i="21" s="1"/>
  <c r="H15" i="21"/>
  <c r="H41" i="21" s="1"/>
  <c r="G21" i="15"/>
  <c r="D13" i="21"/>
  <c r="D31" i="21" s="1"/>
  <c r="E15" i="21"/>
  <c r="E37" i="21" s="1"/>
  <c r="F15" i="21"/>
  <c r="F41" i="21" s="1"/>
  <c r="E41" i="21" l="1"/>
  <c r="E62" i="21"/>
  <c r="F62" i="21" s="1"/>
  <c r="M37" i="21"/>
  <c r="L37" i="21"/>
  <c r="J41" i="21"/>
  <c r="L31" i="21"/>
  <c r="I37" i="21"/>
  <c r="K31" i="21"/>
  <c r="J31" i="21"/>
  <c r="K37" i="21"/>
  <c r="H31" i="21"/>
  <c r="G31" i="21"/>
  <c r="M31" i="21"/>
  <c r="I31" i="21"/>
  <c r="H62" i="21"/>
  <c r="I62" i="21" s="1"/>
  <c r="H37" i="21"/>
  <c r="G37" i="21"/>
  <c r="D41" i="21"/>
  <c r="F37" i="21"/>
  <c r="E52" i="21" l="1"/>
  <c r="F52" i="21" s="1"/>
  <c r="P41" i="21"/>
  <c r="Q41" i="21"/>
  <c r="D37" i="21"/>
  <c r="I52" i="21" l="1"/>
  <c r="G29" i="14" l="1"/>
  <c r="H29" i="14"/>
  <c r="I29" i="14"/>
  <c r="F29" i="14"/>
  <c r="F29" i="15"/>
  <c r="F26" i="10"/>
  <c r="C70" i="18"/>
  <c r="C71" i="18"/>
  <c r="C73" i="17"/>
  <c r="C74" i="17"/>
  <c r="C75" i="17"/>
  <c r="C76" i="17"/>
  <c r="I21" i="14"/>
  <c r="F55" i="19" s="1"/>
  <c r="D33" i="18"/>
  <c r="E25" i="11"/>
  <c r="F25" i="11" s="1"/>
  <c r="H21" i="14"/>
  <c r="E55" i="19" s="1"/>
  <c r="G21" i="14"/>
  <c r="D55" i="19" s="1"/>
  <c r="D50" i="17"/>
  <c r="D61" i="17" s="1"/>
  <c r="D28" i="18"/>
  <c r="D47" i="18" s="1"/>
  <c r="D18" i="11"/>
  <c r="D17" i="19"/>
  <c r="F37" i="17"/>
  <c r="F38" i="17"/>
  <c r="F39" i="17"/>
  <c r="E33" i="18"/>
  <c r="F33" i="18" s="1"/>
  <c r="D39" i="11" l="1"/>
  <c r="D26" i="11"/>
  <c r="D54" i="19"/>
  <c r="D26" i="17"/>
  <c r="J58" i="17" l="1"/>
  <c r="J59" i="17"/>
  <c r="J60" i="17"/>
  <c r="J57" i="17"/>
  <c r="H58" i="17"/>
  <c r="H59" i="17"/>
  <c r="H60" i="17"/>
  <c r="H57" i="17"/>
  <c r="H54" i="18"/>
  <c r="G24" i="19" l="1"/>
  <c r="H24" i="19"/>
  <c r="I24" i="19"/>
  <c r="J24" i="19"/>
  <c r="K24" i="19"/>
  <c r="L24" i="19"/>
  <c r="M24" i="19"/>
  <c r="N24" i="19"/>
  <c r="O24" i="19"/>
  <c r="F24" i="19"/>
  <c r="E34" i="19"/>
  <c r="F25" i="19"/>
  <c r="G25" i="19" s="1"/>
  <c r="G31" i="19" s="1"/>
  <c r="E32" i="19"/>
  <c r="F23" i="19"/>
  <c r="D60" i="17"/>
  <c r="D59" i="17"/>
  <c r="D38" i="17"/>
  <c r="E38" i="17" s="1"/>
  <c r="G26" i="14"/>
  <c r="G32" i="14" s="1"/>
  <c r="F26" i="14"/>
  <c r="H26" i="14" s="1"/>
  <c r="H28" i="14" s="1"/>
  <c r="H30" i="14" s="1"/>
  <c r="G25" i="14"/>
  <c r="H25" i="14"/>
  <c r="I25" i="14"/>
  <c r="J25" i="14"/>
  <c r="K25" i="14"/>
  <c r="L25" i="14"/>
  <c r="M25" i="14"/>
  <c r="N25" i="14"/>
  <c r="O25" i="14"/>
  <c r="F25" i="14"/>
  <c r="F24" i="14"/>
  <c r="E35" i="14"/>
  <c r="E33" i="14"/>
  <c r="G57" i="17"/>
  <c r="K57" i="17" s="1"/>
  <c r="F59" i="17"/>
  <c r="G59" i="17" s="1"/>
  <c r="K59" i="17" s="1"/>
  <c r="F57" i="17"/>
  <c r="E59" i="17"/>
  <c r="I59" i="17" s="1"/>
  <c r="E57" i="17"/>
  <c r="I57" i="17" s="1"/>
  <c r="E60" i="17"/>
  <c r="I60" i="17" s="1"/>
  <c r="D58" i="17"/>
  <c r="F58" i="17" s="1"/>
  <c r="G58" i="17" s="1"/>
  <c r="D40" i="17"/>
  <c r="D41" i="17" s="1"/>
  <c r="E39" i="17"/>
  <c r="D37" i="17"/>
  <c r="D72" i="7"/>
  <c r="D82" i="7" s="1"/>
  <c r="D39" i="7"/>
  <c r="D80" i="7"/>
  <c r="E70" i="7"/>
  <c r="E72" i="7" s="1"/>
  <c r="F26" i="15"/>
  <c r="G26" i="10"/>
  <c r="H26" i="10" s="1"/>
  <c r="L25" i="15"/>
  <c r="J25" i="10"/>
  <c r="K25" i="10"/>
  <c r="L25" i="10"/>
  <c r="M25" i="10"/>
  <c r="N25" i="10"/>
  <c r="O25" i="10"/>
  <c r="H25" i="10"/>
  <c r="I25" i="10"/>
  <c r="G25" i="10"/>
  <c r="H25" i="15"/>
  <c r="F25" i="10"/>
  <c r="F25" i="15"/>
  <c r="K25" i="15"/>
  <c r="I25" i="15"/>
  <c r="J25" i="15"/>
  <c r="M25" i="15"/>
  <c r="N25" i="15"/>
  <c r="O25" i="15"/>
  <c r="G25" i="15"/>
  <c r="F24" i="10"/>
  <c r="F24" i="15"/>
  <c r="E46" i="11"/>
  <c r="E37" i="7"/>
  <c r="E39" i="7" s="1"/>
  <c r="D27" i="11"/>
  <c r="D28" i="11" s="1"/>
  <c r="D29" i="11" s="1"/>
  <c r="D30" i="11" s="1"/>
  <c r="D31" i="11" s="1"/>
  <c r="D32" i="11" s="1"/>
  <c r="D33" i="11" s="1"/>
  <c r="D34" i="11" s="1"/>
  <c r="D47" i="11"/>
  <c r="F47" i="11" s="1"/>
  <c r="G47" i="11" s="1"/>
  <c r="H47" i="11" s="1"/>
  <c r="E37" i="17"/>
  <c r="E36" i="17"/>
  <c r="F36" i="17" s="1"/>
  <c r="J55" i="18"/>
  <c r="K55" i="18" s="1"/>
  <c r="J54" i="18"/>
  <c r="H55" i="18"/>
  <c r="I55" i="18"/>
  <c r="I54" i="18"/>
  <c r="G55" i="18"/>
  <c r="G54" i="18"/>
  <c r="F55" i="18"/>
  <c r="F54" i="18"/>
  <c r="E55" i="18"/>
  <c r="E54" i="18"/>
  <c r="D56" i="18"/>
  <c r="D57" i="18" s="1"/>
  <c r="D58" i="18" s="1"/>
  <c r="D55" i="18"/>
  <c r="E34" i="18"/>
  <c r="F34" i="18" s="1"/>
  <c r="D35" i="18"/>
  <c r="E35" i="18" s="1"/>
  <c r="F35" i="18" s="1"/>
  <c r="J46" i="11"/>
  <c r="H46" i="11"/>
  <c r="I46" i="11"/>
  <c r="G46" i="11"/>
  <c r="F46" i="11"/>
  <c r="D46" i="11"/>
  <c r="F32" i="15"/>
  <c r="E35" i="15"/>
  <c r="D50" i="7"/>
  <c r="F32" i="10"/>
  <c r="E35" i="10"/>
  <c r="E30" i="12"/>
  <c r="E11" i="12"/>
  <c r="E13" i="12"/>
  <c r="E74" i="12"/>
  <c r="E70" i="12"/>
  <c r="E64" i="12"/>
  <c r="G32" i="10" l="1"/>
  <c r="D81" i="7"/>
  <c r="E81" i="7" s="1"/>
  <c r="E82" i="7"/>
  <c r="F70" i="7"/>
  <c r="E80" i="7"/>
  <c r="J26" i="14"/>
  <c r="I26" i="14"/>
  <c r="F32" i="14"/>
  <c r="G26" i="15"/>
  <c r="G32" i="15" s="1"/>
  <c r="H26" i="15"/>
  <c r="H32" i="15" s="1"/>
  <c r="D42" i="17"/>
  <c r="E42" i="17" s="1"/>
  <c r="F42" i="17" s="1"/>
  <c r="H25" i="19"/>
  <c r="H31" i="19" s="1"/>
  <c r="F31" i="19"/>
  <c r="I25" i="19"/>
  <c r="F21" i="14"/>
  <c r="C55" i="19" s="1"/>
  <c r="F20" i="19" s="1"/>
  <c r="F27" i="19" s="1"/>
  <c r="F28" i="19" s="1"/>
  <c r="F56" i="18"/>
  <c r="G56" i="18" s="1"/>
  <c r="H56" i="18" s="1"/>
  <c r="D59" i="18"/>
  <c r="F58" i="18"/>
  <c r="G58" i="18" s="1"/>
  <c r="H58" i="18" s="1"/>
  <c r="E56" i="18"/>
  <c r="I56" i="18" s="1"/>
  <c r="J56" i="18" s="1"/>
  <c r="D48" i="11"/>
  <c r="E47" i="11"/>
  <c r="I47" i="11" s="1"/>
  <c r="J47" i="11" s="1"/>
  <c r="K47" i="11" s="1"/>
  <c r="F28" i="14"/>
  <c r="F30" i="14" s="1"/>
  <c r="F35" i="14" s="1"/>
  <c r="E58" i="17"/>
  <c r="I58" i="17" s="1"/>
  <c r="K58" i="17" s="1"/>
  <c r="F60" i="17"/>
  <c r="G60" i="17" s="1"/>
  <c r="K60" i="17" s="1"/>
  <c r="L26" i="14"/>
  <c r="K26" i="14"/>
  <c r="J32" i="14"/>
  <c r="H32" i="14"/>
  <c r="H35" i="14" s="1"/>
  <c r="G28" i="14"/>
  <c r="G30" i="14" s="1"/>
  <c r="G35" i="14" s="1"/>
  <c r="E40" i="17"/>
  <c r="F40" i="17" s="1"/>
  <c r="I26" i="10"/>
  <c r="K54" i="18"/>
  <c r="F21" i="15" s="1"/>
  <c r="C54" i="19" s="1"/>
  <c r="K46" i="11"/>
  <c r="C63" i="11" s="1"/>
  <c r="E26" i="11"/>
  <c r="F26" i="11" s="1"/>
  <c r="D51" i="7"/>
  <c r="D52" i="7"/>
  <c r="E52" i="7" s="1"/>
  <c r="E50" i="7"/>
  <c r="E51" i="7"/>
  <c r="E41" i="17"/>
  <c r="F41" i="17" s="1"/>
  <c r="E58" i="18"/>
  <c r="I58" i="18" s="1"/>
  <c r="J58" i="18" s="1"/>
  <c r="F57" i="18"/>
  <c r="G57" i="18" s="1"/>
  <c r="H57" i="18" s="1"/>
  <c r="E57" i="18"/>
  <c r="I57" i="18" s="1"/>
  <c r="J57" i="18" s="1"/>
  <c r="D36" i="18"/>
  <c r="D37" i="18" s="1"/>
  <c r="D38" i="18" s="1"/>
  <c r="F21" i="10"/>
  <c r="C53" i="19" s="1"/>
  <c r="E34" i="11"/>
  <c r="F34" i="11" s="1"/>
  <c r="E30" i="11"/>
  <c r="F30" i="11" s="1"/>
  <c r="E33" i="11"/>
  <c r="F33" i="11" s="1"/>
  <c r="E32" i="11"/>
  <c r="E28" i="11"/>
  <c r="F28" i="11" s="1"/>
  <c r="E29" i="11"/>
  <c r="F29" i="11" s="1"/>
  <c r="E31" i="11"/>
  <c r="F31" i="11" s="1"/>
  <c r="E27" i="11"/>
  <c r="F27" i="11" s="1"/>
  <c r="G28" i="15"/>
  <c r="F37" i="7"/>
  <c r="G37" i="7" s="1"/>
  <c r="H37" i="7" s="1"/>
  <c r="I37" i="7" s="1"/>
  <c r="J37" i="7" s="1"/>
  <c r="K37" i="7" s="1"/>
  <c r="L37" i="7" s="1"/>
  <c r="M8" i="7"/>
  <c r="E8" i="7"/>
  <c r="F8" i="7"/>
  <c r="G8" i="7"/>
  <c r="H8" i="7"/>
  <c r="I8" i="7"/>
  <c r="J8" i="7"/>
  <c r="K8" i="7"/>
  <c r="L8" i="7"/>
  <c r="D8" i="7"/>
  <c r="D19" i="7" s="1"/>
  <c r="G29" i="15" l="1"/>
  <c r="G30" i="15" s="1"/>
  <c r="G35" i="15" s="1"/>
  <c r="E11" i="21" s="1"/>
  <c r="L39" i="7"/>
  <c r="F80" i="7"/>
  <c r="G70" i="7"/>
  <c r="F72" i="7"/>
  <c r="I28" i="14"/>
  <c r="I30" i="14" s="1"/>
  <c r="I32" i="14"/>
  <c r="I26" i="15"/>
  <c r="D43" i="17"/>
  <c r="D44" i="17" s="1"/>
  <c r="D45" i="17" s="1"/>
  <c r="C64" i="11"/>
  <c r="G21" i="10" s="1"/>
  <c r="J25" i="19"/>
  <c r="J31" i="19" s="1"/>
  <c r="I31" i="19"/>
  <c r="F28" i="15"/>
  <c r="F28" i="10"/>
  <c r="K56" i="18"/>
  <c r="K58" i="18"/>
  <c r="D60" i="18"/>
  <c r="F59" i="18"/>
  <c r="G59" i="18" s="1"/>
  <c r="H59" i="18" s="1"/>
  <c r="E59" i="18"/>
  <c r="I59" i="18" s="1"/>
  <c r="J59" i="18" s="1"/>
  <c r="D49" i="11"/>
  <c r="E48" i="11"/>
  <c r="I48" i="11" s="1"/>
  <c r="J48" i="11" s="1"/>
  <c r="F48" i="11"/>
  <c r="G48" i="11" s="1"/>
  <c r="H48" i="11" s="1"/>
  <c r="E36" i="18"/>
  <c r="F36" i="18" s="1"/>
  <c r="F32" i="11"/>
  <c r="C41" i="14"/>
  <c r="F29" i="19"/>
  <c r="F34" i="19" s="1"/>
  <c r="D62" i="17"/>
  <c r="E61" i="17"/>
  <c r="I61" i="17" s="1"/>
  <c r="J61" i="17" s="1"/>
  <c r="F61" i="17"/>
  <c r="G61" i="17" s="1"/>
  <c r="H61" i="17" s="1"/>
  <c r="L32" i="14"/>
  <c r="K32" i="14"/>
  <c r="M26" i="14"/>
  <c r="H32" i="10"/>
  <c r="K57" i="18"/>
  <c r="H39" i="7"/>
  <c r="F39" i="7"/>
  <c r="F51" i="7" s="1"/>
  <c r="E37" i="18"/>
  <c r="F37" i="18" s="1"/>
  <c r="D39" i="18"/>
  <c r="E38" i="18"/>
  <c r="F38" i="18" s="1"/>
  <c r="F30" i="15"/>
  <c r="F35" i="15" s="1"/>
  <c r="J39" i="7"/>
  <c r="I39" i="7"/>
  <c r="G39" i="7"/>
  <c r="K39" i="7"/>
  <c r="D21" i="7"/>
  <c r="E21" i="7" s="1"/>
  <c r="F21" i="7" s="1"/>
  <c r="G21" i="7" s="1"/>
  <c r="H21" i="7" s="1"/>
  <c r="I21" i="7" s="1"/>
  <c r="J21" i="7" s="1"/>
  <c r="K21" i="7" s="1"/>
  <c r="L21" i="7" s="1"/>
  <c r="M21" i="7" s="1"/>
  <c r="E19" i="7"/>
  <c r="F19" i="7" s="1"/>
  <c r="G19" i="7" s="1"/>
  <c r="H19" i="7" s="1"/>
  <c r="I19" i="7" s="1"/>
  <c r="J19" i="7" s="1"/>
  <c r="K19" i="7" s="1"/>
  <c r="L19" i="7" s="1"/>
  <c r="M19" i="7" s="1"/>
  <c r="D20" i="7"/>
  <c r="E20" i="7" s="1"/>
  <c r="F20" i="7" s="1"/>
  <c r="G20" i="7" s="1"/>
  <c r="H20" i="7" s="1"/>
  <c r="I20" i="7" s="1"/>
  <c r="J20" i="7" s="1"/>
  <c r="K20" i="7" s="1"/>
  <c r="L20" i="7" s="1"/>
  <c r="M20" i="7" s="1"/>
  <c r="C70" i="6"/>
  <c r="C93" i="6"/>
  <c r="E70" i="6"/>
  <c r="D70" i="6"/>
  <c r="E22" i="6"/>
  <c r="C22" i="6"/>
  <c r="D22" i="6"/>
  <c r="E47" i="6"/>
  <c r="D47" i="6"/>
  <c r="C47" i="6"/>
  <c r="N21" i="6"/>
  <c r="L21" i="6"/>
  <c r="J21" i="6"/>
  <c r="N10" i="6"/>
  <c r="L10" i="6"/>
  <c r="J10" i="6"/>
  <c r="E31" i="21" l="1"/>
  <c r="E57" i="21"/>
  <c r="F57" i="21" s="1"/>
  <c r="E35" i="21"/>
  <c r="F29" i="10"/>
  <c r="F30" i="10" s="1"/>
  <c r="F35" i="10" s="1"/>
  <c r="D7" i="21" s="1"/>
  <c r="C73" i="18"/>
  <c r="I21" i="15" s="1"/>
  <c r="F54" i="19" s="1"/>
  <c r="H70" i="7"/>
  <c r="G72" i="7"/>
  <c r="G80" i="7" s="1"/>
  <c r="F81" i="7"/>
  <c r="F82" i="7"/>
  <c r="G82" i="7" s="1"/>
  <c r="I35" i="14"/>
  <c r="J26" i="15"/>
  <c r="K26" i="15" s="1"/>
  <c r="K32" i="15" s="1"/>
  <c r="I32" i="15"/>
  <c r="C72" i="18"/>
  <c r="H21" i="15" s="1"/>
  <c r="E54" i="19" s="1"/>
  <c r="E43" i="17"/>
  <c r="F43" i="17" s="1"/>
  <c r="C74" i="18"/>
  <c r="J21" i="15" s="1"/>
  <c r="G54" i="19" s="1"/>
  <c r="K25" i="19"/>
  <c r="K31" i="19" s="1"/>
  <c r="D53" i="19"/>
  <c r="G20" i="19" s="1"/>
  <c r="G27" i="19" s="1"/>
  <c r="G28" i="19" s="1"/>
  <c r="G29" i="19" s="1"/>
  <c r="G34" i="19" s="1"/>
  <c r="G28" i="10"/>
  <c r="K48" i="11"/>
  <c r="K59" i="18"/>
  <c r="D61" i="18"/>
  <c r="E60" i="18"/>
  <c r="I60" i="18" s="1"/>
  <c r="J60" i="18" s="1"/>
  <c r="F60" i="18"/>
  <c r="G60" i="18" s="1"/>
  <c r="H60" i="18" s="1"/>
  <c r="D50" i="11"/>
  <c r="F49" i="11"/>
  <c r="G49" i="11" s="1"/>
  <c r="H49" i="11" s="1"/>
  <c r="E49" i="11"/>
  <c r="I49" i="11" s="1"/>
  <c r="J49" i="11" s="1"/>
  <c r="K61" i="17"/>
  <c r="D63" i="17"/>
  <c r="E62" i="17"/>
  <c r="I62" i="17" s="1"/>
  <c r="J62" i="17" s="1"/>
  <c r="F62" i="17"/>
  <c r="G62" i="17" s="1"/>
  <c r="H62" i="17" s="1"/>
  <c r="O26" i="14"/>
  <c r="N26" i="14"/>
  <c r="M32" i="14"/>
  <c r="F52" i="7"/>
  <c r="F50" i="7"/>
  <c r="G50" i="7" s="1"/>
  <c r="H50" i="7" s="1"/>
  <c r="I50" i="7" s="1"/>
  <c r="J50" i="7" s="1"/>
  <c r="K50" i="7" s="1"/>
  <c r="L50" i="7" s="1"/>
  <c r="G51" i="7"/>
  <c r="H51" i="7" s="1"/>
  <c r="I51" i="7" s="1"/>
  <c r="J51" i="7" s="1"/>
  <c r="K51" i="7" s="1"/>
  <c r="L51" i="7" s="1"/>
  <c r="E44" i="17"/>
  <c r="F44" i="17" s="1"/>
  <c r="D40" i="18"/>
  <c r="E39" i="18"/>
  <c r="F39" i="18" s="1"/>
  <c r="C40" i="15"/>
  <c r="C41" i="6"/>
  <c r="C64" i="6"/>
  <c r="D64" i="6"/>
  <c r="C87" i="6"/>
  <c r="C48" i="6"/>
  <c r="C40" i="6"/>
  <c r="E94" i="6"/>
  <c r="D94" i="6"/>
  <c r="C94" i="6"/>
  <c r="D71" i="6"/>
  <c r="E71" i="6"/>
  <c r="C71" i="6"/>
  <c r="D48" i="6"/>
  <c r="E48" i="6"/>
  <c r="E23" i="6"/>
  <c r="D23" i="6"/>
  <c r="C23" i="6"/>
  <c r="C16" i="6"/>
  <c r="C15" i="6"/>
  <c r="C86" i="6"/>
  <c r="C63" i="6"/>
  <c r="D87" i="6"/>
  <c r="E87" i="6"/>
  <c r="D63" i="6"/>
  <c r="E64" i="6"/>
  <c r="E41" i="6"/>
  <c r="D41" i="6"/>
  <c r="D16" i="6"/>
  <c r="E16" i="6"/>
  <c r="F71" i="21" l="1"/>
  <c r="C39" i="19"/>
  <c r="F39" i="19"/>
  <c r="G52" i="7"/>
  <c r="H52" i="7" s="1"/>
  <c r="I52" i="7" s="1"/>
  <c r="J52" i="7" s="1"/>
  <c r="K52" i="7" s="1"/>
  <c r="L52" i="7" s="1"/>
  <c r="H82" i="7"/>
  <c r="G81" i="7"/>
  <c r="I70" i="7"/>
  <c r="H72" i="7"/>
  <c r="H80" i="7" s="1"/>
  <c r="G29" i="10"/>
  <c r="G30" i="10" s="1"/>
  <c r="G35" i="10" s="1"/>
  <c r="J32" i="15"/>
  <c r="L26" i="15"/>
  <c r="L32" i="15" s="1"/>
  <c r="C77" i="17"/>
  <c r="J21" i="14" s="1"/>
  <c r="C65" i="11"/>
  <c r="H21" i="10" s="1"/>
  <c r="C75" i="18"/>
  <c r="K21" i="15" s="1"/>
  <c r="H28" i="15"/>
  <c r="L25" i="19"/>
  <c r="I28" i="15"/>
  <c r="I29" i="15" s="1"/>
  <c r="J28" i="15"/>
  <c r="K49" i="11"/>
  <c r="D62" i="18"/>
  <c r="E61" i="18"/>
  <c r="I61" i="18" s="1"/>
  <c r="J61" i="18" s="1"/>
  <c r="F61" i="18"/>
  <c r="G61" i="18" s="1"/>
  <c r="H61" i="18" s="1"/>
  <c r="K60" i="18"/>
  <c r="F50" i="11"/>
  <c r="G50" i="11" s="1"/>
  <c r="H50" i="11" s="1"/>
  <c r="E50" i="11"/>
  <c r="I50" i="11" s="1"/>
  <c r="J50" i="11" s="1"/>
  <c r="D51" i="11"/>
  <c r="K62" i="17"/>
  <c r="D64" i="17"/>
  <c r="F63" i="17"/>
  <c r="G63" i="17" s="1"/>
  <c r="H63" i="17" s="1"/>
  <c r="E63" i="17"/>
  <c r="I63" i="17" s="1"/>
  <c r="J63" i="17" s="1"/>
  <c r="N32" i="14"/>
  <c r="O32" i="14"/>
  <c r="E45" i="17"/>
  <c r="F45" i="17" s="1"/>
  <c r="D41" i="18"/>
  <c r="E40" i="18"/>
  <c r="F40" i="18" s="1"/>
  <c r="E86" i="6"/>
  <c r="D86" i="6"/>
  <c r="E63" i="6"/>
  <c r="E40" i="6"/>
  <c r="D93" i="6"/>
  <c r="E93" i="6"/>
  <c r="D40" i="6"/>
  <c r="D15" i="6"/>
  <c r="E15" i="6"/>
  <c r="E7" i="21" l="1"/>
  <c r="J70" i="7"/>
  <c r="I72" i="7"/>
  <c r="I80" i="7" s="1"/>
  <c r="H81" i="7"/>
  <c r="H42" i="10"/>
  <c r="G55" i="19"/>
  <c r="J28" i="14"/>
  <c r="J29" i="14" s="1"/>
  <c r="J30" i="14" s="1"/>
  <c r="J35" i="14" s="1"/>
  <c r="C40" i="10"/>
  <c r="H29" i="15"/>
  <c r="H30" i="15" s="1"/>
  <c r="H35" i="15" s="1"/>
  <c r="J29" i="15"/>
  <c r="J30" i="15" s="1"/>
  <c r="J35" i="15" s="1"/>
  <c r="M26" i="15"/>
  <c r="K28" i="15"/>
  <c r="H54" i="19"/>
  <c r="H28" i="10"/>
  <c r="E53" i="19"/>
  <c r="H20" i="19" s="1"/>
  <c r="H27" i="19" s="1"/>
  <c r="H28" i="19" s="1"/>
  <c r="H29" i="19" s="1"/>
  <c r="H34" i="19" s="1"/>
  <c r="C78" i="17"/>
  <c r="K21" i="14" s="1"/>
  <c r="C76" i="18"/>
  <c r="L21" i="15" s="1"/>
  <c r="L28" i="15" s="1"/>
  <c r="C66" i="11"/>
  <c r="I21" i="10" s="1"/>
  <c r="M25" i="19"/>
  <c r="M31" i="19" s="1"/>
  <c r="L31" i="19"/>
  <c r="I30" i="15"/>
  <c r="I35" i="15" s="1"/>
  <c r="K61" i="18"/>
  <c r="D63" i="18"/>
  <c r="F62" i="18"/>
  <c r="G62" i="18" s="1"/>
  <c r="H62" i="18" s="1"/>
  <c r="E62" i="18"/>
  <c r="I62" i="18" s="1"/>
  <c r="J62" i="18" s="1"/>
  <c r="D52" i="11"/>
  <c r="F51" i="11"/>
  <c r="G51" i="11" s="1"/>
  <c r="H51" i="11" s="1"/>
  <c r="E51" i="11"/>
  <c r="I51" i="11" s="1"/>
  <c r="J51" i="11" s="1"/>
  <c r="K50" i="11"/>
  <c r="K63" i="17"/>
  <c r="D65" i="17"/>
  <c r="E64" i="17"/>
  <c r="I64" i="17" s="1"/>
  <c r="J64" i="17" s="1"/>
  <c r="F64" i="17"/>
  <c r="G64" i="17" s="1"/>
  <c r="D42" i="18"/>
  <c r="E41" i="18"/>
  <c r="F41" i="18" s="1"/>
  <c r="F11" i="21" l="1"/>
  <c r="I82" i="7"/>
  <c r="K70" i="7"/>
  <c r="J72" i="7"/>
  <c r="J80" i="7" s="1"/>
  <c r="J82" i="7"/>
  <c r="I81" i="7"/>
  <c r="H42" i="15"/>
  <c r="L29" i="15"/>
  <c r="L30" i="15" s="1"/>
  <c r="L35" i="15" s="1"/>
  <c r="C42" i="14"/>
  <c r="H29" i="10"/>
  <c r="H30" i="10" s="1"/>
  <c r="H35" i="10" s="1"/>
  <c r="K29" i="15"/>
  <c r="K30" i="15" s="1"/>
  <c r="K35" i="15" s="1"/>
  <c r="O26" i="15"/>
  <c r="O32" i="15" s="1"/>
  <c r="M32" i="15"/>
  <c r="N26" i="15"/>
  <c r="N32" i="15" s="1"/>
  <c r="H55" i="19"/>
  <c r="K28" i="14"/>
  <c r="F53" i="19"/>
  <c r="I20" i="19" s="1"/>
  <c r="I27" i="19" s="1"/>
  <c r="I28" i="19" s="1"/>
  <c r="I29" i="19" s="1"/>
  <c r="I34" i="19" s="1"/>
  <c r="C77" i="18"/>
  <c r="M21" i="15" s="1"/>
  <c r="C79" i="17"/>
  <c r="L21" i="14" s="1"/>
  <c r="C67" i="11"/>
  <c r="J21" i="10" s="1"/>
  <c r="I54" i="19"/>
  <c r="N25" i="19"/>
  <c r="K62" i="18"/>
  <c r="C41" i="15"/>
  <c r="E63" i="18"/>
  <c r="I63" i="18" s="1"/>
  <c r="J63" i="18" s="1"/>
  <c r="F63" i="18"/>
  <c r="G63" i="18" s="1"/>
  <c r="H63" i="18" s="1"/>
  <c r="K51" i="11"/>
  <c r="D53" i="11"/>
  <c r="E52" i="11"/>
  <c r="I52" i="11" s="1"/>
  <c r="J52" i="11" s="1"/>
  <c r="F52" i="11"/>
  <c r="G52" i="11" s="1"/>
  <c r="H52" i="11" s="1"/>
  <c r="H64" i="17"/>
  <c r="K64" i="17" s="1"/>
  <c r="D66" i="17"/>
  <c r="F65" i="17"/>
  <c r="G65" i="17" s="1"/>
  <c r="H65" i="17" s="1"/>
  <c r="E65" i="17"/>
  <c r="I65" i="17" s="1"/>
  <c r="J65" i="17" s="1"/>
  <c r="E42" i="18"/>
  <c r="F42" i="18" s="1"/>
  <c r="H57" i="21" l="1"/>
  <c r="I57" i="21" s="1"/>
  <c r="H71" i="21" s="1"/>
  <c r="F31" i="21"/>
  <c r="F35" i="21"/>
  <c r="F7" i="21"/>
  <c r="L70" i="7"/>
  <c r="K72" i="7"/>
  <c r="K80" i="7" s="1"/>
  <c r="K82" i="7"/>
  <c r="J81" i="7"/>
  <c r="K29" i="14"/>
  <c r="K30" i="14" s="1"/>
  <c r="K35" i="14" s="1"/>
  <c r="G53" i="19"/>
  <c r="J20" i="19" s="1"/>
  <c r="J27" i="19" s="1"/>
  <c r="J28" i="19" s="1"/>
  <c r="J29" i="19" s="1"/>
  <c r="J34" i="19" s="1"/>
  <c r="C40" i="19" s="1"/>
  <c r="I55" i="19"/>
  <c r="L28" i="14"/>
  <c r="M28" i="15"/>
  <c r="J54" i="19"/>
  <c r="C78" i="18"/>
  <c r="N21" i="15" s="1"/>
  <c r="C80" i="17"/>
  <c r="M21" i="14" s="1"/>
  <c r="C68" i="11"/>
  <c r="K21" i="10" s="1"/>
  <c r="H53" i="19" s="1"/>
  <c r="K20" i="19" s="1"/>
  <c r="K27" i="19" s="1"/>
  <c r="K28" i="19" s="1"/>
  <c r="K29" i="19" s="1"/>
  <c r="K34" i="19" s="1"/>
  <c r="O25" i="19"/>
  <c r="N31" i="19"/>
  <c r="K52" i="11"/>
  <c r="K63" i="18"/>
  <c r="D54" i="11"/>
  <c r="E53" i="11"/>
  <c r="I53" i="11" s="1"/>
  <c r="J53" i="11" s="1"/>
  <c r="F53" i="11"/>
  <c r="G53" i="11" s="1"/>
  <c r="H53" i="11" s="1"/>
  <c r="K65" i="17"/>
  <c r="E66" i="17"/>
  <c r="I66" i="17" s="1"/>
  <c r="J66" i="17" s="1"/>
  <c r="F66" i="17"/>
  <c r="G66" i="17" s="1"/>
  <c r="Q31" i="21" l="1"/>
  <c r="P31" i="21"/>
  <c r="E47" i="21"/>
  <c r="F47" i="21" s="1"/>
  <c r="I47" i="21"/>
  <c r="H69" i="21" s="1"/>
  <c r="H73" i="21" s="1"/>
  <c r="H43" i="14"/>
  <c r="F40" i="19"/>
  <c r="L72" i="7"/>
  <c r="L80" i="7" s="1"/>
  <c r="L82" i="7"/>
  <c r="K81" i="7"/>
  <c r="L29" i="14"/>
  <c r="L30" i="14" s="1"/>
  <c r="L35" i="14" s="1"/>
  <c r="M29" i="15"/>
  <c r="M30" i="15" s="1"/>
  <c r="M35" i="15" s="1"/>
  <c r="N28" i="15"/>
  <c r="K54" i="19"/>
  <c r="M28" i="14"/>
  <c r="J55" i="19"/>
  <c r="C81" i="17"/>
  <c r="N21" i="14" s="1"/>
  <c r="N28" i="14" s="1"/>
  <c r="C79" i="18"/>
  <c r="O21" i="15" s="1"/>
  <c r="C69" i="11"/>
  <c r="L21" i="10" s="1"/>
  <c r="O31" i="19"/>
  <c r="K53" i="11"/>
  <c r="D55" i="11"/>
  <c r="F54" i="11"/>
  <c r="G54" i="11" s="1"/>
  <c r="H54" i="11" s="1"/>
  <c r="E54" i="11"/>
  <c r="I54" i="11" s="1"/>
  <c r="J54" i="11" s="1"/>
  <c r="H66" i="17"/>
  <c r="K66" i="17" s="1"/>
  <c r="F69" i="21" l="1"/>
  <c r="F73" i="21"/>
  <c r="I53" i="19"/>
  <c r="L20" i="19" s="1"/>
  <c r="L27" i="19" s="1"/>
  <c r="L28" i="19" s="1"/>
  <c r="L29" i="19" s="1"/>
  <c r="L34" i="19" s="1"/>
  <c r="L81" i="7"/>
  <c r="M29" i="14"/>
  <c r="M30" i="14" s="1"/>
  <c r="M35" i="14" s="1"/>
  <c r="N29" i="14"/>
  <c r="N30" i="14" s="1"/>
  <c r="N35" i="14" s="1"/>
  <c r="N29" i="15"/>
  <c r="N30" i="15" s="1"/>
  <c r="N35" i="15" s="1"/>
  <c r="K55" i="19"/>
  <c r="O28" i="15"/>
  <c r="L54" i="19"/>
  <c r="C82" i="17"/>
  <c r="O21" i="14" s="1"/>
  <c r="C70" i="11"/>
  <c r="M21" i="10" s="1"/>
  <c r="K54" i="11"/>
  <c r="F55" i="11"/>
  <c r="G55" i="11" s="1"/>
  <c r="H55" i="11" s="1"/>
  <c r="E55" i="11"/>
  <c r="I55" i="11" s="1"/>
  <c r="J55" i="11" s="1"/>
  <c r="J53" i="19" l="1"/>
  <c r="M20" i="19" s="1"/>
  <c r="M27" i="19" s="1"/>
  <c r="M28" i="19" s="1"/>
  <c r="M29" i="19" s="1"/>
  <c r="M34" i="19" s="1"/>
  <c r="O29" i="15"/>
  <c r="O30" i="15" s="1"/>
  <c r="O35" i="15" s="1"/>
  <c r="C42" i="15" s="1"/>
  <c r="O28" i="14"/>
  <c r="L55" i="19"/>
  <c r="M54" i="19"/>
  <c r="C71" i="11"/>
  <c r="N21" i="10" s="1"/>
  <c r="K55" i="11"/>
  <c r="J26" i="10"/>
  <c r="J32" i="10" s="1"/>
  <c r="I28" i="10"/>
  <c r="I29" i="10" s="1"/>
  <c r="I32" i="10"/>
  <c r="K53" i="19" l="1"/>
  <c r="N20" i="19" s="1"/>
  <c r="N27" i="19" s="1"/>
  <c r="N28" i="19" s="1"/>
  <c r="N29" i="19" s="1"/>
  <c r="N34" i="19" s="1"/>
  <c r="O29" i="14"/>
  <c r="O30" i="14" s="1"/>
  <c r="O35" i="14" s="1"/>
  <c r="C43" i="14" s="1"/>
  <c r="M55" i="19"/>
  <c r="C72" i="11"/>
  <c r="O21" i="10" s="1"/>
  <c r="J28" i="10"/>
  <c r="K26" i="10"/>
  <c r="K28" i="10" s="1"/>
  <c r="K29" i="10" s="1"/>
  <c r="K32" i="10"/>
  <c r="I30" i="10"/>
  <c r="I35" i="10" s="1"/>
  <c r="G7" i="21" s="1"/>
  <c r="L53" i="19" l="1"/>
  <c r="O20" i="19" s="1"/>
  <c r="O27" i="19" s="1"/>
  <c r="O28" i="19" s="1"/>
  <c r="O29" i="19" s="1"/>
  <c r="O34" i="19" s="1"/>
  <c r="C41" i="19" s="1"/>
  <c r="J29" i="10"/>
  <c r="J30" i="10" s="1"/>
  <c r="J35" i="10" s="1"/>
  <c r="H7" i="21" s="1"/>
  <c r="M53" i="19"/>
  <c r="L26" i="10"/>
  <c r="L28" i="10" s="1"/>
  <c r="M26" i="10"/>
  <c r="K30" i="10"/>
  <c r="K35" i="10" s="1"/>
  <c r="I7" i="21" s="1"/>
  <c r="F41" i="19" l="1"/>
  <c r="C41" i="10"/>
  <c r="L29" i="10"/>
  <c r="L30" i="10" s="1"/>
  <c r="L35" i="10" s="1"/>
  <c r="J7" i="21" s="1"/>
  <c r="L32" i="10"/>
  <c r="N26" i="10"/>
  <c r="O26" i="10" s="1"/>
  <c r="M28" i="10"/>
  <c r="M32" i="10"/>
  <c r="M29" i="10" l="1"/>
  <c r="M30" i="10" s="1"/>
  <c r="M35" i="10" s="1"/>
  <c r="K7" i="21" s="1"/>
  <c r="O32" i="10"/>
  <c r="O28" i="10"/>
  <c r="N32" i="10"/>
  <c r="N28" i="10"/>
  <c r="N29" i="10" l="1"/>
  <c r="N30" i="10" s="1"/>
  <c r="N35" i="10" s="1"/>
  <c r="L7" i="21" s="1"/>
  <c r="O29" i="10"/>
  <c r="O30" i="10" s="1"/>
  <c r="O35" i="10" s="1"/>
  <c r="M7" i="21" s="1"/>
  <c r="C42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tc={5E1FB467-B2E7-D24F-9907-A47E6A40C634}</author>
    <author>tc={3F2EE4F5-393C-1C49-9577-935382DF764B}</author>
    <author>tc={98C6B044-76CE-F84A-9E56-ADF4DD12FEE2}</author>
    <author>tc={7B8C27A0-3701-AD46-B134-716E44033D46}</author>
  </authors>
  <commentList>
    <comment ref="E6" authorId="0" shapeId="0" xr:uid="{5E1FB467-B2E7-D24F-9907-A47E6A40C634}">
      <text>
        <t xml:space="preserve">[Kommentartråd]
Din versjon av Excel lar deg lese denne kommentartråden. Eventuelle endringer i den vil imidlertid bli fjernet hvis filen åpnes i en nyere versjon av Excel. Finn ut mer: https://go.microsoft.com/fwlink/?linkid=870924
Kommentar:
    Bruker tall for IFO380
</t>
      </text>
    </comment>
    <comment ref="E31" authorId="1" shapeId="0" xr:uid="{3F2EE4F5-393C-1C49-9577-935382DF764B}">
      <text>
        <t xml:space="preserve">[Kommentartråd]
Din versjon av Excel lar deg lese denne kommentartråden. Eventuelle endringer i den vil imidlertid bli fjernet hvis filen åpnes i en nyere versjon av Excel. Finn ut mer: https://go.microsoft.com/fwlink/?linkid=870924
Kommentar:
    Bruker tall for IFO380
</t>
      </text>
    </comment>
    <comment ref="E54" authorId="2" shapeId="0" xr:uid="{98C6B044-76CE-F84A-9E56-ADF4DD12FEE2}">
      <text>
        <t xml:space="preserve">[Kommentartråd]
Din versjon av Excel lar deg lese denne kommentartråden. Eventuelle endringer i den vil imidlertid bli fjernet hvis filen åpnes i en nyere versjon av Excel. Finn ut mer: https://go.microsoft.com/fwlink/?linkid=870924
Kommentar:
    Bruker tall for IFO380
</t>
      </text>
    </comment>
    <comment ref="E77" authorId="3" shapeId="0" xr:uid="{7B8C27A0-3701-AD46-B134-716E44033D46}">
      <text>
        <t xml:space="preserve">[Kommentartråd]
Din versjon av Excel lar deg lese denne kommentartråden. Eventuelle endringer i den vil imidlertid bli fjernet hvis filen åpnes i en nyere versjon av Excel. Finn ut mer: https://go.microsoft.com/fwlink/?linkid=870924
Kommentar:
    Bruker tall for IFO380
</t>
      </text>
    </comment>
  </commentList>
</comments>
</file>

<file path=xl/sharedStrings.xml><?xml version="1.0" encoding="utf-8"?>
<sst xmlns="http://schemas.openxmlformats.org/spreadsheetml/2006/main" count="853" uniqueCount="456">
  <si>
    <t>Covid-19 kortsikt</t>
  </si>
  <si>
    <t>Investere</t>
  </si>
  <si>
    <t>Inflasjon</t>
  </si>
  <si>
    <t>Avkastningskrav</t>
  </si>
  <si>
    <t>Res e/skatt</t>
  </si>
  <si>
    <t>Investering</t>
  </si>
  <si>
    <t>KS</t>
  </si>
  <si>
    <t>Covid-19 langsikt</t>
  </si>
  <si>
    <t>MGO 0,1%</t>
  </si>
  <si>
    <t>Region</t>
  </si>
  <si>
    <t>Europa; Rotterdam</t>
  </si>
  <si>
    <t xml:space="preserve">Kilde: </t>
  </si>
  <si>
    <t>Asia; Singapore</t>
  </si>
  <si>
    <t>USA; Houston</t>
  </si>
  <si>
    <t>Middel East; Fujairah</t>
  </si>
  <si>
    <t>Standardavvik</t>
  </si>
  <si>
    <t>kilde:</t>
  </si>
  <si>
    <t>HSFO 3,5%</t>
  </si>
  <si>
    <t>$/mt</t>
  </si>
  <si>
    <t>Covid-19 slo inn for fullt 13. mars</t>
  </si>
  <si>
    <t>Rotterdam</t>
  </si>
  <si>
    <t>Singapore</t>
  </si>
  <si>
    <t>Houston</t>
  </si>
  <si>
    <t>Fujairah</t>
  </si>
  <si>
    <t>Gjennomsnitt priser i $/mt etter Covid-19</t>
  </si>
  <si>
    <t>Gjennomsnitt</t>
  </si>
  <si>
    <t>$/bbl</t>
  </si>
  <si>
    <t xml:space="preserve">Prediction fra  EIA: Long-Term Brent Crude Oil Price </t>
  </si>
  <si>
    <t>År</t>
  </si>
  <si>
    <t>Vekst</t>
  </si>
  <si>
    <t>dato</t>
  </si>
  <si>
    <t>Historisk Brent Oil prices BRT/SGD</t>
  </si>
  <si>
    <t>Historisk bunker prices $/mt</t>
  </si>
  <si>
    <t>SAMMENDRAG (UTDATA)</t>
  </si>
  <si>
    <t>Regresjonsstatistikk</t>
  </si>
  <si>
    <t>Multippel R</t>
  </si>
  <si>
    <t>R-kvadrat</t>
  </si>
  <si>
    <t>Justert R-kvadrat</t>
  </si>
  <si>
    <t>Standardfeil</t>
  </si>
  <si>
    <t>Observasjoner</t>
  </si>
  <si>
    <t>Variansanalyse</t>
  </si>
  <si>
    <t>Regresjon</t>
  </si>
  <si>
    <t>Residualer</t>
  </si>
  <si>
    <t>Totalt</t>
  </si>
  <si>
    <t>Skjæringspunkt</t>
  </si>
  <si>
    <t>fg</t>
  </si>
  <si>
    <t>SK</t>
  </si>
  <si>
    <t>GK</t>
  </si>
  <si>
    <t>F</t>
  </si>
  <si>
    <t>Signifkans-F</t>
  </si>
  <si>
    <t>Koeffisienter</t>
  </si>
  <si>
    <t>t-Stat</t>
  </si>
  <si>
    <t>P-verdi</t>
  </si>
  <si>
    <t>Nederste 95%</t>
  </si>
  <si>
    <t>Øverste 95%</t>
  </si>
  <si>
    <t>Nedre 95,0%</t>
  </si>
  <si>
    <t>Øverste 95,0%</t>
  </si>
  <si>
    <t>X-variabel 1</t>
  </si>
  <si>
    <t xml:space="preserve">Investering av Scrubber </t>
  </si>
  <si>
    <t>Uten Scrubber</t>
  </si>
  <si>
    <t>Investeringen skjer 1/1 2020</t>
  </si>
  <si>
    <t>Tapte inntekter ved DD</t>
  </si>
  <si>
    <t>Dager i Dry Dock (DD)</t>
  </si>
  <si>
    <t>Kostnader</t>
  </si>
  <si>
    <t>Andre driftskostnader</t>
  </si>
  <si>
    <t>Res f/skatt</t>
  </si>
  <si>
    <t>Avskrivninger</t>
  </si>
  <si>
    <t>Daglig forbruk mt</t>
  </si>
  <si>
    <t>Årlig HSFO 3,5% kostnad</t>
  </si>
  <si>
    <t>Movements Export</t>
  </si>
  <si>
    <t>9412581</t>
  </si>
  <si>
    <t>25 May 2020</t>
  </si>
  <si>
    <t>Location Name</t>
  </si>
  <si>
    <t>Country/Region Name</t>
  </si>
  <si>
    <t>First Seen</t>
  </si>
  <si>
    <t>Last Seen</t>
  </si>
  <si>
    <t>Fawley</t>
  </si>
  <si>
    <t>UK</t>
  </si>
  <si>
    <t>2018-01-01 23:40</t>
  </si>
  <si>
    <t>2018-01-03 16:44</t>
  </si>
  <si>
    <t>Las Palmas</t>
  </si>
  <si>
    <t>Spain</t>
  </si>
  <si>
    <t>2018-01-23 11:57</t>
  </si>
  <si>
    <t>2018-01-24 01:53</t>
  </si>
  <si>
    <t>Netherlands</t>
  </si>
  <si>
    <t>2018-02-16 02:53</t>
  </si>
  <si>
    <t>2018-02-16 19:54</t>
  </si>
  <si>
    <t>2018-02-18 21:59</t>
  </si>
  <si>
    <t>Tarragona</t>
  </si>
  <si>
    <t>2018-04-03 05:55</t>
  </si>
  <si>
    <t>2018-04-04 10:45</t>
  </si>
  <si>
    <t>2018-04-06 11:48</t>
  </si>
  <si>
    <t>Novorossiysk</t>
  </si>
  <si>
    <t>Russia</t>
  </si>
  <si>
    <t>2018-04-29 07:56</t>
  </si>
  <si>
    <t>2018-05-01 00:59</t>
  </si>
  <si>
    <t>Buyukdere</t>
  </si>
  <si>
    <t>Turkey</t>
  </si>
  <si>
    <t>2018-05-04 09:56</t>
  </si>
  <si>
    <t>Sines</t>
  </si>
  <si>
    <t>Portugal</t>
  </si>
  <si>
    <t>2018-05-17 16:59</t>
  </si>
  <si>
    <t>2018-05-19 08:53</t>
  </si>
  <si>
    <t>2018-05-22 15:59</t>
  </si>
  <si>
    <t>2018-05-23 08:58</t>
  </si>
  <si>
    <t>Trieste</t>
  </si>
  <si>
    <t>Italy</t>
  </si>
  <si>
    <t>2018-06-21 08:46</t>
  </si>
  <si>
    <t>2018-06-30 05:53</t>
  </si>
  <si>
    <t>2018-07-08 05:57</t>
  </si>
  <si>
    <t>Novorossiysk CPC</t>
  </si>
  <si>
    <t>2018-07-14 00:35</t>
  </si>
  <si>
    <t>2018-07-14 18:51</t>
  </si>
  <si>
    <t>Nipah</t>
  </si>
  <si>
    <t>Indonesia</t>
  </si>
  <si>
    <t>2018-08-06 23:56</t>
  </si>
  <si>
    <t>2018-08-07 02:52</t>
  </si>
  <si>
    <t>2018-08-07 12:58</t>
  </si>
  <si>
    <t>Kiire</t>
  </si>
  <si>
    <t>Japan</t>
  </si>
  <si>
    <t>2018-08-17 08:59</t>
  </si>
  <si>
    <t>2018-08-18 16:53</t>
  </si>
  <si>
    <t>2018-08-29 04:55</t>
  </si>
  <si>
    <t>2018-08-29 09:59</t>
  </si>
  <si>
    <t>United Arab Emirates</t>
  </si>
  <si>
    <t>2018-09-10 07:52</t>
  </si>
  <si>
    <t>2018-09-11 15:52</t>
  </si>
  <si>
    <t>Ras Tanura</t>
  </si>
  <si>
    <t>Saudi Arabia</t>
  </si>
  <si>
    <t>2018-09-12 21:58</t>
  </si>
  <si>
    <t>2018-09-14 16:57</t>
  </si>
  <si>
    <t>Zirku Island</t>
  </si>
  <si>
    <t>2018-09-15 15:52</t>
  </si>
  <si>
    <t>2018-09-16 06:49</t>
  </si>
  <si>
    <t>2018-10-06 08:41</t>
  </si>
  <si>
    <t>2018-10-07 09:54</t>
  </si>
  <si>
    <t>Al Basrah</t>
  </si>
  <si>
    <t>Iraq</t>
  </si>
  <si>
    <t>2018-10-23 19:54</t>
  </si>
  <si>
    <t>2018-10-24 10:37</t>
  </si>
  <si>
    <t>2018-10-27 20:56</t>
  </si>
  <si>
    <t>Suez</t>
  </si>
  <si>
    <t>Egypt</t>
  </si>
  <si>
    <t>2018-11-09 06:59</t>
  </si>
  <si>
    <t>Bilbao</t>
  </si>
  <si>
    <t>2018-11-19 04:53</t>
  </si>
  <si>
    <t>2018-11-22 14:59</t>
  </si>
  <si>
    <t>Bonny</t>
  </si>
  <si>
    <t>Nigeria</t>
  </si>
  <si>
    <t>2018-12-07 13:22</t>
  </si>
  <si>
    <t>2018-12-09 04:59</t>
  </si>
  <si>
    <t>2018-12-18 12:47</t>
  </si>
  <si>
    <t>2018-12-18 23:52</t>
  </si>
  <si>
    <t>2018-12-23 07:56</t>
  </si>
  <si>
    <t>2018-12-24 16:55</t>
  </si>
  <si>
    <t>Algeciras</t>
  </si>
  <si>
    <t>2019-01-04 10:54</t>
  </si>
  <si>
    <t>2019-01-05 18:48</t>
  </si>
  <si>
    <t>Bozcaada</t>
  </si>
  <si>
    <t>2019-01-11 18:49</t>
  </si>
  <si>
    <t>2019-02-06 22:49</t>
  </si>
  <si>
    <t>2019-02-07 18:56</t>
  </si>
  <si>
    <t>2019-02-12 13:58</t>
  </si>
  <si>
    <t>2019-03-02 05:58</t>
  </si>
  <si>
    <t>2019-03-08 21:54</t>
  </si>
  <si>
    <t>2019-03-15 20:10</t>
  </si>
  <si>
    <t>2019-03-19 04:27</t>
  </si>
  <si>
    <t>2019-03-30 03:49</t>
  </si>
  <si>
    <t>2019-03-31 10:59</t>
  </si>
  <si>
    <t>Port Said</t>
  </si>
  <si>
    <t>2019-04-06 14:59</t>
  </si>
  <si>
    <t>2019-04-07 03:05</t>
  </si>
  <si>
    <t>2019-04-07 17:50</t>
  </si>
  <si>
    <t>Vadinar</t>
  </si>
  <si>
    <t>India</t>
  </si>
  <si>
    <t>2019-04-18 11:47</t>
  </si>
  <si>
    <t>2019-04-18 16:52</t>
  </si>
  <si>
    <t>2019-04-23 13:46</t>
  </si>
  <si>
    <t>2019-05-02 07:43</t>
  </si>
  <si>
    <t>2019-05-05 20:58</t>
  </si>
  <si>
    <t>2019-05-09 14:49</t>
  </si>
  <si>
    <t>2019-05-09 16:37</t>
  </si>
  <si>
    <t>2019-05-21 08:52</t>
  </si>
  <si>
    <t>2019-06-05 04:59</t>
  </si>
  <si>
    <t>2019-06-07 04:56</t>
  </si>
  <si>
    <t>Odudu</t>
  </si>
  <si>
    <t>2019-07-01 09:22</t>
  </si>
  <si>
    <t>2019-07-02 23:52</t>
  </si>
  <si>
    <t>New York/New Jersey</t>
  </si>
  <si>
    <t>USA</t>
  </si>
  <si>
    <t>2019-07-31 23:57</t>
  </si>
  <si>
    <t>2019-08-03 02:55</t>
  </si>
  <si>
    <t>2019-08-04 11:59</t>
  </si>
  <si>
    <t>2019-08-04 19:57</t>
  </si>
  <si>
    <t>2019-08-05 14:59</t>
  </si>
  <si>
    <t>Galveston</t>
  </si>
  <si>
    <t>2019-08-12 18:52</t>
  </si>
  <si>
    <t>2019-08-13 11:43</t>
  </si>
  <si>
    <t>2019-08-13 15:54</t>
  </si>
  <si>
    <t>2019-08-17 15:57</t>
  </si>
  <si>
    <t>Fos</t>
  </si>
  <si>
    <t>France</t>
  </si>
  <si>
    <t>2019-09-06 07:49</t>
  </si>
  <si>
    <t>2019-09-06 23:23</t>
  </si>
  <si>
    <t>Malta Freeport</t>
  </si>
  <si>
    <t>Malta</t>
  </si>
  <si>
    <t>2019-09-12 20:52</t>
  </si>
  <si>
    <t>2019-09-12 22:52</t>
  </si>
  <si>
    <t>Gdansk</t>
  </si>
  <si>
    <t>Poland</t>
  </si>
  <si>
    <t>2019-10-02 12:59</t>
  </si>
  <si>
    <t>2019-10-03 21:59</t>
  </si>
  <si>
    <t>2019-10-03 23:48</t>
  </si>
  <si>
    <t>2019-10-07 15:54</t>
  </si>
  <si>
    <t>Ust-Luga</t>
  </si>
  <si>
    <t>2019-10-11 10:54</t>
  </si>
  <si>
    <t>2019-10-14 20:56</t>
  </si>
  <si>
    <t>Alliance</t>
  </si>
  <si>
    <t>2019-11-12 02:21</t>
  </si>
  <si>
    <t>Belle Chasse</t>
  </si>
  <si>
    <t>2019-11-14 18:55</t>
  </si>
  <si>
    <t>New Orleans</t>
  </si>
  <si>
    <t>2019-11-14 20:55</t>
  </si>
  <si>
    <t>Destrehan</t>
  </si>
  <si>
    <t>2019-11-14 23:42</t>
  </si>
  <si>
    <t>2019-11-16 03:44</t>
  </si>
  <si>
    <t>Westwego</t>
  </si>
  <si>
    <t>2019-11-16 04:56</t>
  </si>
  <si>
    <t>Chalmette</t>
  </si>
  <si>
    <t>2019-11-16 05:58</t>
  </si>
  <si>
    <t>2019-11-16 06:50</t>
  </si>
  <si>
    <t>Port Ingleside</t>
  </si>
  <si>
    <t>2019-11-17 21:45</t>
  </si>
  <si>
    <t>Port Aransas</t>
  </si>
  <si>
    <t>2019-11-19 20:38</t>
  </si>
  <si>
    <t>Corpus Christi</t>
  </si>
  <si>
    <t>2019-11-19 22:59</t>
  </si>
  <si>
    <t>2019-11-20 20:46</t>
  </si>
  <si>
    <t>2019-11-21 00:58</t>
  </si>
  <si>
    <t>2019-11-28 19:39</t>
  </si>
  <si>
    <t>2019-11-29 12:53</t>
  </si>
  <si>
    <t>2019-12-01 13:55</t>
  </si>
  <si>
    <t>2019-12-03 16:51</t>
  </si>
  <si>
    <t>2019-12-03 20:57</t>
  </si>
  <si>
    <t>2019-12-05 17:49</t>
  </si>
  <si>
    <t>Finnart Oil Terminal</t>
  </si>
  <si>
    <t>2019-12-22 15:47</t>
  </si>
  <si>
    <t>2019-12-22 16:03</t>
  </si>
  <si>
    <t>2020-01-17 04:59</t>
  </si>
  <si>
    <t>2020-01-17 23:43</t>
  </si>
  <si>
    <t>2020-01-20 10:56</t>
  </si>
  <si>
    <t>2020-01-21 00:56</t>
  </si>
  <si>
    <t>2020-01-29 23:59</t>
  </si>
  <si>
    <t>2020-01-31 05:45</t>
  </si>
  <si>
    <t>Philadelphia</t>
  </si>
  <si>
    <t>2020-02-15 18:35</t>
  </si>
  <si>
    <t>2020-02-21 23:11</t>
  </si>
  <si>
    <t>2020-02-22 04:53</t>
  </si>
  <si>
    <t>2020-02-22 09:23</t>
  </si>
  <si>
    <t>2020-02-22 11:56</t>
  </si>
  <si>
    <t>2020-02-22 14:05</t>
  </si>
  <si>
    <t>2020-02-22 17:53</t>
  </si>
  <si>
    <t>2020-02-22 22:29</t>
  </si>
  <si>
    <t>Claymont</t>
  </si>
  <si>
    <t>2020-02-23 06:51</t>
  </si>
  <si>
    <t>Chester</t>
  </si>
  <si>
    <t>2020-02-23 07:32</t>
  </si>
  <si>
    <t>Paulsboro</t>
  </si>
  <si>
    <t>2020-02-23 08:55</t>
  </si>
  <si>
    <t>Marcus Hook</t>
  </si>
  <si>
    <t>2020-02-24 16:49</t>
  </si>
  <si>
    <t>Delaware</t>
  </si>
  <si>
    <t>2020-02-24 19:45</t>
  </si>
  <si>
    <t>2020-02-25 20:57</t>
  </si>
  <si>
    <t>2020-02-25 22:43</t>
  </si>
  <si>
    <t>2020-02-26 10:18</t>
  </si>
  <si>
    <t>2020-02-26 12:46</t>
  </si>
  <si>
    <t>2020-03-04 13:39</t>
  </si>
  <si>
    <t>2020-03-05 12:45</t>
  </si>
  <si>
    <t>2020-03-05 17:51</t>
  </si>
  <si>
    <t>2020-03-07 14:51</t>
  </si>
  <si>
    <t>St Eustatius</t>
  </si>
  <si>
    <t>Bonaire, St Eustatius &amp; Saba</t>
  </si>
  <si>
    <t>2020-03-13 21:47</t>
  </si>
  <si>
    <t>2020-03-20 17:53</t>
  </si>
  <si>
    <t>2020-04-06 08:30</t>
  </si>
  <si>
    <t>2020-04-07 03:55</t>
  </si>
  <si>
    <t>Tanjung Pelepas</t>
  </si>
  <si>
    <t>Malaysia</t>
  </si>
  <si>
    <t>2020-04-24 02:58</t>
  </si>
  <si>
    <t>2020-04-26 06:20</t>
  </si>
  <si>
    <t>2020-04-26 12:57</t>
  </si>
  <si>
    <t>2020-04-27 05:57</t>
  </si>
  <si>
    <t>Salman</t>
  </si>
  <si>
    <t>Bahrain</t>
  </si>
  <si>
    <t>2020-05-10 18:56</t>
  </si>
  <si>
    <t>2020-05-11 20:06</t>
  </si>
  <si>
    <t>2020-05-16 10:13</t>
  </si>
  <si>
    <t>Al Shaheen</t>
  </si>
  <si>
    <t>Qatar</t>
  </si>
  <si>
    <t>2020-05-17 06:56</t>
  </si>
  <si>
    <t>Gj.snitt</t>
  </si>
  <si>
    <t>Med scrubber</t>
  </si>
  <si>
    <t>FREMTIDIG PROGNOSER AV OLJEPRIS VED BESLUTNINGSÅRET</t>
  </si>
  <si>
    <t>FREMTIDIG ESTIMATER AV DRIVSTOFFPRISER VED BESLUTNINGSÅRET</t>
  </si>
  <si>
    <t xml:space="preserve">Ut ifra Sheet: Regresjon; Drivstoff, Olje kom det frem at oljeprisen forklarer 51,5% av </t>
  </si>
  <si>
    <t xml:space="preserve">drivstoffprisen. Uten inflasjon. </t>
  </si>
  <si>
    <t>Tid utenfor ECA-områder</t>
  </si>
  <si>
    <t>Tid innenfor ECA-områder</t>
  </si>
  <si>
    <t>Årlig besparelse</t>
  </si>
  <si>
    <t>Drivstoff besparelse</t>
  </si>
  <si>
    <t>NNV 5 år</t>
  </si>
  <si>
    <t>NNV 10 år</t>
  </si>
  <si>
    <t>Skatt 0%</t>
  </si>
  <si>
    <t>Kilde:</t>
  </si>
  <si>
    <t>NNV 2 år</t>
  </si>
  <si>
    <t>Base scenario</t>
  </si>
  <si>
    <t>https://www.eia.gov/outlooks/steo/report/global_oil.php?fbclid=IwAR0u38clFSU2yJRwXE-Lscx01t-wHoAcsRBP3oA0kUXPkmNyBxs0DwHatKU</t>
  </si>
  <si>
    <t>Short-term oil comsuption</t>
  </si>
  <si>
    <t>BASE SCENARIO</t>
  </si>
  <si>
    <t>Covid-19 Kortsikt Scenario</t>
  </si>
  <si>
    <t>Gjennomsnittlig priser i $/mt i Base Scenario</t>
  </si>
  <si>
    <t>Utgangspunkt for utviklingen av oljepris etter Covid-19</t>
  </si>
  <si>
    <t>Short term prediction from 2020</t>
  </si>
  <si>
    <t>EIA: Brent crude oil prices etter covid-19 og nåværende oljepriskrig</t>
  </si>
  <si>
    <t>FREMTIDIG ESTIMATER AV DRIVSTOFFPRISER VED KORTSIKTIG COVID-19</t>
  </si>
  <si>
    <t xml:space="preserve">EIA spekulerte i gjennom året. Derfor har vi valg å benytte gjennomsnittsprisene funnet i </t>
  </si>
  <si>
    <t>vekst</t>
  </si>
  <si>
    <t>Forventet priser med antatt vekst fra base scenario</t>
  </si>
  <si>
    <t>Covid-19 Langsikitg Scenario</t>
  </si>
  <si>
    <t>Siden Covid-19 slo inn for fullt i Mars har skipene vært i 100% aktivitet i 2 mnd. 227dager/12mnd*2mnd = 38 dager</t>
  </si>
  <si>
    <t>Rapporter sier at oljekonsumet vil være tilbake til normalen 2021 som vil si at skipene er tilbake i full drift 227 dager fra om med 2021.</t>
  </si>
  <si>
    <t>Når skipene ikke er i drift/er i havn vil kostnadene ikke være forskjellig om man har scrubber eller ikke.</t>
  </si>
  <si>
    <t xml:space="preserve">Årlig drivstofforbruk for MT Nordic Vega </t>
  </si>
  <si>
    <t xml:space="preserve">Ut ifra rapporter om Port Calls har skipene vært i "aktivitet" i 34 dager de siste 3 mnd, som tilsier 60% av hva det opprinnelig skulle ha vært. </t>
  </si>
  <si>
    <r>
      <t xml:space="preserve">Drivstoff besparelse: Se fane </t>
    </r>
    <r>
      <rPr>
        <i/>
        <sz val="12"/>
        <color theme="1"/>
        <rFont val="Calibri"/>
        <family val="2"/>
        <scheme val="minor"/>
      </rPr>
      <t>Kostnader Base-Scenario</t>
    </r>
  </si>
  <si>
    <r>
      <t>Drivstoff besparelse: Se fane</t>
    </r>
    <r>
      <rPr>
        <i/>
        <sz val="12"/>
        <color rgb="FF000000"/>
        <rFont val="Calibri"/>
        <family val="2"/>
        <scheme val="minor"/>
      </rPr>
      <t xml:space="preserve"> Kostnader Covid-kort</t>
    </r>
  </si>
  <si>
    <r>
      <t xml:space="preserve">Drivstoff besparelse: Se fane </t>
    </r>
    <r>
      <rPr>
        <i/>
        <sz val="12"/>
        <color rgb="FF000000"/>
        <rFont val="Calibri"/>
        <family val="2"/>
        <scheme val="minor"/>
      </rPr>
      <t>Kostnader Covid-lang</t>
    </r>
  </si>
  <si>
    <t>MFO 0,5%</t>
  </si>
  <si>
    <t>MGO 0,5%</t>
  </si>
  <si>
    <t>Årlig sailasdager</t>
  </si>
  <si>
    <t>Årlig forbruk mt</t>
  </si>
  <si>
    <t>Dager utenfor ECA-området</t>
  </si>
  <si>
    <t xml:space="preserve">Forventet vekst i sailasdager </t>
  </si>
  <si>
    <t>Årlig MFO 0,5% kostnad</t>
  </si>
  <si>
    <t>Årlig MGO 0,1% kostnad</t>
  </si>
  <si>
    <t>Total drivstoff kostnad</t>
  </si>
  <si>
    <t>Dager i ECA-område</t>
  </si>
  <si>
    <t>Årlig forbruk av MFO 0,5%</t>
  </si>
  <si>
    <t>Årlig forbruk av MGO 0,1%</t>
  </si>
  <si>
    <t>Årlig drivstofforbruk og drivstoffkostnader for MT Nordic Vega</t>
  </si>
  <si>
    <t>Forventet vekst etter 2021</t>
  </si>
  <si>
    <t xml:space="preserve">Inflasjon </t>
  </si>
  <si>
    <t>Uten scrubber</t>
  </si>
  <si>
    <t>Årlig kostnadsbesparelse av å bruke HSFO vs MFO+MGO</t>
  </si>
  <si>
    <t>Årlig kostnadsbesparelse av å benytte HSFO vs MFO+MGO</t>
  </si>
  <si>
    <t>de forskjellige drivstoffene er etter Covid-19 slo inn. Dagens oljepris er tilsvarende det</t>
  </si>
  <si>
    <r>
      <t xml:space="preserve">fane </t>
    </r>
    <r>
      <rPr>
        <i/>
        <sz val="12"/>
        <color theme="1"/>
        <rFont val="Calibri"/>
        <family val="2"/>
        <scheme val="minor"/>
      </rPr>
      <t>Prisliste Drivstoff</t>
    </r>
    <r>
      <rPr>
        <sz val="12"/>
        <color theme="1"/>
        <rFont val="Calibri"/>
        <family val="2"/>
        <scheme val="minor"/>
      </rPr>
      <t xml:space="preserve"> som gjennomsnittsprisen gjennom året. Og veksten fra og med 2021 tilsvarer veksten fra base scenarioet</t>
    </r>
  </si>
  <si>
    <t>Sailasdager 2020 uten DD</t>
  </si>
  <si>
    <t xml:space="preserve">Vi tar derfor utgangspunkt at de vil være i aktivitet i 60% av deres opprinnelige aktivitetsnivå ut året. </t>
  </si>
  <si>
    <t>Esktra OPEX med scrubber per år</t>
  </si>
  <si>
    <t>Avskrivningssats</t>
  </si>
  <si>
    <t>Fremtidig prognoser av oljepriser som følge av Covid-19 på kortsikt</t>
  </si>
  <si>
    <t>Fremtidig prognoser av oljepriser som følge av Covid-19 på langsikt</t>
  </si>
  <si>
    <t>EIA: Brent crude oil i 2020 etter Covid-19 og nåværende oljepriskrigen</t>
  </si>
  <si>
    <t xml:space="preserve">Ugangspunkt for utviklingen er Brent Crude sin spekulasjon i år 2020. </t>
  </si>
  <si>
    <t>Ut ifra nåværende oljepris ser vi at oljeprisen $/bbl har stabilisert seg rundt 34 $/bbl</t>
  </si>
  <si>
    <t>Dette er da utgangspunket for oljeprisen under hele Covid-19 sin levetid</t>
  </si>
  <si>
    <t>$/bb</t>
  </si>
  <si>
    <t>FREMTIDIG ESTIMATER AV DRIVSTOFFPRISER VED LANGSIKTIG COVID-19</t>
  </si>
  <si>
    <t>Sailasdager 2020 vil være lik som i kortsiktig scenario</t>
  </si>
  <si>
    <t>Deretter vil man være tilbake til normalt aktivitetsnivå + vekst</t>
  </si>
  <si>
    <t xml:space="preserve">En covid-19 situasjon som varer i 2 år kan fort bidra til at. Økonomien henger litt igjen </t>
  </si>
  <si>
    <t>Derfor har vi antatt at i år 2022 vil utnyttelsesnivået være på 80% før den i 2023 er tilbake til 100%</t>
  </si>
  <si>
    <t>Kostnadersbesparelse</t>
  </si>
  <si>
    <t>Scenario 1</t>
  </si>
  <si>
    <t>Scenario 2</t>
  </si>
  <si>
    <t>Scenario 3</t>
  </si>
  <si>
    <t>Scenario; Base , Kort , Lang</t>
  </si>
  <si>
    <t>kort</t>
  </si>
  <si>
    <t xml:space="preserve">Skatt </t>
  </si>
  <si>
    <t>Investerer</t>
  </si>
  <si>
    <t>Pr=0,8</t>
  </si>
  <si>
    <t>Pr=0,2</t>
  </si>
  <si>
    <t>5y TC</t>
  </si>
  <si>
    <t>Pr=0,7</t>
  </si>
  <si>
    <t>Pr=0,3</t>
  </si>
  <si>
    <t>Vekst i tankmarkedet</t>
  </si>
  <si>
    <t>Drivstoff besparelse:</t>
  </si>
  <si>
    <t>Forventet vekst etter 2023</t>
  </si>
  <si>
    <t>Sammenligning</t>
  </si>
  <si>
    <t xml:space="preserve">   </t>
  </si>
  <si>
    <t>Med 100% aktivitet i 2 mnd og 60% resterende gir det en totalt sailasdager på 151 i 2020. Men dersom skipet skal installere scrubber blir den ute av drift i 40 dager. 40 dager er 11% av 365.</t>
  </si>
  <si>
    <t>Derfor tar vi utgangspunk at skipet ikke bruker drivstoff 11% av dagene den den egentlig skulle vært i drift i utgangspunket (227 dager) som følge av DD.</t>
  </si>
  <si>
    <t>År 2020 vil man ha en 60% utnyttelsesnivå av 227 som er dagens 100%</t>
  </si>
  <si>
    <t>Investere år 0</t>
  </si>
  <si>
    <t>Input</t>
  </si>
  <si>
    <t>Skatt</t>
  </si>
  <si>
    <r>
      <t xml:space="preserve">Fremtidig drivstoff priser, hhv fane: </t>
    </r>
    <r>
      <rPr>
        <i/>
        <sz val="12"/>
        <color theme="1"/>
        <rFont val="Calibri"/>
        <family val="2"/>
        <scheme val="minor"/>
      </rPr>
      <t xml:space="preserve">Fremtidig priser </t>
    </r>
    <r>
      <rPr>
        <sz val="12"/>
        <color theme="1"/>
        <rFont val="Calibri"/>
        <family val="2"/>
        <scheme val="minor"/>
      </rPr>
      <t xml:space="preserve">under </t>
    </r>
    <r>
      <rPr>
        <b/>
        <sz val="12"/>
        <color theme="1"/>
        <rFont val="Calibri"/>
        <family val="2"/>
        <scheme val="minor"/>
      </rPr>
      <t>Covid-19 Kortsiktig Scenario</t>
    </r>
  </si>
  <si>
    <r>
      <t xml:space="preserve">Fremtidig drivstoff priser, hhv fane: </t>
    </r>
    <r>
      <rPr>
        <i/>
        <sz val="12"/>
        <color theme="1"/>
        <rFont val="Calibri"/>
        <family val="2"/>
        <scheme val="minor"/>
      </rPr>
      <t>Fremtidig priser</t>
    </r>
    <r>
      <rPr>
        <sz val="12"/>
        <color theme="1"/>
        <rFont val="Calibri"/>
        <family val="2"/>
        <scheme val="minor"/>
      </rPr>
      <t xml:space="preserve"> under </t>
    </r>
    <r>
      <rPr>
        <b/>
        <sz val="12"/>
        <color theme="1"/>
        <rFont val="Calibri"/>
        <family val="2"/>
        <scheme val="minor"/>
      </rPr>
      <t>Base Scenario</t>
    </r>
  </si>
  <si>
    <r>
      <t xml:space="preserve">Fremtidig drivstoff priser, hhv fane: </t>
    </r>
    <r>
      <rPr>
        <i/>
        <sz val="12"/>
        <color theme="1"/>
        <rFont val="Calibri"/>
        <family val="2"/>
        <scheme val="minor"/>
      </rPr>
      <t>Fremtidig priser</t>
    </r>
    <r>
      <rPr>
        <sz val="12"/>
        <color theme="1"/>
        <rFont val="Calibri"/>
        <family val="2"/>
        <scheme val="minor"/>
      </rPr>
      <t xml:space="preserve"> under Covid-19 </t>
    </r>
    <r>
      <rPr>
        <b/>
        <sz val="12"/>
        <color theme="1"/>
        <rFont val="Calibri"/>
        <family val="2"/>
        <scheme val="minor"/>
      </rPr>
      <t>Langsiktig Scenario</t>
    </r>
  </si>
  <si>
    <t xml:space="preserve">Gj.snitt under Covid-19 </t>
  </si>
  <si>
    <t>Gjennomsnitt av de ulike Regionene</t>
  </si>
  <si>
    <t>Internrente</t>
  </si>
  <si>
    <t>Internrente 5 år</t>
  </si>
  <si>
    <t>Internrente 2 år</t>
  </si>
  <si>
    <t>Internrente 10 år</t>
  </si>
  <si>
    <t>NNV år 2</t>
  </si>
  <si>
    <t>NNV år 5</t>
  </si>
  <si>
    <t>NNV år 10</t>
  </si>
  <si>
    <t>Ikke investere i det hele tatt</t>
  </si>
  <si>
    <t>pga langvarig coivd</t>
  </si>
  <si>
    <t>Vente 1 år og Covid blir lang</t>
  </si>
  <si>
    <t>Vente 1 år og covid blir kort</t>
  </si>
  <si>
    <t>Vente</t>
  </si>
  <si>
    <t>År 1</t>
  </si>
  <si>
    <t>År 0</t>
  </si>
  <si>
    <t>Kort pr=0,7</t>
  </si>
  <si>
    <t>Lang pr=0,3</t>
  </si>
  <si>
    <t>pr langsiktig</t>
  </si>
  <si>
    <t>pr kortsiktig</t>
  </si>
  <si>
    <t>Opsjonsverdien av å vente 1 år og se om Covid-19 er kortvarig eller langvarig</t>
  </si>
  <si>
    <r>
      <t xml:space="preserve">I Fane </t>
    </r>
    <r>
      <rPr>
        <i/>
        <sz val="12"/>
        <color theme="1"/>
        <rFont val="Calibri"/>
        <family val="2"/>
        <scheme val="minor"/>
      </rPr>
      <t xml:space="preserve">Prisliste Drivstoff </t>
    </r>
    <r>
      <rPr>
        <sz val="12"/>
        <color theme="1"/>
        <rFont val="Calibri"/>
        <family val="2"/>
        <scheme val="minor"/>
      </rPr>
      <t xml:space="preserve">har vi regnet på hva gjennomsnittsprisen for </t>
    </r>
  </si>
  <si>
    <t>Med engang Covid-19 vaksinen har kommet vil vi anta at oljeprisen vil få et positivt pris skifte tilsvarende i det kortsiktige scenarioet med 41%</t>
  </si>
  <si>
    <t>Før den stabiliserer seg på en vekst på 5%</t>
  </si>
  <si>
    <t>Ut ifra aktivitetsnivået knyttet til kortsiktig Covid som ver på 60% så lenge pandemien varer</t>
  </si>
  <si>
    <t>vil vi benytte en aktivitetsnivå på 60% under hele Covid-19 situasjonen (samme aktivitetsnivå i 2020 som i kortsikitg scenario)</t>
  </si>
  <si>
    <t>men i år 2021 antar vi at aktivitetsnivået fortsatt er 60% som følge at at det fortsatt er pandemi. I 2022 vil Covid-19 være over men</t>
  </si>
  <si>
    <t xml:space="preserve">det er naturlig å tenke seg at verdensøkonomien henger litt igjen som følge av en langvarig pandemi. Derfor har vi antatt at </t>
  </si>
  <si>
    <t>aktivitetsnivået i år 2022 vil være på 80% før den i 2023 vil være tilbake på 100% og deretter en vekst på 2,3%</t>
  </si>
  <si>
    <t>Dager i DD</t>
  </si>
  <si>
    <t>investerer ikke</t>
  </si>
  <si>
    <t>NNV 5 år * pr</t>
  </si>
  <si>
    <t xml:space="preserve">Verdien av å vente 1 år </t>
  </si>
  <si>
    <t xml:space="preserve">NNV 2 år </t>
  </si>
  <si>
    <t>NNV 2 år * pr</t>
  </si>
  <si>
    <t>Ved investering i år 0</t>
  </si>
  <si>
    <t>Ved å vente 1 år med ny beslutning</t>
  </si>
  <si>
    <t>Forventet nåverdi etter 5 år</t>
  </si>
  <si>
    <t>Forventet nåverdi etter 2 år</t>
  </si>
  <si>
    <t>Investerings tilbakebetalingstid</t>
  </si>
  <si>
    <t>1 år og 112 dager</t>
  </si>
  <si>
    <t>Nåverdi etter 1 år og 112 dager</t>
  </si>
  <si>
    <t>4 år og 53 dager</t>
  </si>
  <si>
    <t>Nåverdi etter 4 år og 53 dager</t>
  </si>
  <si>
    <t>5 år og 105 dager</t>
  </si>
  <si>
    <t xml:space="preserve">Siden Covid har inntruffet vil vi kun se på </t>
  </si>
  <si>
    <t>sannsyntlighetene for om Covid blir kortvarig eller langvarig</t>
  </si>
  <si>
    <t>Knoema (2020)</t>
  </si>
  <si>
    <t>Ship &amp; Bunker (2020)</t>
  </si>
  <si>
    <t>Exchange Rates (2020)</t>
  </si>
  <si>
    <t>Goldman Sachs (2018)</t>
  </si>
  <si>
    <t>Lloyds list (2019)</t>
  </si>
  <si>
    <t>Alibra shipping (2019)</t>
  </si>
  <si>
    <t>Skipene står stille i 40 dager pga DD som tilsvarer 11% av året</t>
  </si>
  <si>
    <t>Dvs skipet mister 25 seilasdager fra full aktivitetsnivå på 227 dager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</si>
</sst>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kr&quot;\ #,##0.00;[Red]\-&quot;kr&quot;\ #,##0.00"/>
    <numFmt numFmtId="44" formatCode="_-&quot;kr&quot;\ * #,##0.00_-;\-&quot;kr&quot;\ * #,##0.00_-;_-&quot;kr&quot;\ * &quot;-&quot;??_-;_-@_-"/>
    <numFmt numFmtId="164" formatCode="_-[$$-409]* #,##0.00_ ;_-[$$-409]* \-#,##0.00\ ;_-[$$-409]* &quot;-&quot;??_ ;_-@_ "/>
    <numFmt numFmtId="165" formatCode="d/m/yy;@"/>
    <numFmt numFmtId="166" formatCode="[$-414]d/\ mmm\.\ yyyy;@"/>
    <numFmt numFmtId="167" formatCode="0.00000"/>
    <numFmt numFmtId="168" formatCode="dd\ mmmm\ yyyy"/>
    <numFmt numFmtId="169" formatCode="0.0\ %"/>
  </numFmts>
  <fonts count="3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30"/>
      <color rgb="FFFFFFFF"/>
      <name val="Calibri"/>
      <family val="2"/>
    </font>
    <font>
      <b/>
      <sz val="14"/>
      <color rgb="FFFFFFFF"/>
      <name val="Calibri"/>
      <family val="2"/>
    </font>
    <font>
      <b/>
      <sz val="11"/>
      <color rgb="FFFFFFFF"/>
      <name val="Calibri"/>
      <family val="2"/>
    </font>
    <font>
      <b/>
      <sz val="11"/>
      <color rgb="FF00AFDB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4"/>
      <color theme="1"/>
      <name val="Calibri (Brødtekst)"/>
    </font>
    <font>
      <sz val="12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CCCC"/>
      </patternFill>
    </fill>
    <fill>
      <patternFill patternType="solid">
        <fgColor rgb="FFFFFFFF"/>
      </patternFill>
    </fill>
    <fill>
      <patternFill patternType="solid">
        <fgColor rgb="FF00334E"/>
      </patternFill>
    </fill>
    <fill>
      <patternFill patternType="solid">
        <fgColor rgb="FF00AFDB"/>
      </patternFill>
    </fill>
    <fill>
      <patternFill patternType="solid">
        <fgColor rgb="FFDDDDDD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8EA9DB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43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9" fontId="0" fillId="0" borderId="0" xfId="0" applyNumberFormat="1"/>
    <xf numFmtId="10" fontId="0" fillId="0" borderId="0" xfId="0" applyNumberFormat="1"/>
    <xf numFmtId="0" fontId="2" fillId="0" borderId="0" xfId="0" applyFont="1"/>
    <xf numFmtId="0" fontId="0" fillId="3" borderId="0" xfId="0" applyFill="1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4" borderId="0" xfId="0" applyFill="1"/>
    <xf numFmtId="0" fontId="3" fillId="0" borderId="0" xfId="0" applyFont="1"/>
    <xf numFmtId="0" fontId="4" fillId="0" borderId="0" xfId="0" applyFont="1"/>
    <xf numFmtId="0" fontId="6" fillId="0" borderId="0" xfId="2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5" borderId="0" xfId="0" applyFont="1" applyFill="1"/>
    <xf numFmtId="0" fontId="0" fillId="5" borderId="0" xfId="0" applyFill="1"/>
    <xf numFmtId="0" fontId="1" fillId="5" borderId="0" xfId="0" applyFont="1" applyFill="1" applyAlignment="1">
      <alignment horizontal="center"/>
    </xf>
    <xf numFmtId="165" fontId="0" fillId="0" borderId="0" xfId="0" applyNumberFormat="1"/>
    <xf numFmtId="166" fontId="0" fillId="0" borderId="0" xfId="1" applyNumberFormat="1" applyFont="1"/>
    <xf numFmtId="0" fontId="0" fillId="7" borderId="0" xfId="0" applyFill="1" applyAlignment="1">
      <alignment horizontal="right"/>
    </xf>
    <xf numFmtId="164" fontId="0" fillId="6" borderId="0" xfId="0" applyNumberFormat="1" applyFill="1" applyAlignment="1">
      <alignment horizontal="right"/>
    </xf>
    <xf numFmtId="164" fontId="0" fillId="7" borderId="0" xfId="0" applyNumberFormat="1" applyFill="1" applyAlignment="1">
      <alignment horizontal="right"/>
    </xf>
    <xf numFmtId="166" fontId="0" fillId="3" borderId="0" xfId="1" applyNumberFormat="1" applyFont="1" applyFill="1" applyAlignment="1">
      <alignment horizontal="center"/>
    </xf>
    <xf numFmtId="0" fontId="0" fillId="3" borderId="0" xfId="0" applyFill="1" applyAlignment="1">
      <alignment horizontal="right"/>
    </xf>
    <xf numFmtId="164" fontId="0" fillId="3" borderId="0" xfId="0" applyNumberFormat="1" applyFill="1" applyAlignment="1">
      <alignment horizontal="right"/>
    </xf>
    <xf numFmtId="166" fontId="0" fillId="6" borderId="0" xfId="1" applyNumberFormat="1" applyFont="1" applyFill="1" applyAlignment="1">
      <alignment horizontal="center"/>
    </xf>
    <xf numFmtId="166" fontId="0" fillId="3" borderId="0" xfId="1" applyNumberFormat="1" applyFont="1" applyFill="1" applyAlignment="1">
      <alignment horizontal="left" indent="1"/>
    </xf>
    <xf numFmtId="164" fontId="0" fillId="6" borderId="2" xfId="0" applyNumberFormat="1" applyFill="1" applyBorder="1" applyAlignment="1">
      <alignment horizontal="right"/>
    </xf>
    <xf numFmtId="166" fontId="8" fillId="8" borderId="0" xfId="0" applyNumberFormat="1" applyFont="1" applyFill="1" applyAlignment="1">
      <alignment horizontal="left" indent="1"/>
    </xf>
    <xf numFmtId="164" fontId="8" fillId="8" borderId="0" xfId="0" applyNumberFormat="1" applyFont="1" applyFill="1" applyAlignment="1">
      <alignment horizontal="right"/>
    </xf>
    <xf numFmtId="0" fontId="0" fillId="5" borderId="0" xfId="0" applyFill="1" applyAlignment="1">
      <alignment horizontal="right"/>
    </xf>
    <xf numFmtId="0" fontId="0" fillId="6" borderId="2" xfId="0" applyFill="1" applyBorder="1"/>
    <xf numFmtId="164" fontId="0" fillId="3" borderId="0" xfId="1" applyNumberFormat="1" applyFont="1" applyFill="1" applyAlignment="1">
      <alignment horizontal="right"/>
    </xf>
    <xf numFmtId="166" fontId="0" fillId="0" borderId="0" xfId="1" applyNumberFormat="1" applyFont="1" applyAlignment="1">
      <alignment horizontal="left"/>
    </xf>
    <xf numFmtId="166" fontId="0" fillId="7" borderId="0" xfId="0" applyNumberFormat="1" applyFill="1" applyAlignment="1">
      <alignment horizontal="left"/>
    </xf>
    <xf numFmtId="166" fontId="0" fillId="6" borderId="2" xfId="1" applyNumberFormat="1" applyFont="1" applyFill="1" applyBorder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 applyAlignment="1"/>
    <xf numFmtId="0" fontId="0" fillId="3" borderId="0" xfId="0" applyFill="1" applyAlignment="1">
      <alignment vertical="top"/>
    </xf>
    <xf numFmtId="0" fontId="0" fillId="3" borderId="0" xfId="0" applyFill="1" applyAlignment="1">
      <alignment horizontal="center"/>
    </xf>
    <xf numFmtId="0" fontId="0" fillId="0" borderId="0" xfId="0" applyFont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3" borderId="0" xfId="0" applyNumberFormat="1" applyFill="1"/>
    <xf numFmtId="2" fontId="0" fillId="0" borderId="0" xfId="0" applyNumberFormat="1" applyAlignment="1">
      <alignment horizontal="center"/>
    </xf>
    <xf numFmtId="164" fontId="0" fillId="0" borderId="0" xfId="1" applyNumberFormat="1" applyFont="1"/>
    <xf numFmtId="0" fontId="0" fillId="3" borderId="0" xfId="0" applyFill="1" applyAlignment="1">
      <alignment horizontal="left"/>
    </xf>
    <xf numFmtId="164" fontId="0" fillId="0" borderId="0" xfId="1" applyNumberFormat="1" applyFont="1" applyAlignment="1">
      <alignment horizontal="center"/>
    </xf>
    <xf numFmtId="164" fontId="0" fillId="3" borderId="0" xfId="1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9" fontId="0" fillId="0" borderId="0" xfId="3" applyFont="1"/>
    <xf numFmtId="0" fontId="1" fillId="9" borderId="0" xfId="0" applyFont="1" applyFill="1"/>
    <xf numFmtId="15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0" fontId="9" fillId="0" borderId="4" xfId="0" applyFont="1" applyFill="1" applyBorder="1" applyAlignment="1">
      <alignment horizontal="centerContinuous"/>
    </xf>
    <xf numFmtId="0" fontId="4" fillId="0" borderId="0" xfId="0" applyFont="1" applyFill="1" applyBorder="1" applyAlignment="1"/>
    <xf numFmtId="0" fontId="4" fillId="0" borderId="2" xfId="0" applyFont="1" applyFill="1" applyBorder="1" applyAlignment="1"/>
    <xf numFmtId="0" fontId="9" fillId="0" borderId="4" xfId="0" applyFont="1" applyFill="1" applyBorder="1" applyAlignment="1">
      <alignment horizontal="center"/>
    </xf>
    <xf numFmtId="0" fontId="10" fillId="0" borderId="0" xfId="0" applyFont="1"/>
    <xf numFmtId="0" fontId="0" fillId="0" borderId="0" xfId="0" applyNumberFormat="1"/>
    <xf numFmtId="164" fontId="0" fillId="0" borderId="0" xfId="0" applyNumberFormat="1" applyAlignment="1">
      <alignment horizontal="center"/>
    </xf>
    <xf numFmtId="0" fontId="0" fillId="9" borderId="0" xfId="0" applyFill="1"/>
    <xf numFmtId="0" fontId="1" fillId="9" borderId="0" xfId="0" applyFont="1" applyFill="1" applyAlignment="1">
      <alignment horizontal="center"/>
    </xf>
    <xf numFmtId="0" fontId="0" fillId="10" borderId="0" xfId="0" applyFill="1"/>
    <xf numFmtId="0" fontId="0" fillId="11" borderId="0" xfId="0" applyFill="1"/>
    <xf numFmtId="0" fontId="0" fillId="12" borderId="0" xfId="0" applyFill="1"/>
    <xf numFmtId="0" fontId="14" fillId="14" borderId="5" xfId="0" applyFont="1" applyFill="1" applyBorder="1"/>
    <xf numFmtId="0" fontId="15" fillId="0" borderId="5" xfId="0" applyFont="1" applyBorder="1"/>
    <xf numFmtId="0" fontId="0" fillId="15" borderId="0" xfId="0" applyFill="1"/>
    <xf numFmtId="0" fontId="0" fillId="7" borderId="0" xfId="0" applyFill="1"/>
    <xf numFmtId="1" fontId="0" fillId="0" borderId="0" xfId="0" applyNumberFormat="1"/>
    <xf numFmtId="0" fontId="1" fillId="3" borderId="0" xfId="0" applyFont="1" applyFill="1" applyAlignment="1">
      <alignment wrapText="1"/>
    </xf>
    <xf numFmtId="0" fontId="14" fillId="3" borderId="6" xfId="0" applyFont="1" applyFill="1" applyBorder="1"/>
    <xf numFmtId="0" fontId="14" fillId="3" borderId="0" xfId="0" applyFont="1" applyFill="1" applyBorder="1"/>
    <xf numFmtId="1" fontId="0" fillId="3" borderId="0" xfId="0" applyNumberFormat="1" applyFill="1"/>
    <xf numFmtId="164" fontId="4" fillId="0" borderId="0" xfId="0" applyNumberFormat="1" applyFont="1" applyAlignment="1">
      <alignment horizontal="center"/>
    </xf>
    <xf numFmtId="0" fontId="4" fillId="3" borderId="0" xfId="0" applyFont="1" applyFill="1"/>
    <xf numFmtId="0" fontId="3" fillId="3" borderId="0" xfId="0" applyFont="1" applyFill="1" applyAlignment="1">
      <alignment horizontal="center" wrapText="1"/>
    </xf>
    <xf numFmtId="0" fontId="3" fillId="9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0" fillId="3" borderId="0" xfId="0" applyFont="1" applyFill="1"/>
    <xf numFmtId="0" fontId="16" fillId="9" borderId="0" xfId="0" applyFont="1" applyFill="1" applyAlignment="1">
      <alignment horizontal="right"/>
    </xf>
    <xf numFmtId="0" fontId="16" fillId="9" borderId="0" xfId="0" applyFont="1" applyFill="1" applyAlignment="1">
      <alignment horizontal="center"/>
    </xf>
    <xf numFmtId="0" fontId="10" fillId="3" borderId="0" xfId="0" applyFont="1" applyFill="1" applyAlignment="1">
      <alignment horizontal="left"/>
    </xf>
    <xf numFmtId="0" fontId="10" fillId="3" borderId="0" xfId="0" applyFont="1" applyFill="1" applyAlignment="1">
      <alignment horizontal="center"/>
    </xf>
    <xf numFmtId="0" fontId="16" fillId="0" borderId="0" xfId="0" applyFont="1" applyAlignment="1">
      <alignment horizontal="left"/>
    </xf>
    <xf numFmtId="164" fontId="4" fillId="0" borderId="0" xfId="0" applyNumberFormat="1" applyFont="1"/>
    <xf numFmtId="164" fontId="17" fillId="0" borderId="0" xfId="0" applyNumberFormat="1" applyFont="1" applyAlignment="1">
      <alignment horizontal="center"/>
    </xf>
    <xf numFmtId="0" fontId="18" fillId="0" borderId="0" xfId="0" applyFont="1"/>
    <xf numFmtId="0" fontId="16" fillId="9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2" fontId="10" fillId="3" borderId="0" xfId="1" applyNumberFormat="1" applyFont="1" applyFill="1" applyAlignment="1">
      <alignment horizontal="right" vertical="center"/>
    </xf>
    <xf numFmtId="2" fontId="10" fillId="0" borderId="0" xfId="1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9" fontId="4" fillId="0" borderId="0" xfId="3" applyFont="1"/>
    <xf numFmtId="9" fontId="10" fillId="0" borderId="0" xfId="3" applyFont="1"/>
    <xf numFmtId="0" fontId="10" fillId="3" borderId="0" xfId="1" applyNumberFormat="1" applyFont="1" applyFill="1" applyAlignment="1">
      <alignment horizontal="right" vertical="center"/>
    </xf>
    <xf numFmtId="0" fontId="10" fillId="0" borderId="0" xfId="1" applyNumberFormat="1" applyFont="1" applyAlignment="1">
      <alignment horizontal="right"/>
    </xf>
    <xf numFmtId="2" fontId="4" fillId="0" borderId="0" xfId="0" applyNumberFormat="1" applyFont="1"/>
    <xf numFmtId="2" fontId="10" fillId="0" borderId="0" xfId="0" applyNumberFormat="1" applyFont="1"/>
    <xf numFmtId="0" fontId="16" fillId="0" borderId="0" xfId="0" applyFont="1"/>
    <xf numFmtId="0" fontId="16" fillId="9" borderId="0" xfId="0" applyFont="1" applyFill="1"/>
    <xf numFmtId="16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3" borderId="0" xfId="0" applyFont="1" applyFill="1" applyAlignment="1">
      <alignment horizontal="left" wrapText="1"/>
    </xf>
    <xf numFmtId="0" fontId="3" fillId="3" borderId="0" xfId="0" applyFont="1" applyFill="1" applyAlignment="1">
      <alignment wrapText="1"/>
    </xf>
    <xf numFmtId="164" fontId="10" fillId="0" borderId="0" xfId="0" applyNumberFormat="1" applyFont="1" applyAlignment="1">
      <alignment horizontal="right" wrapText="1"/>
    </xf>
    <xf numFmtId="164" fontId="10" fillId="0" borderId="0" xfId="0" applyNumberFormat="1" applyFont="1" applyAlignment="1">
      <alignment horizontal="right"/>
    </xf>
    <xf numFmtId="0" fontId="16" fillId="3" borderId="0" xfId="0" applyFont="1" applyFill="1" applyAlignment="1">
      <alignment horizontal="left"/>
    </xf>
    <xf numFmtId="0" fontId="10" fillId="0" borderId="0" xfId="0" applyNumberFormat="1" applyFont="1" applyAlignment="1">
      <alignment horizontal="left"/>
    </xf>
    <xf numFmtId="0" fontId="16" fillId="3" borderId="0" xfId="0" applyFont="1" applyFill="1"/>
    <xf numFmtId="164" fontId="10" fillId="0" borderId="0" xfId="0" applyNumberFormat="1" applyFont="1"/>
    <xf numFmtId="0" fontId="19" fillId="8" borderId="0" xfId="0" applyFont="1" applyFill="1" applyAlignment="1">
      <alignment horizontal="center"/>
    </xf>
    <xf numFmtId="9" fontId="0" fillId="0" borderId="0" xfId="0" applyNumberFormat="1" applyAlignment="1">
      <alignment horizontal="left" indent="2"/>
    </xf>
    <xf numFmtId="1" fontId="20" fillId="8" borderId="0" xfId="0" applyNumberFormat="1" applyFont="1" applyFill="1" applyAlignment="1">
      <alignment horizontal="center"/>
    </xf>
    <xf numFmtId="0" fontId="20" fillId="8" borderId="0" xfId="0" applyFont="1" applyFill="1" applyAlignment="1">
      <alignment horizontal="left"/>
    </xf>
    <xf numFmtId="0" fontId="8" fillId="0" borderId="0" xfId="0" applyFont="1"/>
    <xf numFmtId="9" fontId="8" fillId="0" borderId="0" xfId="0" applyNumberFormat="1" applyFont="1"/>
    <xf numFmtId="10" fontId="8" fillId="0" borderId="0" xfId="0" applyNumberFormat="1" applyFont="1"/>
    <xf numFmtId="0" fontId="22" fillId="16" borderId="0" xfId="0" applyFont="1" applyFill="1"/>
    <xf numFmtId="0" fontId="22" fillId="16" borderId="0" xfId="0" applyFont="1" applyFill="1" applyAlignment="1">
      <alignment horizontal="center"/>
    </xf>
    <xf numFmtId="0" fontId="19" fillId="16" borderId="0" xfId="0" applyFont="1" applyFill="1" applyAlignment="1">
      <alignment horizontal="center"/>
    </xf>
    <xf numFmtId="164" fontId="8" fillId="0" borderId="0" xfId="0" applyNumberFormat="1" applyFont="1"/>
    <xf numFmtId="0" fontId="8" fillId="0" borderId="0" xfId="0" applyFont="1" applyAlignment="1">
      <alignment horizontal="left" indent="1"/>
    </xf>
    <xf numFmtId="0" fontId="8" fillId="0" borderId="7" xfId="0" applyFont="1" applyBorder="1"/>
    <xf numFmtId="164" fontId="8" fillId="0" borderId="7" xfId="0" applyNumberFormat="1" applyFont="1" applyBorder="1"/>
    <xf numFmtId="0" fontId="22" fillId="0" borderId="7" xfId="0" applyFont="1" applyBorder="1"/>
    <xf numFmtId="164" fontId="22" fillId="0" borderId="7" xfId="0" applyNumberFormat="1" applyFont="1" applyBorder="1"/>
    <xf numFmtId="9" fontId="0" fillId="3" borderId="0" xfId="0" applyNumberFormat="1" applyFill="1" applyAlignment="1">
      <alignment horizontal="left" indent="2"/>
    </xf>
    <xf numFmtId="0" fontId="8" fillId="3" borderId="0" xfId="0" applyFont="1" applyFill="1"/>
    <xf numFmtId="9" fontId="8" fillId="3" borderId="0" xfId="0" applyNumberFormat="1" applyFont="1" applyFill="1" applyAlignment="1">
      <alignment horizontal="left" indent="2"/>
    </xf>
    <xf numFmtId="0" fontId="8" fillId="3" borderId="0" xfId="0" applyFont="1" applyFill="1" applyAlignment="1">
      <alignment horizontal="left"/>
    </xf>
    <xf numFmtId="0" fontId="0" fillId="18" borderId="0" xfId="0" applyFill="1"/>
    <xf numFmtId="0" fontId="18" fillId="18" borderId="0" xfId="0" applyFont="1" applyFill="1"/>
    <xf numFmtId="0" fontId="3" fillId="9" borderId="0" xfId="0" applyFont="1" applyFill="1"/>
    <xf numFmtId="0" fontId="0" fillId="6" borderId="0" xfId="0" applyFill="1" applyAlignment="1"/>
    <xf numFmtId="0" fontId="9" fillId="0" borderId="0" xfId="0" applyFont="1"/>
    <xf numFmtId="0" fontId="1" fillId="19" borderId="0" xfId="0" applyFont="1" applyFill="1"/>
    <xf numFmtId="0" fontId="4" fillId="19" borderId="0" xfId="0" applyFont="1" applyFill="1"/>
    <xf numFmtId="0" fontId="4" fillId="19" borderId="0" xfId="0" applyFont="1" applyFill="1" applyAlignment="1">
      <alignment horizontal="center"/>
    </xf>
    <xf numFmtId="0" fontId="0" fillId="19" borderId="0" xfId="0" applyFill="1"/>
    <xf numFmtId="164" fontId="0" fillId="19" borderId="0" xfId="0" applyNumberFormat="1" applyFill="1" applyAlignment="1">
      <alignment horizontal="left"/>
    </xf>
    <xf numFmtId="0" fontId="0" fillId="19" borderId="0" xfId="0" applyFill="1" applyAlignment="1">
      <alignment horizontal="left"/>
    </xf>
    <xf numFmtId="164" fontId="4" fillId="19" borderId="0" xfId="0" applyNumberFormat="1" applyFont="1" applyFill="1" applyAlignment="1">
      <alignment horizontal="center"/>
    </xf>
    <xf numFmtId="164" fontId="8" fillId="3" borderId="0" xfId="0" applyNumberFormat="1" applyFont="1" applyFill="1"/>
    <xf numFmtId="10" fontId="4" fillId="3" borderId="0" xfId="0" applyNumberFormat="1" applyFont="1" applyFill="1"/>
    <xf numFmtId="1" fontId="10" fillId="0" borderId="0" xfId="0" applyNumberFormat="1" applyFont="1" applyAlignment="1">
      <alignment horizontal="center"/>
    </xf>
    <xf numFmtId="0" fontId="16" fillId="3" borderId="0" xfId="0" applyFont="1" applyFill="1" applyAlignment="1">
      <alignment horizontal="right"/>
    </xf>
    <xf numFmtId="164" fontId="4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vertical="center" wrapText="1"/>
    </xf>
    <xf numFmtId="10" fontId="4" fillId="0" borderId="0" xfId="0" applyNumberFormat="1" applyFont="1"/>
    <xf numFmtId="10" fontId="0" fillId="3" borderId="0" xfId="0" applyNumberFormat="1" applyFill="1"/>
    <xf numFmtId="0" fontId="16" fillId="3" borderId="0" xfId="0" applyFont="1" applyFill="1" applyAlignment="1">
      <alignment wrapText="1"/>
    </xf>
    <xf numFmtId="0" fontId="16" fillId="9" borderId="0" xfId="0" applyFont="1" applyFill="1" applyAlignment="1">
      <alignment wrapText="1"/>
    </xf>
    <xf numFmtId="0" fontId="23" fillId="0" borderId="0" xfId="0" applyFont="1"/>
    <xf numFmtId="10" fontId="10" fillId="3" borderId="0" xfId="0" applyNumberFormat="1" applyFont="1" applyFill="1"/>
    <xf numFmtId="0" fontId="10" fillId="0" borderId="0" xfId="0" applyNumberFormat="1" applyFont="1"/>
    <xf numFmtId="0" fontId="10" fillId="3" borderId="0" xfId="0" applyNumberFormat="1" applyFont="1" applyFill="1" applyAlignment="1">
      <alignment horizontal="center"/>
    </xf>
    <xf numFmtId="1" fontId="10" fillId="3" borderId="0" xfId="0" applyNumberFormat="1" applyFont="1" applyFill="1" applyAlignment="1">
      <alignment horizontal="center"/>
    </xf>
    <xf numFmtId="164" fontId="10" fillId="0" borderId="0" xfId="1" applyNumberFormat="1" applyFont="1" applyAlignment="1">
      <alignment horizontal="center"/>
    </xf>
    <xf numFmtId="164" fontId="10" fillId="0" borderId="0" xfId="1" applyNumberFormat="1" applyFont="1"/>
    <xf numFmtId="10" fontId="10" fillId="0" borderId="0" xfId="0" applyNumberFormat="1" applyFont="1"/>
    <xf numFmtId="0" fontId="16" fillId="3" borderId="0" xfId="0" applyFont="1" applyFill="1" applyAlignment="1">
      <alignment vertical="center" wrapText="1"/>
    </xf>
    <xf numFmtId="10" fontId="10" fillId="3" borderId="0" xfId="0" applyNumberFormat="1" applyFont="1" applyFill="1" applyAlignment="1">
      <alignment wrapText="1"/>
    </xf>
    <xf numFmtId="0" fontId="7" fillId="3" borderId="0" xfId="0" applyFont="1" applyFill="1" applyAlignment="1">
      <alignment wrapText="1"/>
    </xf>
    <xf numFmtId="0" fontId="7" fillId="3" borderId="0" xfId="0" applyFont="1" applyFill="1" applyAlignment="1">
      <alignment horizontal="center" vertical="center" wrapText="1"/>
    </xf>
    <xf numFmtId="0" fontId="16" fillId="3" borderId="0" xfId="0" applyFont="1" applyFill="1" applyBorder="1"/>
    <xf numFmtId="0" fontId="0" fillId="0" borderId="0" xfId="0" applyBorder="1"/>
    <xf numFmtId="0" fontId="16" fillId="3" borderId="0" xfId="0" applyFont="1" applyFill="1" applyBorder="1" applyAlignment="1">
      <alignment horizontal="center"/>
    </xf>
    <xf numFmtId="164" fontId="10" fillId="3" borderId="0" xfId="0" applyNumberFormat="1" applyFont="1" applyFill="1" applyBorder="1" applyAlignment="1">
      <alignment horizontal="left"/>
    </xf>
    <xf numFmtId="0" fontId="10" fillId="3" borderId="0" xfId="0" applyFont="1" applyFill="1" applyBorder="1"/>
    <xf numFmtId="0" fontId="16" fillId="3" borderId="0" xfId="0" applyFont="1" applyFill="1" applyBorder="1" applyAlignment="1">
      <alignment horizontal="left"/>
    </xf>
    <xf numFmtId="164" fontId="10" fillId="3" borderId="0" xfId="0" applyNumberFormat="1" applyFont="1" applyFill="1" applyBorder="1" applyAlignment="1">
      <alignment horizontal="left" wrapText="1"/>
    </xf>
    <xf numFmtId="0" fontId="16" fillId="3" borderId="0" xfId="0" applyFont="1" applyFill="1" applyBorder="1" applyAlignment="1">
      <alignment horizontal="left" indent="1"/>
    </xf>
    <xf numFmtId="164" fontId="0" fillId="3" borderId="0" xfId="0" applyNumberForma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164" fontId="2" fillId="3" borderId="0" xfId="0" applyNumberFormat="1" applyFont="1" applyFill="1" applyBorder="1" applyAlignment="1">
      <alignment horizontal="right"/>
    </xf>
    <xf numFmtId="9" fontId="2" fillId="3" borderId="0" xfId="3" applyFont="1" applyFill="1" applyBorder="1" applyAlignment="1">
      <alignment horizontal="right"/>
    </xf>
    <xf numFmtId="0" fontId="10" fillId="3" borderId="0" xfId="0" applyFont="1" applyFill="1" applyBorder="1" applyAlignment="1">
      <alignment horizontal="left"/>
    </xf>
    <xf numFmtId="0" fontId="0" fillId="3" borderId="0" xfId="0" applyFill="1" applyBorder="1"/>
    <xf numFmtId="0" fontId="1" fillId="3" borderId="0" xfId="0" applyFont="1" applyFill="1" applyBorder="1"/>
    <xf numFmtId="164" fontId="10" fillId="0" borderId="0" xfId="0" applyNumberFormat="1" applyFont="1" applyBorder="1"/>
    <xf numFmtId="164" fontId="10" fillId="3" borderId="0" xfId="0" applyNumberFormat="1" applyFont="1" applyFill="1" applyBorder="1"/>
    <xf numFmtId="0" fontId="1" fillId="9" borderId="0" xfId="0" applyFont="1" applyFill="1" applyBorder="1"/>
    <xf numFmtId="0" fontId="25" fillId="0" borderId="0" xfId="0" applyFont="1" applyAlignment="1">
      <alignment horizontal="left"/>
    </xf>
    <xf numFmtId="0" fontId="25" fillId="3" borderId="0" xfId="0" applyFont="1" applyFill="1" applyAlignment="1">
      <alignment horizontal="left"/>
    </xf>
    <xf numFmtId="0" fontId="10" fillId="19" borderId="0" xfId="0" applyFont="1" applyFill="1"/>
    <xf numFmtId="9" fontId="4" fillId="3" borderId="0" xfId="0" applyNumberFormat="1" applyFont="1" applyFill="1"/>
    <xf numFmtId="0" fontId="26" fillId="3" borderId="0" xfId="0" applyFont="1" applyFill="1" applyAlignment="1">
      <alignment horizontal="left"/>
    </xf>
    <xf numFmtId="164" fontId="4" fillId="3" borderId="0" xfId="0" applyNumberFormat="1" applyFont="1" applyFill="1"/>
    <xf numFmtId="9" fontId="4" fillId="19" borderId="0" xfId="0" applyNumberFormat="1" applyFont="1" applyFill="1"/>
    <xf numFmtId="0" fontId="25" fillId="19" borderId="0" xfId="0" applyFont="1" applyFill="1" applyAlignment="1">
      <alignment horizontal="left"/>
    </xf>
    <xf numFmtId="0" fontId="10" fillId="19" borderId="0" xfId="0" applyFont="1" applyFill="1" applyAlignment="1">
      <alignment horizontal="center"/>
    </xf>
    <xf numFmtId="1" fontId="10" fillId="19" borderId="0" xfId="0" applyNumberFormat="1" applyFont="1" applyFill="1" applyAlignment="1">
      <alignment horizontal="center"/>
    </xf>
    <xf numFmtId="164" fontId="10" fillId="19" borderId="0" xfId="0" applyNumberFormat="1" applyFont="1" applyFill="1" applyAlignment="1">
      <alignment horizontal="center"/>
    </xf>
    <xf numFmtId="164" fontId="10" fillId="19" borderId="0" xfId="1" applyNumberFormat="1" applyFont="1" applyFill="1" applyAlignment="1">
      <alignment horizontal="center"/>
    </xf>
    <xf numFmtId="164" fontId="10" fillId="19" borderId="0" xfId="1" applyNumberFormat="1" applyFont="1" applyFill="1"/>
    <xf numFmtId="0" fontId="3" fillId="19" borderId="0" xfId="0" applyFont="1" applyFill="1" applyAlignment="1">
      <alignment horizontal="left"/>
    </xf>
    <xf numFmtId="164" fontId="10" fillId="3" borderId="0" xfId="0" applyNumberFormat="1" applyFont="1" applyFill="1"/>
    <xf numFmtId="2" fontId="10" fillId="3" borderId="0" xfId="0" applyNumberFormat="1" applyFont="1" applyFill="1"/>
    <xf numFmtId="0" fontId="16" fillId="3" borderId="0" xfId="0" applyFont="1" applyFill="1" applyBorder="1" applyAlignment="1">
      <alignment horizontal="right"/>
    </xf>
    <xf numFmtId="164" fontId="10" fillId="3" borderId="0" xfId="0" applyNumberFormat="1" applyFont="1" applyFill="1" applyBorder="1" applyAlignment="1">
      <alignment horizontal="right" wrapText="1"/>
    </xf>
    <xf numFmtId="164" fontId="10" fillId="3" borderId="0" xfId="0" applyNumberFormat="1" applyFont="1" applyFill="1" applyBorder="1" applyAlignment="1">
      <alignment horizontal="right"/>
    </xf>
    <xf numFmtId="164" fontId="10" fillId="3" borderId="0" xfId="0" applyNumberFormat="1" applyFont="1" applyFill="1" applyBorder="1" applyAlignment="1">
      <alignment horizontal="center"/>
    </xf>
    <xf numFmtId="2" fontId="10" fillId="3" borderId="0" xfId="0" applyNumberFormat="1" applyFont="1" applyFill="1" applyBorder="1" applyAlignment="1">
      <alignment horizontal="center"/>
    </xf>
    <xf numFmtId="2" fontId="10" fillId="3" borderId="0" xfId="0" applyNumberFormat="1" applyFont="1" applyFill="1" applyBorder="1"/>
    <xf numFmtId="164" fontId="0" fillId="3" borderId="0" xfId="0" applyNumberForma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left"/>
    </xf>
    <xf numFmtId="164" fontId="18" fillId="3" borderId="0" xfId="0" applyNumberFormat="1" applyFont="1" applyFill="1" applyBorder="1" applyAlignment="1">
      <alignment horizontal="left"/>
    </xf>
    <xf numFmtId="164" fontId="23" fillId="0" borderId="0" xfId="0" applyNumberFormat="1" applyFont="1" applyAlignment="1">
      <alignment horizontal="right"/>
    </xf>
    <xf numFmtId="164" fontId="23" fillId="0" borderId="0" xfId="0" applyNumberFormat="1" applyFont="1"/>
    <xf numFmtId="164" fontId="23" fillId="3" borderId="0" xfId="0" applyNumberFormat="1" applyFont="1" applyFill="1" applyBorder="1" applyAlignment="1">
      <alignment horizontal="left"/>
    </xf>
    <xf numFmtId="164" fontId="23" fillId="3" borderId="0" xfId="0" applyNumberFormat="1" applyFont="1" applyFill="1" applyBorder="1" applyAlignment="1">
      <alignment horizontal="center"/>
    </xf>
    <xf numFmtId="164" fontId="23" fillId="3" borderId="0" xfId="0" applyNumberFormat="1" applyFont="1" applyFill="1"/>
    <xf numFmtId="169" fontId="4" fillId="3" borderId="0" xfId="0" applyNumberFormat="1" applyFont="1" applyFill="1"/>
    <xf numFmtId="10" fontId="0" fillId="3" borderId="0" xfId="0" applyNumberFormat="1" applyFont="1" applyFill="1" applyAlignment="1">
      <alignment horizontal="left" indent="2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indent="1"/>
    </xf>
    <xf numFmtId="0" fontId="4" fillId="0" borderId="7" xfId="0" applyFont="1" applyBorder="1"/>
    <xf numFmtId="164" fontId="4" fillId="0" borderId="7" xfId="0" applyNumberFormat="1" applyFont="1" applyBorder="1"/>
    <xf numFmtId="0" fontId="3" fillId="0" borderId="7" xfId="0" applyFont="1" applyBorder="1"/>
    <xf numFmtId="164" fontId="3" fillId="0" borderId="7" xfId="0" applyNumberFormat="1" applyFont="1" applyBorder="1"/>
    <xf numFmtId="0" fontId="17" fillId="0" borderId="0" xfId="0" applyFont="1"/>
    <xf numFmtId="164" fontId="17" fillId="0" borderId="0" xfId="0" applyNumberFormat="1" applyFont="1"/>
    <xf numFmtId="0" fontId="17" fillId="0" borderId="0" xfId="0" applyFont="1" applyAlignment="1">
      <alignment horizontal="left" indent="1"/>
    </xf>
    <xf numFmtId="0" fontId="17" fillId="0" borderId="7" xfId="0" applyFont="1" applyBorder="1"/>
    <xf numFmtId="164" fontId="17" fillId="0" borderId="7" xfId="0" applyNumberFormat="1" applyFont="1" applyBorder="1"/>
    <xf numFmtId="0" fontId="27" fillId="0" borderId="7" xfId="0" applyFont="1" applyBorder="1"/>
    <xf numFmtId="164" fontId="27" fillId="0" borderId="7" xfId="0" applyNumberFormat="1" applyFont="1" applyBorder="1"/>
    <xf numFmtId="10" fontId="17" fillId="0" borderId="0" xfId="0" applyNumberFormat="1" applyFont="1"/>
    <xf numFmtId="9" fontId="4" fillId="0" borderId="0" xfId="0" applyNumberFormat="1" applyFont="1"/>
    <xf numFmtId="0" fontId="18" fillId="7" borderId="0" xfId="0" applyFont="1" applyFill="1"/>
    <xf numFmtId="0" fontId="4" fillId="7" borderId="0" xfId="0" applyFont="1" applyFill="1"/>
    <xf numFmtId="0" fontId="0" fillId="7" borderId="0" xfId="0" applyFill="1" applyAlignment="1">
      <alignment horizontal="left"/>
    </xf>
    <xf numFmtId="164" fontId="0" fillId="7" borderId="0" xfId="1" applyNumberFormat="1" applyFont="1" applyFill="1"/>
    <xf numFmtId="2" fontId="4" fillId="3" borderId="0" xfId="0" applyNumberFormat="1" applyFont="1" applyFill="1"/>
    <xf numFmtId="9" fontId="0" fillId="0" borderId="0" xfId="0" applyNumberFormat="1" applyFont="1" applyAlignment="1">
      <alignment horizontal="left" indent="2"/>
    </xf>
    <xf numFmtId="9" fontId="8" fillId="3" borderId="0" xfId="0" applyNumberFormat="1" applyFont="1" applyFill="1"/>
    <xf numFmtId="0" fontId="3" fillId="5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10" fontId="4" fillId="2" borderId="0" xfId="0" applyNumberFormat="1" applyFont="1" applyFill="1"/>
    <xf numFmtId="0" fontId="27" fillId="0" borderId="0" xfId="0" applyFont="1"/>
    <xf numFmtId="164" fontId="3" fillId="3" borderId="0" xfId="0" applyNumberFormat="1" applyFont="1" applyFill="1" applyBorder="1"/>
    <xf numFmtId="164" fontId="27" fillId="3" borderId="0" xfId="0" applyNumberFormat="1" applyFont="1" applyFill="1" applyBorder="1"/>
    <xf numFmtId="164" fontId="22" fillId="3" borderId="0" xfId="0" applyNumberFormat="1" applyFont="1" applyFill="1" applyBorder="1"/>
    <xf numFmtId="0" fontId="0" fillId="3" borderId="0" xfId="0" applyFill="1" applyBorder="1" applyAlignment="1">
      <alignment horizontal="right"/>
    </xf>
    <xf numFmtId="10" fontId="0" fillId="3" borderId="0" xfId="0" applyNumberFormat="1" applyFill="1" applyAlignment="1">
      <alignment horizontal="right"/>
    </xf>
    <xf numFmtId="164" fontId="0" fillId="0" borderId="0" xfId="0" applyNumberFormat="1" applyBorder="1"/>
    <xf numFmtId="164" fontId="0" fillId="3" borderId="0" xfId="0" applyNumberFormat="1" applyFill="1" applyBorder="1"/>
    <xf numFmtId="0" fontId="0" fillId="15" borderId="0" xfId="0" applyFill="1" applyBorder="1"/>
    <xf numFmtId="164" fontId="0" fillId="15" borderId="0" xfId="0" applyNumberFormat="1" applyFill="1" applyBorder="1"/>
    <xf numFmtId="10" fontId="0" fillId="15" borderId="0" xfId="0" applyNumberFormat="1" applyFill="1" applyBorder="1"/>
    <xf numFmtId="164" fontId="0" fillId="15" borderId="1" xfId="0" applyNumberFormat="1" applyFill="1" applyBorder="1"/>
    <xf numFmtId="164" fontId="0" fillId="15" borderId="8" xfId="1" applyNumberFormat="1" applyFont="1" applyFill="1" applyBorder="1"/>
    <xf numFmtId="164" fontId="0" fillId="15" borderId="8" xfId="0" applyNumberFormat="1" applyFill="1" applyBorder="1"/>
    <xf numFmtId="164" fontId="0" fillId="15" borderId="3" xfId="0" applyNumberFormat="1" applyFill="1" applyBorder="1"/>
    <xf numFmtId="0" fontId="29" fillId="15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1" fillId="15" borderId="0" xfId="0" applyFont="1" applyFill="1" applyBorder="1"/>
    <xf numFmtId="0" fontId="1" fillId="3" borderId="0" xfId="0" applyFont="1" applyFill="1" applyBorder="1" applyAlignment="1">
      <alignment horizontal="center"/>
    </xf>
    <xf numFmtId="0" fontId="0" fillId="7" borderId="0" xfId="0" applyFill="1" applyBorder="1"/>
    <xf numFmtId="164" fontId="0" fillId="7" borderId="0" xfId="0" applyNumberFormat="1" applyFill="1" applyBorder="1"/>
    <xf numFmtId="8" fontId="0" fillId="0" borderId="0" xfId="0" applyNumberFormat="1"/>
    <xf numFmtId="8" fontId="0" fillId="3" borderId="0" xfId="0" applyNumberFormat="1" applyFill="1" applyBorder="1"/>
    <xf numFmtId="164" fontId="0" fillId="7" borderId="0" xfId="0" applyNumberFormat="1" applyFill="1"/>
    <xf numFmtId="164" fontId="30" fillId="0" borderId="0" xfId="0" applyNumberFormat="1" applyFont="1" applyAlignment="1">
      <alignment horizontal="center"/>
    </xf>
    <xf numFmtId="9" fontId="17" fillId="0" borderId="0" xfId="0" applyNumberFormat="1" applyFont="1"/>
    <xf numFmtId="164" fontId="0" fillId="3" borderId="0" xfId="0" applyNumberFormat="1" applyFont="1" applyFill="1"/>
    <xf numFmtId="0" fontId="1" fillId="7" borderId="0" xfId="0" applyFont="1" applyFill="1"/>
    <xf numFmtId="9" fontId="0" fillId="7" borderId="0" xfId="0" applyNumberFormat="1" applyFill="1"/>
    <xf numFmtId="10" fontId="0" fillId="7" borderId="0" xfId="0" applyNumberFormat="1" applyFill="1"/>
    <xf numFmtId="164" fontId="8" fillId="21" borderId="0" xfId="0" applyNumberFormat="1" applyFont="1" applyFill="1"/>
    <xf numFmtId="0" fontId="1" fillId="20" borderId="0" xfId="0" applyFont="1" applyFill="1" applyAlignment="1">
      <alignment horizontal="left"/>
    </xf>
    <xf numFmtId="0" fontId="1" fillId="20" borderId="0" xfId="0" applyFont="1" applyFill="1" applyAlignment="1">
      <alignment horizontal="center"/>
    </xf>
    <xf numFmtId="0" fontId="0" fillId="21" borderId="0" xfId="0" applyFont="1" applyFill="1"/>
    <xf numFmtId="164" fontId="0" fillId="21" borderId="0" xfId="0" applyNumberFormat="1" applyFont="1" applyFill="1"/>
    <xf numFmtId="0" fontId="0" fillId="21" borderId="0" xfId="0" applyFill="1"/>
    <xf numFmtId="0" fontId="3" fillId="3" borderId="0" xfId="0" applyFont="1" applyFill="1"/>
    <xf numFmtId="0" fontId="18" fillId="3" borderId="0" xfId="0" applyFont="1" applyFill="1"/>
    <xf numFmtId="0" fontId="18" fillId="22" borderId="0" xfId="0" applyFont="1" applyFill="1"/>
    <xf numFmtId="0" fontId="16" fillId="23" borderId="0" xfId="0" applyNumberFormat="1" applyFont="1" applyFill="1" applyAlignment="1">
      <alignment horizontal="left"/>
    </xf>
    <xf numFmtId="0" fontId="16" fillId="23" borderId="0" xfId="0" applyNumberFormat="1" applyFont="1" applyFill="1" applyAlignment="1">
      <alignment horizontal="right"/>
    </xf>
    <xf numFmtId="0" fontId="16" fillId="23" borderId="0" xfId="0" applyFont="1" applyFill="1" applyAlignment="1">
      <alignment horizontal="left"/>
    </xf>
    <xf numFmtId="1" fontId="16" fillId="23" borderId="0" xfId="0" applyNumberFormat="1" applyFont="1" applyFill="1" applyAlignment="1">
      <alignment horizontal="right"/>
    </xf>
    <xf numFmtId="0" fontId="16" fillId="23" borderId="0" xfId="0" applyFont="1" applyFill="1"/>
    <xf numFmtId="0" fontId="3" fillId="23" borderId="0" xfId="0" applyFont="1" applyFill="1"/>
    <xf numFmtId="0" fontId="0" fillId="24" borderId="0" xfId="0" applyFill="1"/>
    <xf numFmtId="0" fontId="31" fillId="24" borderId="0" xfId="0" applyFont="1" applyFill="1"/>
    <xf numFmtId="0" fontId="0" fillId="24" borderId="0" xfId="0" applyFont="1" applyFill="1"/>
    <xf numFmtId="0" fontId="0" fillId="22" borderId="0" xfId="0" applyFill="1"/>
    <xf numFmtId="166" fontId="0" fillId="6" borderId="0" xfId="1" applyNumberFormat="1" applyFont="1" applyFill="1" applyAlignment="1">
      <alignment horizontal="left"/>
    </xf>
    <xf numFmtId="164" fontId="1" fillId="3" borderId="0" xfId="0" applyNumberFormat="1" applyFont="1" applyFill="1" applyBorder="1"/>
    <xf numFmtId="9" fontId="0" fillId="3" borderId="0" xfId="3" applyFont="1" applyFill="1" applyBorder="1" applyAlignment="1">
      <alignment horizontal="center"/>
    </xf>
    <xf numFmtId="9" fontId="0" fillId="3" borderId="0" xfId="0" applyNumberFormat="1" applyFill="1" applyBorder="1" applyAlignment="1">
      <alignment horizontal="center"/>
    </xf>
    <xf numFmtId="9" fontId="2" fillId="3" borderId="0" xfId="3" applyFont="1" applyFill="1" applyBorder="1" applyAlignment="1">
      <alignment horizontal="center"/>
    </xf>
    <xf numFmtId="164" fontId="28" fillId="3" borderId="0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9" fontId="0" fillId="3" borderId="0" xfId="3" applyFont="1" applyFill="1" applyAlignment="1">
      <alignment horizontal="center"/>
    </xf>
    <xf numFmtId="1" fontId="27" fillId="15" borderId="0" xfId="0" applyNumberFormat="1" applyFont="1" applyFill="1" applyBorder="1"/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right"/>
    </xf>
    <xf numFmtId="10" fontId="0" fillId="23" borderId="0" xfId="0" applyNumberFormat="1" applyFont="1" applyFill="1" applyAlignment="1">
      <alignment horizontal="left" indent="2"/>
    </xf>
    <xf numFmtId="0" fontId="1" fillId="23" borderId="0" xfId="0" applyFont="1" applyFill="1" applyAlignment="1">
      <alignment horizontal="left"/>
    </xf>
    <xf numFmtId="164" fontId="0" fillId="23" borderId="0" xfId="0" applyNumberFormat="1" applyFill="1"/>
    <xf numFmtId="0" fontId="4" fillId="3" borderId="0" xfId="0" applyFont="1" applyFill="1" applyBorder="1"/>
    <xf numFmtId="0" fontId="3" fillId="3" borderId="0" xfId="0" applyFont="1" applyFill="1" applyBorder="1" applyAlignment="1">
      <alignment horizontal="center"/>
    </xf>
    <xf numFmtId="164" fontId="4" fillId="3" borderId="0" xfId="0" applyNumberFormat="1" applyFont="1" applyFill="1" applyBorder="1"/>
    <xf numFmtId="164" fontId="4" fillId="3" borderId="0" xfId="0" applyNumberFormat="1" applyFont="1" applyFill="1" applyBorder="1" applyAlignment="1">
      <alignment horizontal="right"/>
    </xf>
    <xf numFmtId="9" fontId="0" fillId="3" borderId="0" xfId="3" applyFont="1" applyFill="1"/>
    <xf numFmtId="0" fontId="8" fillId="3" borderId="0" xfId="0" applyFont="1" applyFill="1" applyBorder="1"/>
    <xf numFmtId="0" fontId="22" fillId="17" borderId="0" xfId="0" applyFont="1" applyFill="1" applyBorder="1" applyAlignment="1">
      <alignment horizontal="center"/>
    </xf>
    <xf numFmtId="0" fontId="19" fillId="17" borderId="0" xfId="0" applyFont="1" applyFill="1" applyBorder="1" applyAlignment="1">
      <alignment horizontal="center"/>
    </xf>
    <xf numFmtId="164" fontId="0" fillId="3" borderId="0" xfId="0" applyNumberFormat="1" applyFont="1" applyFill="1" applyBorder="1"/>
    <xf numFmtId="164" fontId="8" fillId="3" borderId="0" xfId="0" applyNumberFormat="1" applyFont="1" applyFill="1" applyBorder="1"/>
    <xf numFmtId="164" fontId="17" fillId="3" borderId="0" xfId="0" applyNumberFormat="1" applyFont="1" applyFill="1" applyBorder="1"/>
    <xf numFmtId="0" fontId="17" fillId="3" borderId="0" xfId="0" applyFont="1" applyFill="1" applyBorder="1"/>
    <xf numFmtId="164" fontId="0" fillId="23" borderId="0" xfId="0" applyNumberFormat="1" applyFont="1" applyFill="1" applyAlignment="1">
      <alignment horizontal="center"/>
    </xf>
    <xf numFmtId="164" fontId="0" fillId="23" borderId="0" xfId="0" applyNumberFormat="1" applyFill="1" applyAlignment="1">
      <alignment horizontal="center"/>
    </xf>
    <xf numFmtId="9" fontId="28" fillId="23" borderId="0" xfId="0" applyNumberFormat="1" applyFont="1" applyFill="1" applyAlignment="1"/>
    <xf numFmtId="0" fontId="28" fillId="23" borderId="0" xfId="0" applyFont="1" applyFill="1" applyAlignment="1">
      <alignment horizontal="left"/>
    </xf>
    <xf numFmtId="10" fontId="28" fillId="23" borderId="0" xfId="3" applyNumberFormat="1" applyFont="1" applyFill="1" applyAlignment="1">
      <alignment horizontal="right"/>
    </xf>
    <xf numFmtId="9" fontId="28" fillId="23" borderId="0" xfId="0" applyNumberFormat="1" applyFont="1" applyFill="1" applyAlignment="1">
      <alignment horizontal="left"/>
    </xf>
    <xf numFmtId="0" fontId="28" fillId="23" borderId="0" xfId="0" applyFont="1" applyFill="1"/>
    <xf numFmtId="10" fontId="28" fillId="23" borderId="0" xfId="3" applyNumberFormat="1" applyFont="1" applyFill="1"/>
    <xf numFmtId="164" fontId="9" fillId="3" borderId="0" xfId="0" applyNumberFormat="1" applyFont="1" applyFill="1" applyBorder="1"/>
    <xf numFmtId="10" fontId="9" fillId="3" borderId="0" xfId="3" applyNumberFormat="1" applyFont="1" applyFill="1" applyBorder="1"/>
    <xf numFmtId="0" fontId="18" fillId="3" borderId="0" xfId="0" applyFont="1" applyFill="1" applyBorder="1"/>
    <xf numFmtId="164" fontId="0" fillId="0" borderId="0" xfId="0" applyNumberFormat="1" applyBorder="1" applyAlignment="1"/>
    <xf numFmtId="0" fontId="0" fillId="0" borderId="0" xfId="0" applyNumberFormat="1" applyBorder="1" applyAlignment="1">
      <alignment horizontal="left"/>
    </xf>
    <xf numFmtId="0" fontId="0" fillId="25" borderId="8" xfId="0" applyFill="1" applyBorder="1"/>
    <xf numFmtId="164" fontId="0" fillId="25" borderId="8" xfId="0" applyNumberFormat="1" applyFill="1" applyBorder="1"/>
    <xf numFmtId="0" fontId="1" fillId="25" borderId="0" xfId="0" applyFont="1" applyFill="1" applyBorder="1"/>
    <xf numFmtId="0" fontId="0" fillId="25" borderId="0" xfId="0" applyFill="1" applyBorder="1"/>
    <xf numFmtId="164" fontId="0" fillId="25" borderId="0" xfId="0" applyNumberFormat="1" applyFill="1" applyBorder="1"/>
    <xf numFmtId="0" fontId="0" fillId="25" borderId="1" xfId="0" applyFill="1" applyBorder="1"/>
    <xf numFmtId="164" fontId="2" fillId="7" borderId="0" xfId="0" applyNumberFormat="1" applyFont="1" applyFill="1"/>
    <xf numFmtId="0" fontId="2" fillId="7" borderId="0" xfId="0" applyFont="1" applyFill="1"/>
    <xf numFmtId="0" fontId="0" fillId="7" borderId="1" xfId="0" applyFill="1" applyBorder="1"/>
    <xf numFmtId="0" fontId="0" fillId="4" borderId="8" xfId="0" applyFill="1" applyBorder="1"/>
    <xf numFmtId="0" fontId="1" fillId="4" borderId="0" xfId="0" applyFont="1" applyFill="1"/>
    <xf numFmtId="8" fontId="0" fillId="4" borderId="0" xfId="0" applyNumberFormat="1" applyFill="1"/>
    <xf numFmtId="164" fontId="1" fillId="4" borderId="0" xfId="0" applyNumberFormat="1" applyFont="1" applyFill="1"/>
    <xf numFmtId="164" fontId="0" fillId="4" borderId="0" xfId="0" applyNumberFormat="1" applyFill="1"/>
    <xf numFmtId="164" fontId="0" fillId="4" borderId="0" xfId="3" applyNumberFormat="1" applyFont="1" applyFill="1"/>
    <xf numFmtId="0" fontId="0" fillId="4" borderId="1" xfId="0" applyFill="1" applyBorder="1"/>
    <xf numFmtId="164" fontId="18" fillId="3" borderId="0" xfId="0" applyNumberFormat="1" applyFont="1" applyFill="1" applyBorder="1"/>
    <xf numFmtId="0" fontId="7" fillId="0" borderId="0" xfId="0" applyFont="1" applyAlignment="1">
      <alignment horizontal="center"/>
    </xf>
    <xf numFmtId="164" fontId="7" fillId="3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167" fontId="23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8" fontId="1" fillId="3" borderId="0" xfId="0" applyNumberFormat="1" applyFont="1" applyFill="1" applyBorder="1"/>
    <xf numFmtId="8" fontId="0" fillId="7" borderId="0" xfId="0" applyNumberFormat="1" applyFill="1" applyBorder="1"/>
    <xf numFmtId="8" fontId="0" fillId="4" borderId="0" xfId="0" applyNumberFormat="1" applyFill="1" applyBorder="1"/>
    <xf numFmtId="8" fontId="0" fillId="7" borderId="1" xfId="0" applyNumberFormat="1" applyFill="1" applyBorder="1"/>
    <xf numFmtId="0" fontId="1" fillId="9" borderId="1" xfId="0" applyFont="1" applyFill="1" applyBorder="1"/>
    <xf numFmtId="0" fontId="1" fillId="9" borderId="1" xfId="0" applyFont="1" applyFill="1" applyBorder="1" applyAlignment="1">
      <alignment horizontal="right"/>
    </xf>
    <xf numFmtId="164" fontId="1" fillId="9" borderId="1" xfId="0" applyNumberFormat="1" applyFont="1" applyFill="1" applyBorder="1"/>
    <xf numFmtId="164" fontId="1" fillId="9" borderId="1" xfId="0" applyNumberFormat="1" applyFont="1" applyFill="1" applyBorder="1" applyAlignment="1">
      <alignment horizontal="right"/>
    </xf>
    <xf numFmtId="0" fontId="0" fillId="9" borderId="1" xfId="0" applyFill="1" applyBorder="1"/>
    <xf numFmtId="9" fontId="0" fillId="0" borderId="0" xfId="0" applyNumberFormat="1" applyBorder="1"/>
    <xf numFmtId="164" fontId="0" fillId="0" borderId="0" xfId="0" applyNumberFormat="1" applyAlignment="1">
      <alignment wrapText="1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vertical="center" wrapText="1"/>
    </xf>
    <xf numFmtId="164" fontId="1" fillId="9" borderId="0" xfId="0" applyNumberFormat="1" applyFont="1" applyFill="1"/>
    <xf numFmtId="164" fontId="1" fillId="3" borderId="0" xfId="0" applyNumberFormat="1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ill="1" applyBorder="1"/>
    <xf numFmtId="0" fontId="0" fillId="20" borderId="0" xfId="0" applyFont="1" applyFill="1" applyAlignment="1">
      <alignment horizontal="center"/>
    </xf>
    <xf numFmtId="0" fontId="8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left" indent="2"/>
    </xf>
    <xf numFmtId="0" fontId="8" fillId="0" borderId="0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3" borderId="0" xfId="0" applyFont="1" applyFill="1" applyAlignment="1">
      <alignment horizontal="center" wrapText="1"/>
    </xf>
    <xf numFmtId="0" fontId="16" fillId="9" borderId="0" xfId="0" applyFont="1" applyFill="1" applyAlignment="1">
      <alignment horizontal="center" vertical="center" wrapText="1"/>
    </xf>
    <xf numFmtId="0" fontId="16" fillId="9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vertical="center" wrapText="1"/>
    </xf>
    <xf numFmtId="0" fontId="0" fillId="7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1" fillId="5" borderId="0" xfId="0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6" fontId="0" fillId="6" borderId="0" xfId="1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64" fontId="0" fillId="3" borderId="0" xfId="0" applyNumberFormat="1" applyFill="1" applyAlignment="1">
      <alignment vertical="center"/>
    </xf>
    <xf numFmtId="0" fontId="0" fillId="3" borderId="0" xfId="0" applyFill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64" fontId="1" fillId="15" borderId="7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1" fillId="7" borderId="7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164" fontId="0" fillId="0" borderId="0" xfId="0" applyNumberFormat="1" applyAlignment="1">
      <alignment horizontal="left" vertical="center" wrapText="1"/>
    </xf>
    <xf numFmtId="0" fontId="1" fillId="3" borderId="7" xfId="0" applyFont="1" applyFill="1" applyBorder="1" applyAlignment="1">
      <alignment horizontal="left" wrapText="1"/>
    </xf>
    <xf numFmtId="164" fontId="1" fillId="3" borderId="0" xfId="0" applyNumberFormat="1" applyFont="1" applyFill="1" applyAlignment="1">
      <alignment horizontal="center" vertical="center" wrapText="1"/>
    </xf>
    <xf numFmtId="164" fontId="1" fillId="9" borderId="0" xfId="0" applyNumberFormat="1" applyFont="1" applyFill="1" applyAlignment="1">
      <alignment horizontal="center" vertical="center" wrapText="1"/>
    </xf>
    <xf numFmtId="0" fontId="1" fillId="9" borderId="0" xfId="0" applyFont="1" applyFill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1" fillId="3" borderId="0" xfId="0" applyNumberFormat="1" applyFont="1" applyFill="1" applyBorder="1" applyAlignment="1">
      <alignment horizontal="center" wrapText="1"/>
    </xf>
    <xf numFmtId="0" fontId="1" fillId="9" borderId="0" xfId="0" applyFont="1" applyFill="1" applyAlignment="1">
      <alignment horizontal="center" wrapText="1"/>
    </xf>
    <xf numFmtId="0" fontId="1" fillId="9" borderId="0" xfId="0" applyFont="1" applyFill="1" applyAlignment="1">
      <alignment horizontal="left" wrapText="1"/>
    </xf>
    <xf numFmtId="0" fontId="24" fillId="9" borderId="0" xfId="0" applyFont="1" applyFill="1" applyAlignment="1">
      <alignment horizontal="center" wrapText="1"/>
    </xf>
    <xf numFmtId="0" fontId="11" fillId="12" borderId="0" xfId="0" applyFont="1" applyFill="1"/>
    <xf numFmtId="0" fontId="12" fillId="13" borderId="0" xfId="0" applyFont="1" applyFill="1" applyAlignment="1">
      <alignment vertical="center"/>
    </xf>
    <xf numFmtId="168" fontId="13" fillId="13" borderId="0" xfId="0" applyNumberFormat="1" applyFont="1" applyFill="1" applyAlignment="1">
      <alignment horizontal="right" vertical="center"/>
    </xf>
    <xf numFmtId="0" fontId="32" fillId="0" borderId="0" xfId="2" applyFont="1"/>
  </cellXfs>
  <cellStyles count="4">
    <cellStyle name="Hyperkobling" xfId="2" builtinId="8"/>
    <cellStyle name="Normal" xfId="0" builtinId="0"/>
    <cellStyle name="Prosent" xfId="3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3.4487561929983784E-2"/>
          <c:y val="1.614080374387164E-2"/>
          <c:w val="0.94861366500732736"/>
          <c:h val="0.90077265894435499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'Regresjon; Drivstoff,Olje'!$B$46</c:f>
              <c:strCache>
                <c:ptCount val="1"/>
                <c:pt idx="0">
                  <c:v>Historisk bunker prices $/mt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25400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22225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2.3470535122919769E-2"/>
                  <c:y val="0.2095662524771904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</c:trendlineLbl>
          </c:trendline>
          <c:xVal>
            <c:numRef>
              <c:f>'Regresjon; Drivstoff,Olje'!$A$47:$A$72</c:f>
              <c:numCache>
                <c:formatCode>0.00000</c:formatCode>
                <c:ptCount val="26"/>
                <c:pt idx="1">
                  <c:v>89.108500000000006</c:v>
                </c:pt>
                <c:pt idx="2">
                  <c:v>91.2012</c:v>
                </c:pt>
                <c:pt idx="3">
                  <c:v>84.900099999999995</c:v>
                </c:pt>
                <c:pt idx="4">
                  <c:v>88.613200000000006</c:v>
                </c:pt>
                <c:pt idx="5">
                  <c:v>97.787300000000002</c:v>
                </c:pt>
                <c:pt idx="6">
                  <c:v>102.54349999999999</c:v>
                </c:pt>
                <c:pt idx="7">
                  <c:v>105.99809999999999</c:v>
                </c:pt>
                <c:pt idx="8">
                  <c:v>98.809399999999997</c:v>
                </c:pt>
                <c:pt idx="9">
                  <c:v>107.00749999999999</c:v>
                </c:pt>
                <c:pt idx="10">
                  <c:v>116.59869999999999</c:v>
                </c:pt>
                <c:pt idx="11">
                  <c:v>100.15260000000001</c:v>
                </c:pt>
                <c:pt idx="12">
                  <c:v>84.477199999999996</c:v>
                </c:pt>
                <c:pt idx="13">
                  <c:v>73.804000000000002</c:v>
                </c:pt>
                <c:pt idx="14">
                  <c:v>84.886200000000002</c:v>
                </c:pt>
                <c:pt idx="15">
                  <c:v>87.979399999999998</c:v>
                </c:pt>
                <c:pt idx="16">
                  <c:v>93.781800000000004</c:v>
                </c:pt>
                <c:pt idx="17">
                  <c:v>98.168000000000006</c:v>
                </c:pt>
                <c:pt idx="18">
                  <c:v>83.078299999999999</c:v>
                </c:pt>
                <c:pt idx="19">
                  <c:v>88.385800000000003</c:v>
                </c:pt>
                <c:pt idx="20">
                  <c:v>84.168899999999994</c:v>
                </c:pt>
                <c:pt idx="21">
                  <c:v>81.560500000000005</c:v>
                </c:pt>
                <c:pt idx="22">
                  <c:v>82.0291</c:v>
                </c:pt>
                <c:pt idx="23">
                  <c:v>83.747299999999996</c:v>
                </c:pt>
                <c:pt idx="24">
                  <c:v>83.307100000000005</c:v>
                </c:pt>
                <c:pt idx="25">
                  <c:v>88.824200000000005</c:v>
                </c:pt>
              </c:numCache>
            </c:numRef>
          </c:xVal>
          <c:yVal>
            <c:numRef>
              <c:f>'Regresjon; Drivstoff,Olje'!$B$47:$B$72</c:f>
              <c:numCache>
                <c:formatCode>0.00</c:formatCode>
                <c:ptCount val="26"/>
                <c:pt idx="1">
                  <c:v>391</c:v>
                </c:pt>
                <c:pt idx="2">
                  <c:v>395.5</c:v>
                </c:pt>
                <c:pt idx="3">
                  <c:v>369.5</c:v>
                </c:pt>
                <c:pt idx="4">
                  <c:v>384.5</c:v>
                </c:pt>
                <c:pt idx="5">
                  <c:v>424</c:v>
                </c:pt>
                <c:pt idx="6">
                  <c:v>450.5</c:v>
                </c:pt>
                <c:pt idx="7">
                  <c:v>470</c:v>
                </c:pt>
                <c:pt idx="8">
                  <c:v>474</c:v>
                </c:pt>
                <c:pt idx="9">
                  <c:v>467.5</c:v>
                </c:pt>
                <c:pt idx="10">
                  <c:v>501.5</c:v>
                </c:pt>
                <c:pt idx="11">
                  <c:v>510.5</c:v>
                </c:pt>
                <c:pt idx="12">
                  <c:v>420.5</c:v>
                </c:pt>
                <c:pt idx="13">
                  <c:v>357</c:v>
                </c:pt>
                <c:pt idx="14">
                  <c:v>409</c:v>
                </c:pt>
                <c:pt idx="15">
                  <c:v>433.5</c:v>
                </c:pt>
                <c:pt idx="16">
                  <c:v>429.5</c:v>
                </c:pt>
                <c:pt idx="17">
                  <c:v>441</c:v>
                </c:pt>
                <c:pt idx="18">
                  <c:v>387.5</c:v>
                </c:pt>
                <c:pt idx="19">
                  <c:v>429.5</c:v>
                </c:pt>
                <c:pt idx="20">
                  <c:v>466</c:v>
                </c:pt>
                <c:pt idx="21">
                  <c:v>416.5</c:v>
                </c:pt>
                <c:pt idx="22">
                  <c:v>410</c:v>
                </c:pt>
                <c:pt idx="23">
                  <c:v>394.5</c:v>
                </c:pt>
                <c:pt idx="24">
                  <c:v>293</c:v>
                </c:pt>
                <c:pt idx="25">
                  <c:v>366.5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92-8E41-9779-0858145E9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8637280"/>
        <c:axId val="2047937648"/>
      </c:scatterChart>
      <c:valAx>
        <c:axId val="2048637280"/>
        <c:scaling>
          <c:orientation val="minMax"/>
          <c:min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47937648"/>
        <c:crosses val="autoZero"/>
        <c:crossBetween val="midCat"/>
      </c:valAx>
      <c:valAx>
        <c:axId val="2047937648"/>
        <c:scaling>
          <c:orientation val="minMax"/>
          <c:min val="250"/>
        </c:scaling>
        <c:delete val="0"/>
        <c:axPos val="l"/>
        <c:majorGridlines>
          <c:spPr>
            <a:ln w="6350" cap="flat" cmpd="sng" algn="ctr">
              <a:gradFill flip="none"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  <a:tileRect/>
              </a:gra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48637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sea.liv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49</xdr:row>
      <xdr:rowOff>139700</xdr:rowOff>
    </xdr:from>
    <xdr:to>
      <xdr:col>1</xdr:col>
      <xdr:colOff>1155700</xdr:colOff>
      <xdr:row>52</xdr:row>
      <xdr:rowOff>63500</xdr:rowOff>
    </xdr:to>
    <xdr:cxnSp macro="">
      <xdr:nvCxnSpPr>
        <xdr:cNvPr id="3" name="Rett pil 2">
          <a:extLst>
            <a:ext uri="{FF2B5EF4-FFF2-40B4-BE49-F238E27FC236}">
              <a16:creationId xmlns:a16="http://schemas.microsoft.com/office/drawing/2014/main" id="{382ABD9D-7450-FF47-9A63-C0E49A6321F1}"/>
            </a:ext>
          </a:extLst>
        </xdr:cNvPr>
        <xdr:cNvCxnSpPr/>
      </xdr:nvCxnSpPr>
      <xdr:spPr>
        <a:xfrm flipV="1">
          <a:off x="1206500" y="11468100"/>
          <a:ext cx="1041400" cy="533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330200</xdr:colOff>
      <xdr:row>46</xdr:row>
      <xdr:rowOff>63500</xdr:rowOff>
    </xdr:from>
    <xdr:to>
      <xdr:col>4</xdr:col>
      <xdr:colOff>38100</xdr:colOff>
      <xdr:row>48</xdr:row>
      <xdr:rowOff>76200</xdr:rowOff>
    </xdr:to>
    <xdr:cxnSp macro="">
      <xdr:nvCxnSpPr>
        <xdr:cNvPr id="4" name="Rett pil 3">
          <a:extLst>
            <a:ext uri="{FF2B5EF4-FFF2-40B4-BE49-F238E27FC236}">
              <a16:creationId xmlns:a16="http://schemas.microsoft.com/office/drawing/2014/main" id="{D557A95B-B4C5-1246-85D4-6B4201745430}"/>
            </a:ext>
          </a:extLst>
        </xdr:cNvPr>
        <xdr:cNvCxnSpPr/>
      </xdr:nvCxnSpPr>
      <xdr:spPr>
        <a:xfrm flipV="1">
          <a:off x="3390900" y="11112500"/>
          <a:ext cx="1104900" cy="419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241300</xdr:colOff>
      <xdr:row>56</xdr:row>
      <xdr:rowOff>139700</xdr:rowOff>
    </xdr:from>
    <xdr:to>
      <xdr:col>3</xdr:col>
      <xdr:colOff>1358900</xdr:colOff>
      <xdr:row>57</xdr:row>
      <xdr:rowOff>190500</xdr:rowOff>
    </xdr:to>
    <xdr:cxnSp macro="">
      <xdr:nvCxnSpPr>
        <xdr:cNvPr id="5" name="Rett pil 4">
          <a:extLst>
            <a:ext uri="{FF2B5EF4-FFF2-40B4-BE49-F238E27FC236}">
              <a16:creationId xmlns:a16="http://schemas.microsoft.com/office/drawing/2014/main" id="{2261B041-FC61-EB43-929F-973266984F5F}"/>
            </a:ext>
          </a:extLst>
        </xdr:cNvPr>
        <xdr:cNvCxnSpPr/>
      </xdr:nvCxnSpPr>
      <xdr:spPr>
        <a:xfrm flipV="1">
          <a:off x="3683000" y="12484100"/>
          <a:ext cx="1117600" cy="254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431800</xdr:colOff>
      <xdr:row>50</xdr:row>
      <xdr:rowOff>152400</xdr:rowOff>
    </xdr:from>
    <xdr:to>
      <xdr:col>4</xdr:col>
      <xdr:colOff>0</xdr:colOff>
      <xdr:row>51</xdr:row>
      <xdr:rowOff>127000</xdr:rowOff>
    </xdr:to>
    <xdr:cxnSp macro="">
      <xdr:nvCxnSpPr>
        <xdr:cNvPr id="6" name="Rett pil 5">
          <a:extLst>
            <a:ext uri="{FF2B5EF4-FFF2-40B4-BE49-F238E27FC236}">
              <a16:creationId xmlns:a16="http://schemas.microsoft.com/office/drawing/2014/main" id="{D0A98248-464D-1C42-AD15-0ED8F5C3AC7C}"/>
            </a:ext>
          </a:extLst>
        </xdr:cNvPr>
        <xdr:cNvCxnSpPr/>
      </xdr:nvCxnSpPr>
      <xdr:spPr>
        <a:xfrm>
          <a:off x="3873500" y="11684000"/>
          <a:ext cx="965200" cy="177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241300</xdr:colOff>
      <xdr:row>59</xdr:row>
      <xdr:rowOff>50800</xdr:rowOff>
    </xdr:from>
    <xdr:to>
      <xdr:col>4</xdr:col>
      <xdr:colOff>0</xdr:colOff>
      <xdr:row>61</xdr:row>
      <xdr:rowOff>63500</xdr:rowOff>
    </xdr:to>
    <xdr:cxnSp macro="">
      <xdr:nvCxnSpPr>
        <xdr:cNvPr id="10" name="Rett pil 9">
          <a:extLst>
            <a:ext uri="{FF2B5EF4-FFF2-40B4-BE49-F238E27FC236}">
              <a16:creationId xmlns:a16="http://schemas.microsoft.com/office/drawing/2014/main" id="{8BD71D41-7A17-C240-9788-A154847FA2F3}"/>
            </a:ext>
          </a:extLst>
        </xdr:cNvPr>
        <xdr:cNvCxnSpPr/>
      </xdr:nvCxnSpPr>
      <xdr:spPr>
        <a:xfrm>
          <a:off x="3683000" y="13004800"/>
          <a:ext cx="1155700" cy="419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101600</xdr:colOff>
      <xdr:row>54</xdr:row>
      <xdr:rowOff>165100</xdr:rowOff>
    </xdr:from>
    <xdr:to>
      <xdr:col>1</xdr:col>
      <xdr:colOff>1079500</xdr:colOff>
      <xdr:row>57</xdr:row>
      <xdr:rowOff>50800</xdr:rowOff>
    </xdr:to>
    <xdr:cxnSp macro="">
      <xdr:nvCxnSpPr>
        <xdr:cNvPr id="11" name="Rett pil 10">
          <a:extLst>
            <a:ext uri="{FF2B5EF4-FFF2-40B4-BE49-F238E27FC236}">
              <a16:creationId xmlns:a16="http://schemas.microsoft.com/office/drawing/2014/main" id="{74599BAC-F693-8949-9480-95CC30E5C7A4}"/>
            </a:ext>
          </a:extLst>
        </xdr:cNvPr>
        <xdr:cNvCxnSpPr/>
      </xdr:nvCxnSpPr>
      <xdr:spPr>
        <a:xfrm>
          <a:off x="1193800" y="12839700"/>
          <a:ext cx="977900" cy="4953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523520</xdr:colOff>
      <xdr:row>44</xdr:row>
      <xdr:rowOff>169333</xdr:rowOff>
    </xdr:from>
    <xdr:to>
      <xdr:col>12</xdr:col>
      <xdr:colOff>745066</xdr:colOff>
      <xdr:row>71</xdr:row>
      <xdr:rowOff>67733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1F7F17DB-DB79-0746-AE15-B0222B61DB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19050</xdr:rowOff>
    </xdr:from>
    <xdr:to>
      <xdr:col>3</xdr:col>
      <xdr:colOff>384175</xdr:colOff>
      <xdr:row>3</xdr:row>
      <xdr:rowOff>79375</xdr:rowOff>
    </xdr:to>
    <xdr:pic>
      <xdr:nvPicPr>
        <xdr:cNvPr id="2" name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9ED3FF-9B2F-0C42-8404-05700849C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2400" y="146050"/>
          <a:ext cx="2276475" cy="4667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acobsen, Mikkel" id="{D24951CB-E2C6-9641-AE00-49FB5492823C}" userId="S::s1712884@nbsstd.no::30da7333-64b3-4a3d-b8a0-ea7a74e46cff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6" dT="2020-05-20T10:21:38.77" personId="{D24951CB-E2C6-9641-AE00-49FB5492823C}" id="{5E1FB467-B2E7-D24F-9907-A47E6A40C634}">
    <text xml:space="preserve">Bruker tall for IFO380
</text>
  </threadedComment>
  <threadedComment ref="E31" dT="2020-05-20T10:21:38.77" personId="{D24951CB-E2C6-9641-AE00-49FB5492823C}" id="{3F2EE4F5-393C-1C49-9577-935382DF764B}">
    <text xml:space="preserve">Bruker tall for IFO380
</text>
  </threadedComment>
  <threadedComment ref="E54" dT="2020-05-20T10:21:38.77" personId="{D24951CB-E2C6-9641-AE00-49FB5492823C}" id="{98C6B044-76CE-F84A-9E56-ADF4DD12FEE2}">
    <text xml:space="preserve">Bruker tall for IFO380
</text>
  </threadedComment>
  <threadedComment ref="E77" dT="2020-05-20T10:21:38.77" personId="{D24951CB-E2C6-9641-AE00-49FB5492823C}" id="{7B8C27A0-3701-AD46-B134-716E44033D46}">
    <text xml:space="preserve">Bruker tall for IFO380
</text>
  </threadedComment>
</ThreadedComment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s://shipandbunker.com/prices/emea/nwe/nl-rtm-rotterdam" TargetMode="External"/><Relationship Id="rId4" Type="http://schemas.microsoft.com/office/2017/10/relationships/threadedComment" Target="../threadedComments/threadedComment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ia.gov/outlooks/steo/report/global_oil.php?fbclid=IwAR0u38clFSU2yJRwXE-Lscx01t-wHoAcsRBP3oA0kUXPkmNyBxs0DwHatK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5B2CE-A92E-0249-8A26-E650C91FB707}">
  <sheetPr>
    <tabColor theme="9" tint="0.79998168889431442"/>
  </sheetPr>
  <dimension ref="A1:Q64"/>
  <sheetViews>
    <sheetView showGridLines="0" workbookViewId="0">
      <selection activeCell="F5" sqref="F5:G9"/>
    </sheetView>
  </sheetViews>
  <sheetFormatPr baseColWidth="10" defaultRowHeight="16"/>
  <cols>
    <col min="2" max="2" width="14.83203125" customWidth="1"/>
    <col min="3" max="3" width="14" bestFit="1" customWidth="1"/>
    <col min="4" max="4" width="13.1640625" bestFit="1" customWidth="1"/>
    <col min="5" max="5" width="15.5" customWidth="1"/>
    <col min="6" max="6" width="15.33203125" customWidth="1"/>
    <col min="7" max="7" width="15" customWidth="1"/>
    <col min="8" max="8" width="13.33203125" customWidth="1"/>
    <col min="9" max="9" width="14.33203125" customWidth="1"/>
    <col min="10" max="10" width="13.83203125" customWidth="1"/>
    <col min="11" max="12" width="14.6640625" customWidth="1"/>
    <col min="13" max="14" width="14.1640625" customWidth="1"/>
    <col min="15" max="15" width="16.1640625" customWidth="1"/>
    <col min="16" max="16" width="15.5" customWidth="1"/>
  </cols>
  <sheetData>
    <row r="1" spans="1:17">
      <c r="B1" s="2" t="s">
        <v>60</v>
      </c>
    </row>
    <row r="2" spans="1:17">
      <c r="B2" s="2"/>
    </row>
    <row r="3" spans="1:17">
      <c r="B3" s="275" t="s">
        <v>396</v>
      </c>
      <c r="C3" s="73"/>
      <c r="D3" s="73"/>
      <c r="E3" s="73"/>
    </row>
    <row r="4" spans="1:17">
      <c r="B4" s="73" t="s">
        <v>378</v>
      </c>
      <c r="C4" s="73"/>
      <c r="D4" s="73"/>
      <c r="E4" s="246" t="s">
        <v>379</v>
      </c>
      <c r="M4" s="63"/>
    </row>
    <row r="5" spans="1:17">
      <c r="B5" s="73" t="s">
        <v>360</v>
      </c>
      <c r="C5" s="73"/>
      <c r="D5" s="73"/>
      <c r="E5" s="22">
        <v>77000</v>
      </c>
      <c r="F5" s="14" t="s">
        <v>314</v>
      </c>
      <c r="G5" t="s">
        <v>451</v>
      </c>
    </row>
    <row r="6" spans="1:17">
      <c r="B6" s="73" t="s">
        <v>58</v>
      </c>
      <c r="C6" s="73"/>
      <c r="D6" s="73"/>
      <c r="E6" s="22">
        <v>3900000</v>
      </c>
      <c r="F6" s="14" t="s">
        <v>314</v>
      </c>
      <c r="G6" t="s">
        <v>451</v>
      </c>
    </row>
    <row r="7" spans="1:17">
      <c r="B7" s="73" t="s">
        <v>361</v>
      </c>
      <c r="C7" s="73"/>
      <c r="D7" s="73"/>
      <c r="E7" s="276">
        <v>0.14000000000000001</v>
      </c>
    </row>
    <row r="8" spans="1:17">
      <c r="B8" s="73" t="s">
        <v>62</v>
      </c>
      <c r="C8" s="73"/>
      <c r="D8" s="73"/>
      <c r="E8" s="20">
        <v>40</v>
      </c>
      <c r="F8" s="14" t="s">
        <v>314</v>
      </c>
      <c r="G8" t="s">
        <v>452</v>
      </c>
    </row>
    <row r="9" spans="1:17">
      <c r="B9" s="73" t="s">
        <v>384</v>
      </c>
      <c r="C9" s="73"/>
      <c r="D9" s="73"/>
      <c r="E9" s="22">
        <v>25000</v>
      </c>
      <c r="F9" s="14" t="s">
        <v>314</v>
      </c>
      <c r="G9" t="s">
        <v>453</v>
      </c>
    </row>
    <row r="10" spans="1:17">
      <c r="B10" s="73"/>
      <c r="C10" s="73"/>
      <c r="D10" s="73"/>
      <c r="E10" s="73"/>
    </row>
    <row r="11" spans="1:17">
      <c r="B11" s="73" t="s">
        <v>2</v>
      </c>
      <c r="C11" s="73"/>
      <c r="D11" s="73"/>
      <c r="E11" s="277">
        <v>1.4999999999999999E-2</v>
      </c>
      <c r="F11" s="14"/>
    </row>
    <row r="12" spans="1:17">
      <c r="B12" s="73" t="s">
        <v>380</v>
      </c>
      <c r="C12" s="73"/>
      <c r="D12" s="73"/>
      <c r="E12" s="276">
        <v>0</v>
      </c>
    </row>
    <row r="13" spans="1:17">
      <c r="B13" s="73"/>
      <c r="C13" s="73"/>
      <c r="D13" s="73"/>
      <c r="E13" s="73"/>
    </row>
    <row r="14" spans="1:17">
      <c r="B14" s="73" t="s">
        <v>387</v>
      </c>
      <c r="C14" s="73"/>
      <c r="D14" s="73"/>
      <c r="E14" s="277">
        <v>2.3E-2</v>
      </c>
    </row>
    <row r="16" spans="1:17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312"/>
      <c r="Q16" s="11"/>
    </row>
    <row r="17" spans="1:17">
      <c r="A17" s="11"/>
      <c r="B17" s="143" t="s">
        <v>388</v>
      </c>
      <c r="C17" s="143"/>
      <c r="D17" s="143" t="str">
        <f>IF(E4="base", "Se fane Kostnader Base-Scenario",(IF(E4="kort", "Se fane Kostnader Covid-kort",(IF(E4="lang", "Se fane Kostnader Covid-lang",0)))))</f>
        <v>Se fane Kostnader Covid-kort</v>
      </c>
      <c r="E17" s="272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312"/>
      <c r="Q17" s="11"/>
    </row>
    <row r="18" spans="1:17">
      <c r="A18" s="11"/>
      <c r="B18" s="141"/>
      <c r="C18" s="141"/>
      <c r="D18" s="141"/>
      <c r="E18" s="141"/>
      <c r="F18" s="82">
        <v>2020</v>
      </c>
      <c r="G18" s="82">
        <v>2021</v>
      </c>
      <c r="H18" s="82">
        <v>2022</v>
      </c>
      <c r="I18" s="82">
        <v>2023</v>
      </c>
      <c r="J18" s="82">
        <v>2024</v>
      </c>
      <c r="K18" s="82">
        <v>2025</v>
      </c>
      <c r="L18" s="82">
        <v>2026</v>
      </c>
      <c r="M18" s="82">
        <v>2027</v>
      </c>
      <c r="N18" s="82">
        <v>2028</v>
      </c>
      <c r="O18" s="82">
        <v>2029</v>
      </c>
      <c r="P18" s="313"/>
      <c r="Q18" s="11"/>
    </row>
    <row r="19" spans="1:17">
      <c r="A19" s="11"/>
      <c r="B19" s="141"/>
      <c r="C19" s="141"/>
      <c r="D19" s="141"/>
      <c r="E19" s="82">
        <v>0</v>
      </c>
      <c r="F19" s="82">
        <v>1</v>
      </c>
      <c r="G19" s="82">
        <v>2</v>
      </c>
      <c r="H19" s="82">
        <v>3</v>
      </c>
      <c r="I19" s="82">
        <v>4</v>
      </c>
      <c r="J19" s="82">
        <v>5</v>
      </c>
      <c r="K19" s="82">
        <v>6</v>
      </c>
      <c r="L19" s="82">
        <v>7</v>
      </c>
      <c r="M19" s="82">
        <v>8</v>
      </c>
      <c r="N19" s="82">
        <v>9</v>
      </c>
      <c r="O19" s="82">
        <v>10</v>
      </c>
      <c r="P19" s="313"/>
      <c r="Q19" s="11"/>
    </row>
    <row r="20" spans="1:17">
      <c r="A20" s="11"/>
      <c r="B20" s="11" t="s">
        <v>310</v>
      </c>
      <c r="C20" s="11"/>
      <c r="D20" s="11"/>
      <c r="E20" s="93"/>
      <c r="F20" s="93">
        <f>IF($E$4="Base",C53,(IF($E$4="Kort",C54,(IF($E$4="Lang",C55,0)))))</f>
        <v>1158216.2822703202</v>
      </c>
      <c r="G20" s="93">
        <f t="shared" ref="G20:O20" si="0">IF($E$4="Base",D53,(IF($E$4="Kort",D54,(IF($E$4="Lang",D55,0)))))</f>
        <v>1530192.5375430905</v>
      </c>
      <c r="H20" s="93">
        <f t="shared" si="0"/>
        <v>1629781.1154828565</v>
      </c>
      <c r="I20" s="93">
        <f t="shared" si="0"/>
        <v>1735851.1554692145</v>
      </c>
      <c r="J20" s="93">
        <f t="shared" si="0"/>
        <v>1848824.4865023419</v>
      </c>
      <c r="K20" s="93">
        <f t="shared" si="0"/>
        <v>1969150.3912192825</v>
      </c>
      <c r="L20" s="93">
        <f t="shared" si="0"/>
        <v>2097307.3926420799</v>
      </c>
      <c r="M20" s="93">
        <f t="shared" si="0"/>
        <v>2233805.1572117209</v>
      </c>
      <c r="N20" s="93">
        <f t="shared" si="0"/>
        <v>2379186.5216761045</v>
      </c>
      <c r="O20" s="93">
        <f t="shared" si="0"/>
        <v>2534029.6518926555</v>
      </c>
      <c r="P20" s="314"/>
      <c r="Q20" s="11"/>
    </row>
    <row r="21" spans="1:17">
      <c r="A21" s="11"/>
      <c r="B21" s="11"/>
      <c r="C21" s="11"/>
      <c r="D21" s="11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314"/>
      <c r="Q21" s="11"/>
    </row>
    <row r="22" spans="1:17">
      <c r="A22" s="11"/>
      <c r="B22" s="11" t="s">
        <v>63</v>
      </c>
      <c r="C22" s="11"/>
      <c r="D22" s="11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314"/>
      <c r="Q22" s="11"/>
    </row>
    <row r="23" spans="1:17">
      <c r="A23" s="11"/>
      <c r="B23" s="224" t="s">
        <v>61</v>
      </c>
      <c r="C23" s="11"/>
      <c r="D23" s="11"/>
      <c r="E23" s="93"/>
      <c r="F23" s="93">
        <f>-1*E8*E9</f>
        <v>-1000000</v>
      </c>
      <c r="G23" s="93"/>
      <c r="H23" s="93"/>
      <c r="I23" s="93"/>
      <c r="J23" s="93"/>
      <c r="K23" s="93"/>
      <c r="L23" s="93"/>
      <c r="M23" s="93"/>
      <c r="N23" s="93"/>
      <c r="O23" s="93"/>
      <c r="P23" s="314"/>
      <c r="Q23" s="11"/>
    </row>
    <row r="24" spans="1:17">
      <c r="A24" s="11"/>
      <c r="B24" s="224" t="s">
        <v>64</v>
      </c>
      <c r="C24" s="11"/>
      <c r="D24" s="11"/>
      <c r="E24" s="93"/>
      <c r="F24" s="93">
        <f>$E$5*(1+$E$11)^F19*-1</f>
        <v>-78154.999999999985</v>
      </c>
      <c r="G24" s="93">
        <f t="shared" ref="G24:O24" si="1">$E$5*(1+$E$11)^G19*-1</f>
        <v>-79327.324999999983</v>
      </c>
      <c r="H24" s="93">
        <f t="shared" si="1"/>
        <v>-80517.234874999966</v>
      </c>
      <c r="I24" s="93">
        <f t="shared" si="1"/>
        <v>-81724.993398124963</v>
      </c>
      <c r="J24" s="93">
        <f t="shared" si="1"/>
        <v>-82950.868299096823</v>
      </c>
      <c r="K24" s="93">
        <f t="shared" si="1"/>
        <v>-84195.131323583249</v>
      </c>
      <c r="L24" s="93">
        <f t="shared" si="1"/>
        <v>-85458.058293436989</v>
      </c>
      <c r="M24" s="93">
        <f t="shared" si="1"/>
        <v>-86739.929167838534</v>
      </c>
      <c r="N24" s="93">
        <f t="shared" si="1"/>
        <v>-88041.028105356105</v>
      </c>
      <c r="O24" s="93">
        <f t="shared" si="1"/>
        <v>-89361.643526936445</v>
      </c>
      <c r="P24" s="314"/>
      <c r="Q24" s="11"/>
    </row>
    <row r="25" spans="1:17">
      <c r="A25" s="11"/>
      <c r="B25" s="224" t="s">
        <v>66</v>
      </c>
      <c r="C25" s="11"/>
      <c r="D25" s="11"/>
      <c r="E25" s="93"/>
      <c r="F25" s="93">
        <f>E32*E7</f>
        <v>-546000</v>
      </c>
      <c r="G25" s="223">
        <f>(E32-F25)*E7</f>
        <v>-469560.00000000006</v>
      </c>
      <c r="H25" s="223">
        <f>($E$32-SUM($F$25:G25))*$E$7</f>
        <v>-403821.60000000003</v>
      </c>
      <c r="I25" s="223">
        <f>($E$32-SUM($F$25:H25))*$E$7</f>
        <v>-347286.576</v>
      </c>
      <c r="J25" s="223">
        <f>($E$32-SUM($F$25:I25))*$E$7</f>
        <v>-298666.45536000002</v>
      </c>
      <c r="K25" s="223">
        <f>($E$32-SUM($F$25:J25))*$E$7</f>
        <v>-256853.15160960003</v>
      </c>
      <c r="L25" s="223">
        <f>($E$32-SUM($F$25:K25))*$E$7</f>
        <v>-220893.710384256</v>
      </c>
      <c r="M25" s="223">
        <f>($E$32-SUM($F$25:L25))*$E$7</f>
        <v>-189968.59093046014</v>
      </c>
      <c r="N25" s="223">
        <f>($E$32-SUM($F$25:M25))*$E$7</f>
        <v>-163372.98820019574</v>
      </c>
      <c r="O25" s="223">
        <f>($E$32-SUM($F$25:N25))*$E$7</f>
        <v>-140500.76985216836</v>
      </c>
      <c r="P25" s="315"/>
      <c r="Q25" s="11"/>
    </row>
    <row r="26" spans="1:17">
      <c r="A26" s="11"/>
      <c r="B26" s="224"/>
      <c r="C26" s="11"/>
      <c r="D26" s="11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314"/>
      <c r="Q26" s="11"/>
    </row>
    <row r="27" spans="1:17">
      <c r="A27" s="11"/>
      <c r="B27" s="11" t="s">
        <v>65</v>
      </c>
      <c r="C27" s="11"/>
      <c r="D27" s="11"/>
      <c r="E27" s="93"/>
      <c r="F27" s="93">
        <f>SUM(F20:F25)</f>
        <v>-465938.71772967977</v>
      </c>
      <c r="G27" s="93">
        <f t="shared" ref="G27:O27" si="2">SUM(G20:G25)</f>
        <v>981305.21254309057</v>
      </c>
      <c r="H27" s="93">
        <f t="shared" si="2"/>
        <v>1145442.2806078563</v>
      </c>
      <c r="I27" s="93">
        <f t="shared" si="2"/>
        <v>1306839.5860710894</v>
      </c>
      <c r="J27" s="93">
        <f t="shared" si="2"/>
        <v>1467207.1628432451</v>
      </c>
      <c r="K27" s="93">
        <f t="shared" si="2"/>
        <v>1628102.1082860993</v>
      </c>
      <c r="L27" s="93">
        <f t="shared" si="2"/>
        <v>1790955.623964387</v>
      </c>
      <c r="M27" s="93">
        <f t="shared" si="2"/>
        <v>1957096.6371134222</v>
      </c>
      <c r="N27" s="93">
        <f t="shared" si="2"/>
        <v>2127772.5053705527</v>
      </c>
      <c r="O27" s="93">
        <f t="shared" si="2"/>
        <v>2304167.2385135507</v>
      </c>
      <c r="P27" s="314"/>
      <c r="Q27" s="11"/>
    </row>
    <row r="28" spans="1:17">
      <c r="A28" s="11"/>
      <c r="B28" s="224" t="s">
        <v>313</v>
      </c>
      <c r="C28" s="11"/>
      <c r="D28" s="11"/>
      <c r="E28" s="93"/>
      <c r="F28" s="93">
        <f>F27*$E$12*-1</f>
        <v>0</v>
      </c>
      <c r="G28" s="93">
        <f t="shared" ref="G28:O28" si="3">G27*$E$12*-1</f>
        <v>0</v>
      </c>
      <c r="H28" s="93">
        <f t="shared" si="3"/>
        <v>0</v>
      </c>
      <c r="I28" s="93">
        <f t="shared" si="3"/>
        <v>0</v>
      </c>
      <c r="J28" s="93">
        <f t="shared" si="3"/>
        <v>0</v>
      </c>
      <c r="K28" s="93">
        <f t="shared" si="3"/>
        <v>0</v>
      </c>
      <c r="L28" s="93">
        <f t="shared" si="3"/>
        <v>0</v>
      </c>
      <c r="M28" s="93">
        <f t="shared" si="3"/>
        <v>0</v>
      </c>
      <c r="N28" s="93">
        <f t="shared" si="3"/>
        <v>0</v>
      </c>
      <c r="O28" s="93">
        <f t="shared" si="3"/>
        <v>0</v>
      </c>
      <c r="P28" s="314"/>
      <c r="Q28" s="11"/>
    </row>
    <row r="29" spans="1:17" ht="17" thickBot="1">
      <c r="A29" s="11"/>
      <c r="B29" s="225" t="s">
        <v>4</v>
      </c>
      <c r="C29" s="225"/>
      <c r="D29" s="225"/>
      <c r="E29" s="226"/>
      <c r="F29" s="226">
        <f>SUM(F27:F28)</f>
        <v>-465938.71772967977</v>
      </c>
      <c r="G29" s="226">
        <f t="shared" ref="G29:O29" si="4">SUM(G27:G28)</f>
        <v>981305.21254309057</v>
      </c>
      <c r="H29" s="226">
        <f t="shared" si="4"/>
        <v>1145442.2806078563</v>
      </c>
      <c r="I29" s="226">
        <f t="shared" si="4"/>
        <v>1306839.5860710894</v>
      </c>
      <c r="J29" s="226">
        <f t="shared" si="4"/>
        <v>1467207.1628432451</v>
      </c>
      <c r="K29" s="226">
        <f t="shared" si="4"/>
        <v>1628102.1082860993</v>
      </c>
      <c r="L29" s="226">
        <f t="shared" si="4"/>
        <v>1790955.623964387</v>
      </c>
      <c r="M29" s="226">
        <f t="shared" si="4"/>
        <v>1957096.6371134222</v>
      </c>
      <c r="N29" s="226">
        <f t="shared" si="4"/>
        <v>2127772.5053705527</v>
      </c>
      <c r="O29" s="226">
        <f t="shared" si="4"/>
        <v>2304167.2385135507</v>
      </c>
      <c r="P29" s="314"/>
      <c r="Q29" s="11"/>
    </row>
    <row r="30" spans="1:17">
      <c r="A30" s="11"/>
      <c r="B30" s="11"/>
      <c r="C30" s="11"/>
      <c r="D30" s="11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314"/>
      <c r="Q30" s="11"/>
    </row>
    <row r="31" spans="1:17">
      <c r="A31" s="11"/>
      <c r="B31" s="11" t="s">
        <v>66</v>
      </c>
      <c r="C31" s="11"/>
      <c r="D31" s="11"/>
      <c r="E31" s="93"/>
      <c r="F31" s="93">
        <f>F25*-1</f>
        <v>546000</v>
      </c>
      <c r="G31" s="93">
        <f t="shared" ref="G31:O31" si="5">G25*-1</f>
        <v>469560.00000000006</v>
      </c>
      <c r="H31" s="93">
        <f t="shared" si="5"/>
        <v>403821.60000000003</v>
      </c>
      <c r="I31" s="93">
        <f t="shared" si="5"/>
        <v>347286.576</v>
      </c>
      <c r="J31" s="93">
        <f t="shared" si="5"/>
        <v>298666.45536000002</v>
      </c>
      <c r="K31" s="93">
        <f t="shared" si="5"/>
        <v>256853.15160960003</v>
      </c>
      <c r="L31" s="93">
        <f t="shared" si="5"/>
        <v>220893.710384256</v>
      </c>
      <c r="M31" s="93">
        <f t="shared" si="5"/>
        <v>189968.59093046014</v>
      </c>
      <c r="N31" s="93">
        <f t="shared" si="5"/>
        <v>163372.98820019574</v>
      </c>
      <c r="O31" s="93">
        <f t="shared" si="5"/>
        <v>140500.76985216836</v>
      </c>
      <c r="P31" s="314"/>
      <c r="Q31" s="11"/>
    </row>
    <row r="32" spans="1:17">
      <c r="A32" s="11"/>
      <c r="B32" s="11" t="s">
        <v>5</v>
      </c>
      <c r="C32" s="11"/>
      <c r="D32" s="11"/>
      <c r="E32" s="93">
        <f>-1*E6</f>
        <v>-3900000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314"/>
      <c r="Q32" s="11"/>
    </row>
    <row r="33" spans="1:17">
      <c r="A33" s="11"/>
      <c r="B33" s="11"/>
      <c r="C33" s="11"/>
      <c r="D33" s="11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314"/>
      <c r="Q33" s="11"/>
    </row>
    <row r="34" spans="1:17" ht="17" thickBot="1">
      <c r="A34" s="11"/>
      <c r="B34" s="227" t="s">
        <v>6</v>
      </c>
      <c r="C34" s="227"/>
      <c r="D34" s="227"/>
      <c r="E34" s="228">
        <f>SUM(E29:E32)</f>
        <v>-3900000</v>
      </c>
      <c r="F34" s="228">
        <f t="shared" ref="F34:O34" si="6">SUM(F29:F32)</f>
        <v>80061.282270320226</v>
      </c>
      <c r="G34" s="228">
        <f t="shared" si="6"/>
        <v>1450865.2125430906</v>
      </c>
      <c r="H34" s="228">
        <f t="shared" si="6"/>
        <v>1549263.8806078564</v>
      </c>
      <c r="I34" s="228">
        <f t="shared" si="6"/>
        <v>1654126.1620710893</v>
      </c>
      <c r="J34" s="228">
        <f t="shared" si="6"/>
        <v>1765873.6182032451</v>
      </c>
      <c r="K34" s="228">
        <f t="shared" si="6"/>
        <v>1884955.2598956993</v>
      </c>
      <c r="L34" s="228">
        <f t="shared" si="6"/>
        <v>2011849.334348643</v>
      </c>
      <c r="M34" s="228">
        <f t="shared" si="6"/>
        <v>2147065.2280438822</v>
      </c>
      <c r="N34" s="228">
        <f t="shared" si="6"/>
        <v>2291145.4935707483</v>
      </c>
      <c r="O34" s="228">
        <f t="shared" si="6"/>
        <v>2444668.0083657191</v>
      </c>
      <c r="P34" s="249"/>
      <c r="Q34" s="11"/>
    </row>
    <row r="35" spans="1:17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312"/>
      <c r="Q35" s="11"/>
    </row>
    <row r="36" spans="1:17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>
      <c r="A37" s="11"/>
      <c r="B37" s="10" t="s">
        <v>3</v>
      </c>
      <c r="C37" s="247">
        <v>8.3400000000000002E-2</v>
      </c>
      <c r="D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>
      <c r="A38" s="11"/>
      <c r="B38" s="10"/>
      <c r="C38" s="11"/>
      <c r="D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>
      <c r="A39" s="11"/>
      <c r="B39" s="10" t="s">
        <v>407</v>
      </c>
      <c r="C39" s="93">
        <f>NPV(C37,F34:G34)+E34</f>
        <v>-2590013.7829764523</v>
      </c>
      <c r="D39" s="11"/>
      <c r="E39" s="2" t="s">
        <v>405</v>
      </c>
      <c r="F39" s="3">
        <f>IRR(E34:G34,0)</f>
        <v>-0.37971763794911728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>
      <c r="A40" s="11"/>
      <c r="B40" s="10" t="s">
        <v>408</v>
      </c>
      <c r="C40" s="93">
        <f>NPV(C37,F34:J34)+E34</f>
        <v>1012024.3353120824</v>
      </c>
      <c r="D40" s="11"/>
      <c r="E40" s="2" t="s">
        <v>404</v>
      </c>
      <c r="F40" s="3">
        <f>IRR(E34:J34)</f>
        <v>0.1594774419251348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>
      <c r="A41" s="11"/>
      <c r="B41" s="10" t="s">
        <v>409</v>
      </c>
      <c r="C41" s="93">
        <f>NPV(C37,F34:O34)+E34</f>
        <v>6668699.9176977519</v>
      </c>
      <c r="D41" s="11"/>
      <c r="E41" s="2" t="s">
        <v>406</v>
      </c>
      <c r="F41" s="3">
        <f>IRR(E34:O34)</f>
        <v>0.31039073168645093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>
      <c r="A42" s="11"/>
      <c r="B42" s="11"/>
      <c r="C42" s="11"/>
      <c r="D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>
      <c r="A43" s="11"/>
      <c r="B43" s="80"/>
      <c r="C43" s="80"/>
      <c r="D43" s="80"/>
      <c r="E43" s="80"/>
      <c r="F43" s="80"/>
      <c r="G43" s="80"/>
      <c r="H43" s="80"/>
      <c r="I43" s="11"/>
      <c r="J43" s="11"/>
      <c r="K43" s="11"/>
      <c r="L43" s="11"/>
      <c r="M43" s="11"/>
      <c r="N43" s="11"/>
      <c r="O43" s="11"/>
      <c r="P43" s="11"/>
      <c r="Q43" s="11"/>
    </row>
    <row r="44" spans="1:17">
      <c r="A44" s="11"/>
      <c r="B44" s="80"/>
      <c r="C44" s="80"/>
      <c r="D44" s="80"/>
      <c r="E44" s="80"/>
      <c r="F44" s="194"/>
      <c r="G44" s="196"/>
      <c r="H44" s="80"/>
      <c r="I44" s="237"/>
      <c r="J44" s="11"/>
      <c r="K44" s="11"/>
      <c r="L44" s="11"/>
      <c r="M44" s="11"/>
      <c r="N44" s="11"/>
      <c r="O44" s="11"/>
      <c r="P44" s="11"/>
      <c r="Q44" s="11"/>
    </row>
    <row r="45" spans="1:17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idden="1">
      <c r="A51" s="11"/>
      <c r="B51" s="11" t="s">
        <v>374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hidden="1">
      <c r="A52" s="11"/>
      <c r="B52" s="245"/>
      <c r="C52" s="245">
        <v>2020</v>
      </c>
      <c r="D52" s="245">
        <v>2021</v>
      </c>
      <c r="E52" s="245">
        <v>2022</v>
      </c>
      <c r="F52" s="245">
        <v>2023</v>
      </c>
      <c r="G52" s="245">
        <v>2024</v>
      </c>
      <c r="H52" s="245">
        <v>2025</v>
      </c>
      <c r="I52" s="245">
        <v>2026</v>
      </c>
      <c r="J52" s="245">
        <v>2027</v>
      </c>
      <c r="K52" s="245">
        <v>2028</v>
      </c>
      <c r="L52" s="245">
        <v>2029</v>
      </c>
      <c r="M52" s="245">
        <v>2030</v>
      </c>
      <c r="N52" s="11"/>
      <c r="O52" s="11"/>
      <c r="P52" s="11"/>
      <c r="Q52" s="11"/>
    </row>
    <row r="53" spans="1:17" hidden="1">
      <c r="A53" s="11"/>
      <c r="B53" s="11" t="s">
        <v>375</v>
      </c>
      <c r="C53" s="93">
        <f>'Base Scenario'!F21</f>
        <v>4225554.7711456809</v>
      </c>
      <c r="D53" s="93">
        <f>'Base Scenario'!G21</f>
        <v>3898561.9559603203</v>
      </c>
      <c r="E53" s="93">
        <f>'Base Scenario'!H21</f>
        <v>4182437.7639572285</v>
      </c>
      <c r="F53" s="93">
        <f>'Base Scenario'!I21</f>
        <v>4445124.2453435166</v>
      </c>
      <c r="G53" s="93">
        <f>'Base Scenario'!J21</f>
        <v>4731766.2561059669</v>
      </c>
      <c r="H53" s="93">
        <f>'Base Scenario'!K21</f>
        <v>5037493.0928970855</v>
      </c>
      <c r="I53" s="93">
        <f>'Base Scenario'!L21</f>
        <v>5359497.9595873524</v>
      </c>
      <c r="J53" s="93">
        <f>'Base Scenario'!M21</f>
        <v>5684092.9118833169</v>
      </c>
      <c r="K53" s="93">
        <f>'Base Scenario'!N21</f>
        <v>6043693.8641700577</v>
      </c>
      <c r="L53" s="93">
        <f>'Base Scenario'!O21</f>
        <v>6423266.7735501584</v>
      </c>
      <c r="M53" s="93">
        <f>'Base Scenario'!P21</f>
        <v>0</v>
      </c>
      <c r="N53" s="11"/>
      <c r="O53" s="11"/>
      <c r="P53" s="11"/>
      <c r="Q53" s="11"/>
    </row>
    <row r="54" spans="1:17" hidden="1">
      <c r="A54" s="11"/>
      <c r="B54" s="11" t="s">
        <v>376</v>
      </c>
      <c r="C54" s="93">
        <f>'Covid kortsiktig'!F21</f>
        <v>1158216.2822703202</v>
      </c>
      <c r="D54" s="93">
        <f>'Covid kortsiktig'!G21</f>
        <v>1530192.5375430905</v>
      </c>
      <c r="E54" s="93">
        <f>'Covid kortsiktig'!H21</f>
        <v>1629781.1154828565</v>
      </c>
      <c r="F54" s="93">
        <f>'Covid kortsiktig'!I21</f>
        <v>1735851.1554692145</v>
      </c>
      <c r="G54" s="93">
        <f>'Covid kortsiktig'!J21</f>
        <v>1848824.4865023419</v>
      </c>
      <c r="H54" s="93">
        <f>'Covid kortsiktig'!K21</f>
        <v>1969150.3912192825</v>
      </c>
      <c r="I54" s="93">
        <f>'Covid kortsiktig'!L21</f>
        <v>2097307.3926420799</v>
      </c>
      <c r="J54" s="93">
        <f>'Covid kortsiktig'!M21</f>
        <v>2233805.1572117209</v>
      </c>
      <c r="K54" s="93">
        <f>'Covid kortsiktig'!N21</f>
        <v>2379186.5216761045</v>
      </c>
      <c r="L54" s="93">
        <f>'Covid kortsiktig'!O21</f>
        <v>2534029.6518926555</v>
      </c>
      <c r="M54" s="93">
        <f>'Covid kortsiktig'!P21</f>
        <v>0</v>
      </c>
      <c r="N54" s="11"/>
      <c r="O54" s="11"/>
      <c r="P54" s="11"/>
      <c r="Q54" s="11"/>
    </row>
    <row r="55" spans="1:17" hidden="1">
      <c r="A55" s="11"/>
      <c r="B55" s="11" t="s">
        <v>377</v>
      </c>
      <c r="C55" s="93">
        <f>'Covid langsiktig'!F21</f>
        <v>1158216.2822703202</v>
      </c>
      <c r="D55" s="93">
        <f>'Covid langsiktig'!G21</f>
        <v>757484.29424603423</v>
      </c>
      <c r="E55" s="93">
        <f>'Covid langsiktig'!H21</f>
        <v>1185850.0751504158</v>
      </c>
      <c r="F55" s="93">
        <f>'Covid langsiktig'!I21</f>
        <v>1534559.2288772939</v>
      </c>
      <c r="G55" s="93">
        <f>'Covid langsiktig'!J21</f>
        <v>1625367.0975274211</v>
      </c>
      <c r="H55" s="93">
        <f>'Covid langsiktig'!K21</f>
        <v>1721737.3649897948</v>
      </c>
      <c r="I55" s="93">
        <f>'Covid langsiktig'!L21</f>
        <v>1824018.7169564189</v>
      </c>
      <c r="J55" s="93">
        <f>'Covid langsiktig'!M21</f>
        <v>1932582.0213346696</v>
      </c>
      <c r="K55" s="93">
        <f>'Covid langsiktig'!N21</f>
        <v>2047821.7523213541</v>
      </c>
      <c r="L55" s="93">
        <f>'Covid langsiktig'!O21</f>
        <v>2170157.5064074565</v>
      </c>
      <c r="M55" s="93">
        <f>'Covid langsiktig'!P21</f>
        <v>0</v>
      </c>
      <c r="N55" s="11"/>
      <c r="O55" s="11"/>
      <c r="P55" s="11"/>
      <c r="Q55" s="11"/>
    </row>
    <row r="56" spans="1:17" hidden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1:17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7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1:17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1:17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1:17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</sheetData>
  <dataValidations count="1">
    <dataValidation type="custom" operator="equal" allowBlank="1" showInputMessage="1" showErrorMessage="1" errorTitle="Feil" error="Skriv hvilket scenario du vil se._x000a_Base, Kort eller Lang" sqref="E4" xr:uid="{E0AC80BD-2FC5-5240-8EE2-A43B37C5163C}">
      <formula1>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DB304-BDD0-2648-8C1C-447944BEF698}">
  <sheetPr>
    <tabColor rgb="FF002060"/>
  </sheetPr>
  <dimension ref="A1:AA103"/>
  <sheetViews>
    <sheetView showGridLines="0" topLeftCell="A77" zoomScale="110" workbookViewId="0">
      <selection activeCell="G92" sqref="G92"/>
    </sheetView>
  </sheetViews>
  <sheetFormatPr baseColWidth="10" defaultRowHeight="16"/>
  <cols>
    <col min="1" max="1" width="12.83203125" customWidth="1"/>
    <col min="2" max="2" width="8.33203125" customWidth="1"/>
    <col min="3" max="3" width="12.33203125" customWidth="1"/>
    <col min="4" max="4" width="14.5" customWidth="1"/>
    <col min="5" max="5" width="10.6640625" customWidth="1"/>
    <col min="6" max="7" width="10.83203125" customWidth="1"/>
    <col min="9" max="9" width="12.1640625" customWidth="1"/>
    <col min="10" max="15" width="10" customWidth="1"/>
    <col min="18" max="18" width="13.5" customWidth="1"/>
    <col min="19" max="19" width="9.1640625" customWidth="1"/>
    <col min="20" max="20" width="13.33203125" customWidth="1"/>
    <col min="21" max="21" width="12.6640625" customWidth="1"/>
    <col min="22" max="22" width="13.83203125" customWidth="1"/>
    <col min="23" max="23" width="20.83203125" customWidth="1"/>
    <col min="24" max="24" width="14.1640625" customWidth="1"/>
    <col min="25" max="25" width="14.6640625" customWidth="1"/>
    <col min="26" max="26" width="13.6640625" customWidth="1"/>
    <col min="27" max="27" width="15.6640625" customWidth="1"/>
  </cols>
  <sheetData>
    <row r="1" spans="1:27" ht="16" customHeight="1">
      <c r="R1" s="6"/>
      <c r="S1" s="6"/>
      <c r="T1" s="39"/>
      <c r="U1" s="38"/>
      <c r="V1" s="410"/>
      <c r="W1" s="410"/>
      <c r="X1" s="410"/>
      <c r="Y1" s="410"/>
      <c r="Z1" s="410"/>
      <c r="AA1" s="38"/>
    </row>
    <row r="2" spans="1:27" ht="16" customHeight="1">
      <c r="I2" s="238" t="s">
        <v>402</v>
      </c>
      <c r="J2" s="73"/>
      <c r="K2" s="73"/>
      <c r="L2" s="73"/>
      <c r="M2" s="73"/>
      <c r="N2" s="73"/>
      <c r="O2" s="73"/>
      <c r="R2" s="6"/>
      <c r="S2" s="6"/>
      <c r="T2" s="39"/>
      <c r="U2" s="38"/>
      <c r="V2" s="40"/>
      <c r="W2" s="40"/>
      <c r="X2" s="40"/>
      <c r="Y2" s="40"/>
      <c r="Z2" s="40"/>
      <c r="AA2" s="38"/>
    </row>
    <row r="3" spans="1:27" ht="16" customHeight="1">
      <c r="B3" s="2"/>
    </row>
    <row r="4" spans="1:27">
      <c r="A4" s="15" t="s">
        <v>9</v>
      </c>
      <c r="B4" s="15" t="s">
        <v>10</v>
      </c>
      <c r="C4" s="16"/>
      <c r="D4" s="16"/>
      <c r="E4" s="31" t="s">
        <v>18</v>
      </c>
      <c r="I4" s="42" t="s">
        <v>321</v>
      </c>
      <c r="J4" s="6"/>
      <c r="K4" s="6"/>
      <c r="L4" s="6"/>
      <c r="M4" s="6"/>
      <c r="N4" s="6"/>
      <c r="O4" s="6"/>
    </row>
    <row r="5" spans="1:27">
      <c r="I5" s="15" t="s">
        <v>9</v>
      </c>
      <c r="J5" s="405" t="s">
        <v>8</v>
      </c>
      <c r="K5" s="405"/>
      <c r="L5" s="405" t="s">
        <v>338</v>
      </c>
      <c r="M5" s="405"/>
      <c r="N5" s="405" t="s">
        <v>17</v>
      </c>
      <c r="O5" s="405"/>
    </row>
    <row r="6" spans="1:27">
      <c r="A6" s="15"/>
      <c r="B6" s="16"/>
      <c r="C6" s="17" t="s">
        <v>8</v>
      </c>
      <c r="D6" s="17" t="s">
        <v>338</v>
      </c>
      <c r="E6" s="17" t="s">
        <v>17</v>
      </c>
      <c r="I6" s="2" t="s">
        <v>20</v>
      </c>
      <c r="J6" s="404">
        <v>561.63</v>
      </c>
      <c r="K6" s="404"/>
      <c r="L6" s="404">
        <v>520.80999999999995</v>
      </c>
      <c r="M6" s="404"/>
      <c r="N6" s="404">
        <v>304.25</v>
      </c>
      <c r="O6" s="404"/>
    </row>
    <row r="7" spans="1:27">
      <c r="A7" s="34">
        <v>43661</v>
      </c>
      <c r="C7" s="8">
        <v>590.5</v>
      </c>
      <c r="D7" s="8">
        <v>546</v>
      </c>
      <c r="E7" s="8">
        <v>407</v>
      </c>
      <c r="I7" s="2" t="s">
        <v>21</v>
      </c>
      <c r="J7" s="404">
        <v>599.44000000000005</v>
      </c>
      <c r="K7" s="404"/>
      <c r="L7" s="404">
        <v>576.19000000000005</v>
      </c>
      <c r="M7" s="404"/>
      <c r="N7" s="404">
        <v>382.19</v>
      </c>
      <c r="O7" s="404"/>
    </row>
    <row r="8" spans="1:27">
      <c r="A8" s="34">
        <v>43692</v>
      </c>
      <c r="C8" s="8">
        <v>553.5</v>
      </c>
      <c r="D8" s="8">
        <v>501.5</v>
      </c>
      <c r="E8" s="8">
        <v>282</v>
      </c>
      <c r="I8" s="2" t="s">
        <v>22</v>
      </c>
      <c r="J8" s="404">
        <v>608.80999999999995</v>
      </c>
      <c r="K8" s="404"/>
      <c r="L8" s="404">
        <v>548.91999999999996</v>
      </c>
      <c r="M8" s="404"/>
      <c r="N8" s="404">
        <v>357</v>
      </c>
      <c r="O8" s="404"/>
    </row>
    <row r="9" spans="1:27">
      <c r="A9" s="34">
        <v>43724</v>
      </c>
      <c r="C9" s="8">
        <v>597.5</v>
      </c>
      <c r="D9" s="8">
        <v>552</v>
      </c>
      <c r="E9" s="8">
        <v>371.5</v>
      </c>
      <c r="I9" s="2" t="s">
        <v>23</v>
      </c>
      <c r="J9" s="404">
        <v>691.19</v>
      </c>
      <c r="K9" s="404"/>
      <c r="L9" s="404">
        <v>609.05999999999995</v>
      </c>
      <c r="M9" s="404"/>
      <c r="N9" s="404">
        <v>337.5</v>
      </c>
      <c r="O9" s="404"/>
    </row>
    <row r="10" spans="1:27">
      <c r="A10" s="34">
        <v>43753</v>
      </c>
      <c r="C10" s="8">
        <v>553.5</v>
      </c>
      <c r="D10" s="8">
        <v>517</v>
      </c>
      <c r="E10" s="8">
        <v>266.5</v>
      </c>
      <c r="I10" s="2" t="s">
        <v>25</v>
      </c>
      <c r="J10" s="411">
        <f>AVERAGE(J6:K9)</f>
        <v>615.26750000000004</v>
      </c>
      <c r="K10" s="412"/>
      <c r="L10" s="411">
        <f>AVERAGE(L6:M9)</f>
        <v>563.745</v>
      </c>
      <c r="M10" s="412"/>
      <c r="N10" s="411">
        <f>AVERAGE(N6:O9)</f>
        <v>345.23500000000001</v>
      </c>
      <c r="O10" s="412"/>
    </row>
    <row r="11" spans="1:27">
      <c r="A11" s="34">
        <v>43784</v>
      </c>
      <c r="C11" s="8">
        <v>558.5</v>
      </c>
      <c r="D11" s="8">
        <v>497</v>
      </c>
      <c r="E11" s="8">
        <v>246.5</v>
      </c>
      <c r="I11" s="41"/>
    </row>
    <row r="12" spans="1:27">
      <c r="A12" s="34">
        <v>43815</v>
      </c>
      <c r="C12" s="8">
        <v>581</v>
      </c>
      <c r="D12" s="8">
        <v>539.5</v>
      </c>
      <c r="E12" s="8">
        <v>266</v>
      </c>
    </row>
    <row r="13" spans="1:27">
      <c r="A13" s="34">
        <v>43845</v>
      </c>
      <c r="C13" s="8">
        <v>559</v>
      </c>
      <c r="D13" s="8">
        <v>541.5</v>
      </c>
      <c r="E13" s="8">
        <v>300</v>
      </c>
    </row>
    <row r="14" spans="1:27">
      <c r="A14" s="34">
        <v>43875</v>
      </c>
      <c r="C14" s="8">
        <v>499.5</v>
      </c>
      <c r="D14" s="8">
        <v>472</v>
      </c>
      <c r="E14" s="8">
        <v>294.5</v>
      </c>
    </row>
    <row r="15" spans="1:27" ht="17" thickBot="1">
      <c r="A15" s="36" t="s">
        <v>301</v>
      </c>
      <c r="B15" s="32"/>
      <c r="C15" s="28">
        <f>AVERAGE(C7:C14)</f>
        <v>561.625</v>
      </c>
      <c r="D15" s="28">
        <f>AVERAGE(D7:D14)</f>
        <v>520.8125</v>
      </c>
      <c r="E15" s="28">
        <f>AVERAGE(E7:E14)</f>
        <v>304.25</v>
      </c>
      <c r="I15" s="42" t="s">
        <v>24</v>
      </c>
      <c r="J15" s="6"/>
      <c r="K15" s="6"/>
      <c r="L15" s="6"/>
      <c r="M15" s="6"/>
      <c r="N15" s="6"/>
      <c r="O15" s="6"/>
    </row>
    <row r="16" spans="1:27">
      <c r="A16" s="27" t="s">
        <v>15</v>
      </c>
      <c r="B16" s="24"/>
      <c r="C16" s="33">
        <f>STDEV(C7:C14)</f>
        <v>30.482723444131899</v>
      </c>
      <c r="D16" s="25">
        <f>STDEV(D7:D14)</f>
        <v>28.589380520945685</v>
      </c>
      <c r="E16" s="25">
        <f>STDEV(E7:E14)</f>
        <v>55.948317988249528</v>
      </c>
      <c r="I16" s="15" t="s">
        <v>9</v>
      </c>
      <c r="J16" s="405" t="s">
        <v>8</v>
      </c>
      <c r="K16" s="405"/>
      <c r="L16" s="405" t="s">
        <v>338</v>
      </c>
      <c r="M16" s="405"/>
      <c r="N16" s="405" t="s">
        <v>17</v>
      </c>
      <c r="O16" s="405"/>
    </row>
    <row r="17" spans="1:15">
      <c r="A17" s="27"/>
      <c r="B17" s="24"/>
      <c r="C17" s="24"/>
      <c r="D17" s="24"/>
      <c r="E17" s="25"/>
      <c r="F17" s="25"/>
      <c r="G17" s="25"/>
      <c r="I17" s="2" t="s">
        <v>20</v>
      </c>
      <c r="J17" s="404">
        <v>282</v>
      </c>
      <c r="K17" s="404"/>
      <c r="L17" s="404">
        <v>239</v>
      </c>
      <c r="M17" s="404"/>
      <c r="N17" s="404">
        <v>177.67</v>
      </c>
      <c r="O17" s="404"/>
    </row>
    <row r="18" spans="1:15">
      <c r="A18" s="19" t="s">
        <v>19</v>
      </c>
      <c r="B18" s="14"/>
      <c r="C18" s="14"/>
      <c r="D18" s="14"/>
      <c r="E18" s="14"/>
      <c r="F18" s="14"/>
      <c r="G18" s="14"/>
      <c r="I18" s="2" t="s">
        <v>21</v>
      </c>
      <c r="J18" s="404">
        <v>282.67</v>
      </c>
      <c r="K18" s="404"/>
      <c r="L18" s="404">
        <v>279</v>
      </c>
      <c r="M18" s="404"/>
      <c r="N18" s="404">
        <v>203.5</v>
      </c>
      <c r="O18" s="404"/>
    </row>
    <row r="19" spans="1:15">
      <c r="A19" s="35">
        <v>43910</v>
      </c>
      <c r="B19" s="20"/>
      <c r="C19" s="22">
        <v>316.5</v>
      </c>
      <c r="D19" s="22">
        <v>250</v>
      </c>
      <c r="E19" s="22">
        <v>181</v>
      </c>
      <c r="F19" s="37"/>
      <c r="G19" s="37"/>
      <c r="I19" s="2" t="s">
        <v>22</v>
      </c>
      <c r="J19" s="404">
        <v>290.67</v>
      </c>
      <c r="K19" s="404"/>
      <c r="L19" s="404">
        <v>238.83</v>
      </c>
      <c r="M19" s="404"/>
      <c r="N19" s="404">
        <v>166</v>
      </c>
      <c r="O19" s="404"/>
    </row>
    <row r="20" spans="1:15">
      <c r="A20" s="35">
        <v>43941</v>
      </c>
      <c r="B20" s="20"/>
      <c r="C20" s="22">
        <v>261.5</v>
      </c>
      <c r="D20" s="22">
        <v>218</v>
      </c>
      <c r="E20" s="22">
        <v>163</v>
      </c>
      <c r="I20" s="2" t="s">
        <v>23</v>
      </c>
      <c r="J20" s="404">
        <v>410.17</v>
      </c>
      <c r="K20" s="404"/>
      <c r="L20" s="404">
        <v>272.83</v>
      </c>
      <c r="M20" s="404"/>
      <c r="N20" s="404">
        <v>191.5</v>
      </c>
      <c r="O20" s="404"/>
    </row>
    <row r="21" spans="1:15">
      <c r="A21" s="35">
        <v>43970</v>
      </c>
      <c r="B21" s="20"/>
      <c r="C21" s="22">
        <v>268</v>
      </c>
      <c r="D21" s="22">
        <v>249</v>
      </c>
      <c r="E21" s="22">
        <v>189</v>
      </c>
      <c r="I21" s="2" t="s">
        <v>25</v>
      </c>
      <c r="J21" s="411">
        <f>AVERAGE(J17:K20)</f>
        <v>316.37750000000005</v>
      </c>
      <c r="K21" s="412"/>
      <c r="L21" s="411">
        <f>AVERAGE(L17:M20)</f>
        <v>257.41500000000002</v>
      </c>
      <c r="M21" s="412"/>
      <c r="N21" s="411">
        <f>AVERAGE(N17:O20)</f>
        <v>184.66749999999999</v>
      </c>
      <c r="O21" s="412"/>
    </row>
    <row r="22" spans="1:15">
      <c r="A22" s="297" t="s">
        <v>401</v>
      </c>
      <c r="B22" s="26"/>
      <c r="C22" s="21">
        <f>AVERAGE(C19:C21)</f>
        <v>282</v>
      </c>
      <c r="D22" s="21">
        <f>AVERAGE(D19:D21)</f>
        <v>239</v>
      </c>
      <c r="E22" s="21">
        <f>AVERAGE(E19:E21)</f>
        <v>177.66666666666666</v>
      </c>
      <c r="I22" s="41"/>
    </row>
    <row r="23" spans="1:15">
      <c r="A23" s="27" t="s">
        <v>15</v>
      </c>
      <c r="B23" s="23"/>
      <c r="C23" s="33">
        <f>STDEV(C19:C21)</f>
        <v>30.054117854297438</v>
      </c>
      <c r="D23" s="33">
        <f>STDEV(D19:D21)</f>
        <v>18.193405398660254</v>
      </c>
      <c r="E23" s="33">
        <f>STDEV(E19:E21)</f>
        <v>13.316656236958785</v>
      </c>
    </row>
    <row r="25" spans="1:15">
      <c r="A25" s="23"/>
      <c r="B25" s="23"/>
      <c r="C25" s="25"/>
      <c r="D25" s="25"/>
      <c r="E25" s="25"/>
    </row>
    <row r="26" spans="1:15">
      <c r="A26" s="18"/>
      <c r="B26" s="12"/>
    </row>
    <row r="29" spans="1:15">
      <c r="A29" s="15" t="s">
        <v>9</v>
      </c>
      <c r="B29" s="15" t="s">
        <v>12</v>
      </c>
      <c r="C29" s="16"/>
      <c r="D29" s="16"/>
      <c r="E29" s="31" t="s">
        <v>18</v>
      </c>
    </row>
    <row r="31" spans="1:15">
      <c r="A31" s="15"/>
      <c r="B31" s="16"/>
      <c r="C31" s="17" t="s">
        <v>8</v>
      </c>
      <c r="D31" s="17" t="s">
        <v>338</v>
      </c>
      <c r="E31" s="17" t="s">
        <v>17</v>
      </c>
    </row>
    <row r="32" spans="1:15">
      <c r="A32" s="34">
        <v>43661</v>
      </c>
      <c r="C32" s="8">
        <v>616</v>
      </c>
      <c r="D32" s="8">
        <v>572</v>
      </c>
      <c r="E32" s="8">
        <v>480.5</v>
      </c>
    </row>
    <row r="33" spans="1:5">
      <c r="A33" s="34">
        <v>43692</v>
      </c>
      <c r="C33" s="8">
        <v>571</v>
      </c>
      <c r="D33" s="8">
        <v>563</v>
      </c>
      <c r="E33" s="7">
        <v>349.5</v>
      </c>
    </row>
    <row r="34" spans="1:5">
      <c r="A34" s="34">
        <v>43724</v>
      </c>
      <c r="C34" s="8">
        <v>606.5</v>
      </c>
      <c r="D34" s="8">
        <v>569</v>
      </c>
      <c r="E34" s="8">
        <v>526</v>
      </c>
    </row>
    <row r="35" spans="1:5">
      <c r="A35" s="34">
        <v>43753</v>
      </c>
      <c r="C35" s="8">
        <v>585</v>
      </c>
      <c r="D35" s="8">
        <v>543.5</v>
      </c>
      <c r="E35" s="8">
        <v>350.5</v>
      </c>
    </row>
    <row r="36" spans="1:5">
      <c r="A36" s="34">
        <v>43784</v>
      </c>
      <c r="C36" s="8">
        <v>581.5</v>
      </c>
      <c r="D36" s="8">
        <v>553.5</v>
      </c>
      <c r="E36" s="8">
        <v>313</v>
      </c>
    </row>
    <row r="37" spans="1:5">
      <c r="A37" s="34">
        <v>43815</v>
      </c>
      <c r="C37" s="8">
        <v>620</v>
      </c>
      <c r="D37" s="8">
        <v>623</v>
      </c>
      <c r="E37" s="8">
        <v>349</v>
      </c>
    </row>
    <row r="38" spans="1:5">
      <c r="A38" s="34">
        <v>43845</v>
      </c>
      <c r="C38" s="8">
        <v>688</v>
      </c>
      <c r="D38" s="8">
        <v>672</v>
      </c>
      <c r="E38" s="8">
        <v>365</v>
      </c>
    </row>
    <row r="39" spans="1:5">
      <c r="A39" s="34">
        <v>43875</v>
      </c>
      <c r="C39" s="8">
        <v>527.5</v>
      </c>
      <c r="D39" s="8">
        <v>513.5</v>
      </c>
      <c r="E39" s="8">
        <v>324</v>
      </c>
    </row>
    <row r="40" spans="1:5" ht="17" thickBot="1">
      <c r="A40" s="36" t="s">
        <v>301</v>
      </c>
      <c r="B40" s="32"/>
      <c r="C40" s="28">
        <f>AVERAGE(C32:C39)</f>
        <v>599.4375</v>
      </c>
      <c r="D40" s="28">
        <f>AVERAGE(D32:D39)</f>
        <v>576.1875</v>
      </c>
      <c r="E40" s="28">
        <f>AVERAGE(E32:E39)</f>
        <v>382.1875</v>
      </c>
    </row>
    <row r="41" spans="1:5">
      <c r="A41" s="27" t="s">
        <v>15</v>
      </c>
      <c r="B41" s="24"/>
      <c r="C41" s="25">
        <f>STDEV(C32:C39)</f>
        <v>46.451539648479745</v>
      </c>
      <c r="D41" s="25">
        <f>STDEV(D32:D39)</f>
        <v>49.464949711891954</v>
      </c>
      <c r="E41" s="25">
        <f>STDEV(E32:E39)</f>
        <v>77.449955040104996</v>
      </c>
    </row>
    <row r="42" spans="1:5">
      <c r="A42" s="23"/>
      <c r="B42" s="24"/>
      <c r="C42" s="24"/>
      <c r="D42" s="25"/>
      <c r="E42" s="25"/>
    </row>
    <row r="43" spans="1:5">
      <c r="A43" s="19" t="s">
        <v>19</v>
      </c>
      <c r="B43" s="14"/>
      <c r="C43" s="14"/>
      <c r="D43" s="14"/>
      <c r="E43" s="14"/>
    </row>
    <row r="44" spans="1:5">
      <c r="A44" s="35">
        <v>43910</v>
      </c>
      <c r="B44" s="20"/>
      <c r="C44" s="22">
        <v>293.5</v>
      </c>
      <c r="D44" s="22">
        <v>297.5</v>
      </c>
      <c r="E44" s="22">
        <v>207.5</v>
      </c>
    </row>
    <row r="45" spans="1:5">
      <c r="A45" s="35">
        <v>43941</v>
      </c>
      <c r="B45" s="20"/>
      <c r="C45" s="22">
        <v>264</v>
      </c>
      <c r="D45" s="22">
        <v>261.5</v>
      </c>
      <c r="E45" s="22">
        <v>189.5</v>
      </c>
    </row>
    <row r="46" spans="1:5">
      <c r="A46" s="35">
        <v>43970</v>
      </c>
      <c r="B46" s="20"/>
      <c r="C46" s="22">
        <v>290.5</v>
      </c>
      <c r="D46" s="22">
        <v>278</v>
      </c>
      <c r="E46" s="22">
        <v>213.5</v>
      </c>
    </row>
    <row r="47" spans="1:5">
      <c r="A47" s="407" t="s">
        <v>401</v>
      </c>
      <c r="B47" s="407"/>
      <c r="C47" s="21">
        <f>AVERAGE(C44:C46)</f>
        <v>282.66666666666669</v>
      </c>
      <c r="D47" s="21">
        <f>AVERAGE(D44:D46)</f>
        <v>279</v>
      </c>
      <c r="E47" s="21">
        <f>AVERAGE(E44:E46)</f>
        <v>203.5</v>
      </c>
    </row>
    <row r="48" spans="1:5">
      <c r="A48" s="27" t="s">
        <v>15</v>
      </c>
      <c r="B48" s="23"/>
      <c r="C48" s="33">
        <f>STDEV(C44:C46)</f>
        <v>16.235249715767644</v>
      </c>
      <c r="D48" s="33">
        <f t="shared" ref="D48:E48" si="0">STDEV(D44:D46)</f>
        <v>18.020821290940098</v>
      </c>
      <c r="E48" s="33">
        <f t="shared" si="0"/>
        <v>12.489995996796797</v>
      </c>
    </row>
    <row r="49" spans="1:5">
      <c r="A49" s="23"/>
      <c r="B49" s="23"/>
      <c r="C49" s="25"/>
      <c r="D49" s="25"/>
      <c r="E49" s="25"/>
    </row>
    <row r="50" spans="1:5">
      <c r="A50" s="18"/>
      <c r="B50" s="12"/>
    </row>
    <row r="52" spans="1:5">
      <c r="A52" s="15" t="s">
        <v>9</v>
      </c>
      <c r="B52" s="15" t="s">
        <v>13</v>
      </c>
      <c r="C52" s="16"/>
      <c r="D52" s="16"/>
      <c r="E52" s="31" t="s">
        <v>18</v>
      </c>
    </row>
    <row r="54" spans="1:5">
      <c r="A54" s="15"/>
      <c r="B54" s="16"/>
      <c r="C54" s="17" t="s">
        <v>8</v>
      </c>
      <c r="D54" s="17" t="s">
        <v>338</v>
      </c>
      <c r="E54" s="17" t="s">
        <v>17</v>
      </c>
    </row>
    <row r="55" spans="1:5">
      <c r="A55" s="34">
        <v>43661</v>
      </c>
      <c r="C55" s="8">
        <v>637.5</v>
      </c>
      <c r="D55" s="8">
        <v>0</v>
      </c>
      <c r="E55" s="8">
        <v>415</v>
      </c>
    </row>
    <row r="56" spans="1:5">
      <c r="A56" s="34">
        <v>43692</v>
      </c>
      <c r="C56" s="8">
        <v>586.5</v>
      </c>
      <c r="D56" s="8">
        <v>0</v>
      </c>
      <c r="E56" s="8">
        <v>290</v>
      </c>
    </row>
    <row r="57" spans="1:5">
      <c r="A57" s="34">
        <v>43721</v>
      </c>
      <c r="C57" s="8">
        <v>622</v>
      </c>
      <c r="D57" s="8">
        <v>517.5</v>
      </c>
      <c r="E57" s="8">
        <v>408.5</v>
      </c>
    </row>
    <row r="58" spans="1:5">
      <c r="A58" s="34">
        <v>43753</v>
      </c>
      <c r="C58" s="8">
        <v>613.5</v>
      </c>
      <c r="D58" s="8">
        <v>528</v>
      </c>
      <c r="E58" s="8">
        <v>369</v>
      </c>
    </row>
    <row r="59" spans="1:5">
      <c r="A59" s="34">
        <v>43784</v>
      </c>
      <c r="C59" s="8">
        <v>625.5</v>
      </c>
      <c r="D59" s="8">
        <v>574.5</v>
      </c>
      <c r="E59" s="8">
        <v>327.5</v>
      </c>
    </row>
    <row r="60" spans="1:5">
      <c r="A60" s="34">
        <v>43815</v>
      </c>
      <c r="C60" s="8">
        <v>635</v>
      </c>
      <c r="D60" s="8">
        <v>597</v>
      </c>
      <c r="E60" s="8">
        <v>350</v>
      </c>
    </row>
    <row r="61" spans="1:5">
      <c r="A61" s="34">
        <v>43845</v>
      </c>
      <c r="C61" s="8">
        <v>604</v>
      </c>
      <c r="D61" s="8">
        <v>583.5</v>
      </c>
      <c r="E61" s="8">
        <v>340</v>
      </c>
    </row>
    <row r="62" spans="1:5">
      <c r="A62" s="34">
        <v>43875</v>
      </c>
      <c r="C62" s="8">
        <v>546.5</v>
      </c>
      <c r="D62" s="8">
        <v>493</v>
      </c>
      <c r="E62" s="8">
        <v>356</v>
      </c>
    </row>
    <row r="63" spans="1:5" ht="17" thickBot="1">
      <c r="A63" s="36" t="s">
        <v>301</v>
      </c>
      <c r="B63" s="32"/>
      <c r="C63" s="28">
        <f>AVERAGE(C55:C62)</f>
        <v>608.8125</v>
      </c>
      <c r="D63" s="28">
        <f>AVERAGE(D57:D62)</f>
        <v>548.91666666666663</v>
      </c>
      <c r="E63" s="28">
        <f>AVERAGE(E55:E62)</f>
        <v>357</v>
      </c>
    </row>
    <row r="64" spans="1:5">
      <c r="A64" s="29" t="s">
        <v>15</v>
      </c>
      <c r="B64" s="29"/>
      <c r="C64" s="30">
        <f>STDEV(C55:C62)</f>
        <v>30.206358720356498</v>
      </c>
      <c r="D64" s="30">
        <f>STDEV(D57:D62)</f>
        <v>41.746157507807425</v>
      </c>
      <c r="E64" s="30">
        <f>STDEV(E55:E62)</f>
        <v>41.159098976671352</v>
      </c>
    </row>
    <row r="65" spans="1:5">
      <c r="A65" s="23"/>
      <c r="B65" s="24"/>
      <c r="C65" s="25"/>
      <c r="D65" s="25"/>
      <c r="E65" s="25"/>
    </row>
    <row r="66" spans="1:5">
      <c r="A66" s="19" t="s">
        <v>19</v>
      </c>
      <c r="B66" s="14"/>
      <c r="C66" s="8"/>
      <c r="D66" s="14"/>
      <c r="E66" s="14"/>
    </row>
    <row r="67" spans="1:5">
      <c r="A67" s="35">
        <v>43910</v>
      </c>
      <c r="B67" s="20"/>
      <c r="C67" s="22">
        <v>331</v>
      </c>
      <c r="D67" s="22">
        <v>250</v>
      </c>
      <c r="E67" s="22">
        <v>182</v>
      </c>
    </row>
    <row r="68" spans="1:5">
      <c r="A68" s="35">
        <v>43941</v>
      </c>
      <c r="B68" s="20"/>
      <c r="C68" s="22">
        <v>258.5</v>
      </c>
      <c r="D68" s="22">
        <v>220</v>
      </c>
      <c r="E68" s="22">
        <v>145.5</v>
      </c>
    </row>
    <row r="69" spans="1:5">
      <c r="A69" s="35">
        <v>43970</v>
      </c>
      <c r="B69" s="20"/>
      <c r="C69" s="22">
        <v>282.5</v>
      </c>
      <c r="D69" s="22">
        <v>246.5</v>
      </c>
      <c r="E69" s="22">
        <v>170.5</v>
      </c>
    </row>
    <row r="70" spans="1:5">
      <c r="A70" s="407" t="s">
        <v>401</v>
      </c>
      <c r="B70" s="407"/>
      <c r="C70" s="21">
        <f>AVERAGE(C67:C69)</f>
        <v>290.66666666666669</v>
      </c>
      <c r="D70" s="21">
        <f>AVERAGE(D67:D69)</f>
        <v>238.83333333333334</v>
      </c>
      <c r="E70" s="21">
        <f>AVERAGE(E67:E69)</f>
        <v>166</v>
      </c>
    </row>
    <row r="71" spans="1:5">
      <c r="A71" s="27" t="s">
        <v>15</v>
      </c>
      <c r="B71" s="23"/>
      <c r="C71" s="33">
        <f>STDEV(C67:C69)</f>
        <v>36.933498796259862</v>
      </c>
      <c r="D71" s="33">
        <f t="shared" ref="D71:E71" si="1">STDEV(D67:D69)</f>
        <v>16.403759731638761</v>
      </c>
      <c r="E71" s="33">
        <f t="shared" si="1"/>
        <v>18.661457606521523</v>
      </c>
    </row>
    <row r="72" spans="1:5">
      <c r="A72" s="23"/>
      <c r="B72" s="23"/>
      <c r="C72" s="25"/>
      <c r="D72" s="25"/>
      <c r="E72" s="25"/>
    </row>
    <row r="73" spans="1:5">
      <c r="A73" s="18"/>
      <c r="B73" s="12"/>
    </row>
    <row r="75" spans="1:5">
      <c r="A75" s="15" t="s">
        <v>9</v>
      </c>
      <c r="B75" s="15" t="s">
        <v>14</v>
      </c>
      <c r="C75" s="16"/>
      <c r="D75" s="16"/>
      <c r="E75" s="31" t="s">
        <v>18</v>
      </c>
    </row>
    <row r="77" spans="1:5">
      <c r="A77" s="15"/>
      <c r="B77" s="16"/>
      <c r="C77" s="17" t="s">
        <v>8</v>
      </c>
      <c r="D77" s="17" t="s">
        <v>338</v>
      </c>
      <c r="E77" s="17" t="s">
        <v>17</v>
      </c>
    </row>
    <row r="78" spans="1:5">
      <c r="A78" s="34">
        <v>43661</v>
      </c>
      <c r="C78" s="8">
        <v>696</v>
      </c>
      <c r="D78" s="8">
        <v>618.5</v>
      </c>
      <c r="E78" s="8">
        <v>437.5</v>
      </c>
    </row>
    <row r="79" spans="1:5">
      <c r="A79" s="34">
        <v>43692</v>
      </c>
      <c r="C79" s="8">
        <v>667.5</v>
      </c>
      <c r="D79" s="8">
        <v>623</v>
      </c>
      <c r="E79" s="8">
        <v>324.5</v>
      </c>
    </row>
    <row r="80" spans="1:5">
      <c r="A80" s="34">
        <v>43724</v>
      </c>
      <c r="C80" s="8">
        <v>700</v>
      </c>
      <c r="D80" s="8">
        <v>660</v>
      </c>
      <c r="E80" s="8">
        <v>462</v>
      </c>
    </row>
    <row r="81" spans="1:7">
      <c r="A81" s="34">
        <v>43753</v>
      </c>
      <c r="C81" s="8">
        <v>682</v>
      </c>
      <c r="D81" s="8">
        <v>568.5</v>
      </c>
      <c r="E81" s="8">
        <v>308.5</v>
      </c>
    </row>
    <row r="82" spans="1:7">
      <c r="A82" s="34">
        <v>43784</v>
      </c>
      <c r="C82" s="8">
        <v>675.5</v>
      </c>
      <c r="D82" s="8">
        <v>565.5</v>
      </c>
      <c r="E82" s="8">
        <v>252.5</v>
      </c>
    </row>
    <row r="83" spans="1:7">
      <c r="A83" s="34">
        <v>43815</v>
      </c>
      <c r="C83" s="8">
        <v>708</v>
      </c>
      <c r="D83" s="8">
        <v>627</v>
      </c>
      <c r="E83" s="8">
        <v>293.5</v>
      </c>
    </row>
    <row r="84" spans="1:7">
      <c r="A84" s="34">
        <v>43845</v>
      </c>
      <c r="C84" s="8">
        <v>749</v>
      </c>
      <c r="D84" s="8">
        <v>696.5</v>
      </c>
      <c r="E84" s="8">
        <v>309</v>
      </c>
    </row>
    <row r="85" spans="1:7">
      <c r="A85" s="34">
        <v>43875</v>
      </c>
      <c r="C85" s="8">
        <v>651.5</v>
      </c>
      <c r="D85" s="8">
        <v>513.5</v>
      </c>
      <c r="E85" s="8">
        <v>312.5</v>
      </c>
    </row>
    <row r="86" spans="1:7" ht="17" thickBot="1">
      <c r="A86" s="36" t="s">
        <v>301</v>
      </c>
      <c r="B86" s="32"/>
      <c r="C86" s="28">
        <f>AVERAGE(C78:C85)</f>
        <v>691.1875</v>
      </c>
      <c r="D86" s="28">
        <f>AVERAGE(D78:D85)</f>
        <v>609.0625</v>
      </c>
      <c r="E86" s="28">
        <f>AVERAGE(E78:E85)</f>
        <v>337.5</v>
      </c>
    </row>
    <row r="87" spans="1:7">
      <c r="A87" s="29" t="s">
        <v>15</v>
      </c>
      <c r="B87" s="29"/>
      <c r="C87" s="30">
        <f>STDEV(C78:C85)</f>
        <v>29.742871294768143</v>
      </c>
      <c r="D87" s="30">
        <f>STDEV(D78:D85)</f>
        <v>57.965776540990113</v>
      </c>
      <c r="E87" s="30">
        <f>STDEV(E78:E85)</f>
        <v>72.809438163704328</v>
      </c>
    </row>
    <row r="88" spans="1:7">
      <c r="A88" s="23"/>
      <c r="B88" s="24"/>
      <c r="C88" s="25"/>
      <c r="D88" s="25"/>
      <c r="E88" s="25"/>
    </row>
    <row r="89" spans="1:7">
      <c r="A89" s="19" t="s">
        <v>19</v>
      </c>
      <c r="B89" s="14"/>
      <c r="C89" s="8"/>
      <c r="D89" s="14"/>
      <c r="E89" s="14"/>
    </row>
    <row r="90" spans="1:7">
      <c r="A90" s="35">
        <v>43910</v>
      </c>
      <c r="B90" s="20"/>
      <c r="C90" s="22">
        <v>475</v>
      </c>
      <c r="D90" s="22">
        <v>300.5</v>
      </c>
      <c r="E90" s="22">
        <v>228</v>
      </c>
    </row>
    <row r="91" spans="1:7">
      <c r="A91" s="35">
        <v>43941</v>
      </c>
      <c r="B91" s="20"/>
      <c r="C91" s="22">
        <v>1</v>
      </c>
      <c r="D91" s="22">
        <v>243.5</v>
      </c>
      <c r="E91" s="22">
        <v>157</v>
      </c>
    </row>
    <row r="92" spans="1:7">
      <c r="A92" s="35">
        <v>43970</v>
      </c>
      <c r="B92" s="20"/>
      <c r="C92" s="22">
        <v>368</v>
      </c>
      <c r="D92" s="22">
        <v>274.5</v>
      </c>
      <c r="E92" s="22">
        <v>189.5</v>
      </c>
    </row>
    <row r="93" spans="1:7">
      <c r="A93" s="407" t="s">
        <v>401</v>
      </c>
      <c r="B93" s="407"/>
      <c r="C93" s="21">
        <f>AVERAGE(C90:C92)</f>
        <v>281.33333333333331</v>
      </c>
      <c r="D93" s="21">
        <f>AVERAGE(D90:D92)</f>
        <v>272.83333333333331</v>
      </c>
      <c r="E93" s="21">
        <f>AVERAGE(E90:E92)</f>
        <v>191.5</v>
      </c>
    </row>
    <row r="94" spans="1:7">
      <c r="A94" s="27" t="s">
        <v>15</v>
      </c>
      <c r="B94" s="23"/>
      <c r="C94" s="33">
        <f>STDEV(C90:C92)</f>
        <v>248.60075087041335</v>
      </c>
      <c r="D94" s="33">
        <f t="shared" ref="D94" si="2">STDEV(D90:D92)</f>
        <v>28.536526301099322</v>
      </c>
      <c r="E94" s="33">
        <f>STDEV(E90:E92)</f>
        <v>35.54222840509582</v>
      </c>
      <c r="F94" s="25"/>
      <c r="G94" s="25"/>
    </row>
    <row r="95" spans="1:7">
      <c r="A95" s="23"/>
      <c r="B95" s="23"/>
      <c r="C95" s="24"/>
      <c r="D95" s="24"/>
      <c r="E95" s="25"/>
      <c r="F95" s="25"/>
      <c r="G95" s="25"/>
    </row>
    <row r="96" spans="1:7">
      <c r="A96" s="18" t="s">
        <v>11</v>
      </c>
      <c r="B96" s="432" t="s">
        <v>449</v>
      </c>
    </row>
    <row r="97" spans="9:14">
      <c r="I97" s="6"/>
      <c r="J97" s="6"/>
      <c r="K97" s="6"/>
      <c r="L97" s="6"/>
      <c r="M97" s="6"/>
      <c r="N97" s="6"/>
    </row>
    <row r="98" spans="9:14">
      <c r="I98" s="42"/>
      <c r="J98" s="408"/>
      <c r="K98" s="408"/>
      <c r="L98" s="42"/>
      <c r="M98" s="6"/>
      <c r="N98" s="42"/>
    </row>
    <row r="99" spans="9:14">
      <c r="I99" s="42"/>
      <c r="J99" s="406"/>
      <c r="K99" s="406"/>
      <c r="L99" s="45"/>
      <c r="M99" s="6"/>
      <c r="N99" s="45"/>
    </row>
    <row r="100" spans="9:14">
      <c r="I100" s="42"/>
      <c r="J100" s="409"/>
      <c r="K100" s="409"/>
      <c r="L100" s="45"/>
      <c r="M100" s="6"/>
      <c r="N100" s="45"/>
    </row>
    <row r="101" spans="9:14">
      <c r="I101" s="42"/>
      <c r="J101" s="406"/>
      <c r="K101" s="406"/>
      <c r="L101" s="45"/>
      <c r="M101" s="6"/>
      <c r="N101" s="45"/>
    </row>
    <row r="102" spans="9:14">
      <c r="I102" s="42"/>
      <c r="J102" s="406"/>
      <c r="K102" s="406"/>
      <c r="L102" s="45"/>
      <c r="M102" s="6"/>
      <c r="N102" s="45"/>
    </row>
    <row r="103" spans="9:14">
      <c r="I103" s="6"/>
      <c r="J103" s="6"/>
      <c r="K103" s="6"/>
      <c r="L103" s="6"/>
      <c r="M103" s="6"/>
      <c r="N103" s="6"/>
    </row>
  </sheetData>
  <mergeCells count="46">
    <mergeCell ref="V1:X1"/>
    <mergeCell ref="Y1:Z1"/>
    <mergeCell ref="A47:B47"/>
    <mergeCell ref="A70:B70"/>
    <mergeCell ref="L18:M18"/>
    <mergeCell ref="N18:O18"/>
    <mergeCell ref="L19:M19"/>
    <mergeCell ref="N19:O19"/>
    <mergeCell ref="L20:M20"/>
    <mergeCell ref="N20:O20"/>
    <mergeCell ref="L21:M21"/>
    <mergeCell ref="N21:O21"/>
    <mergeCell ref="J10:K10"/>
    <mergeCell ref="L10:M10"/>
    <mergeCell ref="N10:O10"/>
    <mergeCell ref="J21:K21"/>
    <mergeCell ref="J8:K8"/>
    <mergeCell ref="J9:K9"/>
    <mergeCell ref="A93:B93"/>
    <mergeCell ref="J98:K98"/>
    <mergeCell ref="J99:K99"/>
    <mergeCell ref="N8:O8"/>
    <mergeCell ref="N9:O9"/>
    <mergeCell ref="L6:M6"/>
    <mergeCell ref="L7:M7"/>
    <mergeCell ref="L8:M8"/>
    <mergeCell ref="L9:M9"/>
    <mergeCell ref="J5:K5"/>
    <mergeCell ref="L5:M5"/>
    <mergeCell ref="N5:O5"/>
    <mergeCell ref="N6:O6"/>
    <mergeCell ref="N7:O7"/>
    <mergeCell ref="J6:K6"/>
    <mergeCell ref="J7:K7"/>
    <mergeCell ref="N16:O16"/>
    <mergeCell ref="J17:K17"/>
    <mergeCell ref="L17:M17"/>
    <mergeCell ref="N17:O17"/>
    <mergeCell ref="J102:K102"/>
    <mergeCell ref="J100:K100"/>
    <mergeCell ref="J101:K101"/>
    <mergeCell ref="J18:K18"/>
    <mergeCell ref="J19:K19"/>
    <mergeCell ref="J20:K20"/>
    <mergeCell ref="J16:K16"/>
    <mergeCell ref="L16:M16"/>
  </mergeCells>
  <hyperlinks>
    <hyperlink ref="B96" r:id="rId1" location="IFO380" display="https://shipandbunker.com/prices/emea/nwe/nl-rtm-rotterdam - IFO380" xr:uid="{D0259AD1-A72E-7045-9AA1-B823A513E2FD}"/>
  </hyperlinks>
  <pageMargins left="0.7" right="0.7" top="0.75" bottom="0.75" header="0.3" footer="0.3"/>
  <pageSetup paperSize="9" orientation="portrait" horizontalDpi="0" verticalDpi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8BD08-23C8-9449-A397-6B1E94390188}">
  <sheetPr>
    <tabColor theme="8" tint="0.79998168889431442"/>
  </sheetPr>
  <dimension ref="A1:AQ75"/>
  <sheetViews>
    <sheetView showGridLines="0" topLeftCell="A32" zoomScale="84" workbookViewId="0">
      <selection activeCell="L75" sqref="L75"/>
    </sheetView>
  </sheetViews>
  <sheetFormatPr baseColWidth="10" defaultRowHeight="16"/>
  <cols>
    <col min="1" max="1" width="14.33203125" customWidth="1"/>
    <col min="2" max="2" width="15.83203125" customWidth="1"/>
    <col min="3" max="3" width="15" customWidth="1"/>
    <col min="4" max="4" width="18.33203125" bestFit="1" customWidth="1"/>
    <col min="5" max="5" width="16" customWidth="1"/>
    <col min="6" max="6" width="16.1640625" customWidth="1"/>
    <col min="7" max="7" width="16" customWidth="1"/>
    <col min="8" max="8" width="14.5" bestFit="1" customWidth="1"/>
    <col min="9" max="9" width="16.1640625" customWidth="1"/>
    <col min="10" max="14" width="14.5" customWidth="1"/>
    <col min="15" max="15" width="14.6640625" customWidth="1"/>
    <col min="16" max="16" width="15.5" customWidth="1"/>
    <col min="17" max="17" width="16" customWidth="1"/>
    <col min="18" max="18" width="15.33203125" customWidth="1"/>
    <col min="19" max="19" width="15" customWidth="1"/>
    <col min="20" max="20" width="14.83203125" customWidth="1"/>
    <col min="21" max="21" width="14.5" bestFit="1" customWidth="1"/>
    <col min="22" max="22" width="23.1640625" customWidth="1"/>
    <col min="23" max="23" width="21" bestFit="1" customWidth="1"/>
    <col min="24" max="24" width="13.83203125" bestFit="1" customWidth="1"/>
    <col min="26" max="26" width="13.83203125" bestFit="1" customWidth="1"/>
    <col min="36" max="41" width="8.33203125" customWidth="1"/>
    <col min="42" max="42" width="13.33203125" customWidth="1"/>
  </cols>
  <sheetData>
    <row r="1" spans="1:43" ht="19">
      <c r="C1" s="95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</row>
    <row r="2" spans="1:43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252"/>
      <c r="R2" s="252"/>
      <c r="S2" s="252"/>
      <c r="T2" s="252"/>
      <c r="U2" s="252"/>
      <c r="V2" s="186"/>
      <c r="W2" s="252"/>
      <c r="X2" s="186"/>
      <c r="Y2" s="186"/>
      <c r="Z2" s="186"/>
    </row>
    <row r="3" spans="1:43">
      <c r="A3" s="186" t="s">
        <v>446</v>
      </c>
      <c r="B3" s="186"/>
      <c r="C3" s="186"/>
      <c r="U3" s="255"/>
      <c r="V3" s="255"/>
      <c r="W3" s="186"/>
      <c r="X3" s="186"/>
      <c r="Y3" s="186"/>
      <c r="Z3" s="18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>
      <c r="A4" t="s">
        <v>447</v>
      </c>
      <c r="B4" s="18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186"/>
      <c r="V4" s="186"/>
      <c r="W4" s="186"/>
      <c r="X4" s="186"/>
      <c r="Y4" s="186"/>
      <c r="Z4" s="18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>
      <c r="A5" s="256"/>
      <c r="B5" s="256"/>
      <c r="C5" s="305">
        <v>0</v>
      </c>
      <c r="D5" s="305">
        <v>1</v>
      </c>
      <c r="E5" s="305">
        <v>2</v>
      </c>
      <c r="F5" s="305">
        <v>3</v>
      </c>
      <c r="G5" s="305">
        <v>4</v>
      </c>
      <c r="H5" s="305">
        <v>5</v>
      </c>
      <c r="I5" s="305">
        <v>6</v>
      </c>
      <c r="J5" s="305">
        <v>7</v>
      </c>
      <c r="K5" s="305">
        <v>8</v>
      </c>
      <c r="L5" s="305">
        <v>9</v>
      </c>
      <c r="M5" s="305">
        <v>10</v>
      </c>
      <c r="N5" s="252"/>
      <c r="O5" s="266"/>
      <c r="P5" s="266"/>
      <c r="Q5" s="43"/>
      <c r="R5" s="266"/>
      <c r="S5" s="266"/>
      <c r="T5" s="6"/>
      <c r="U5" s="186"/>
      <c r="V5" s="186"/>
      <c r="W5" s="186"/>
      <c r="X5" s="186"/>
      <c r="Y5" s="186"/>
      <c r="Z5" s="18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>
      <c r="A6" s="256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186"/>
      <c r="O6" s="186"/>
      <c r="P6" s="186"/>
      <c r="Q6" s="186"/>
      <c r="R6" s="186"/>
      <c r="S6" s="6"/>
      <c r="T6" s="6"/>
      <c r="U6" s="44"/>
      <c r="V6" s="213"/>
      <c r="W6" s="213"/>
      <c r="X6" s="264"/>
      <c r="Y6" s="264"/>
      <c r="Z6" s="264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>
      <c r="A7" s="256"/>
      <c r="B7" s="256"/>
      <c r="C7" s="256"/>
      <c r="D7" s="259">
        <f>'Base Scenario'!F35</f>
        <v>3147399.7711456809</v>
      </c>
      <c r="E7" s="259">
        <f>'Base Scenario'!G35</f>
        <v>3819234.6309603201</v>
      </c>
      <c r="F7" s="259">
        <f>'Base Scenario'!H35</f>
        <v>4101920.5290822284</v>
      </c>
      <c r="G7" s="259">
        <f>'Base Scenario'!I35</f>
        <v>4363399.2519453913</v>
      </c>
      <c r="H7" s="259">
        <f>'Base Scenario'!J35</f>
        <v>4648815.38780687</v>
      </c>
      <c r="I7" s="259">
        <f>'Base Scenario'!K35</f>
        <v>4953297.961573502</v>
      </c>
      <c r="J7" s="259">
        <f>'Base Scenario'!L35</f>
        <v>5274039.9012939157</v>
      </c>
      <c r="K7" s="259">
        <f>'Base Scenario'!M35</f>
        <v>5597352.9827154782</v>
      </c>
      <c r="L7" s="259">
        <f>'Base Scenario'!N35</f>
        <v>5955652.8360647019</v>
      </c>
      <c r="M7" s="259">
        <f>'Base Scenario'!O35</f>
        <v>6333905.1300232215</v>
      </c>
      <c r="N7" s="186"/>
      <c r="O7" s="213"/>
      <c r="P7" s="213"/>
      <c r="Q7" s="304"/>
      <c r="R7" s="213"/>
      <c r="S7" s="45"/>
      <c r="T7" s="6"/>
      <c r="U7" s="264"/>
      <c r="V7" s="264"/>
      <c r="W7" s="213"/>
      <c r="X7" s="264"/>
      <c r="Y7" s="264"/>
      <c r="Z7" s="264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>
      <c r="A8" s="256"/>
      <c r="B8" s="256"/>
      <c r="C8" s="72"/>
      <c r="D8" s="72"/>
      <c r="E8" s="72"/>
      <c r="F8" s="72"/>
      <c r="G8" s="72"/>
      <c r="H8" s="72"/>
      <c r="I8" s="256"/>
      <c r="J8" s="256"/>
      <c r="K8" s="256"/>
      <c r="L8" s="256"/>
      <c r="M8" s="256"/>
      <c r="N8" s="186"/>
      <c r="O8" s="300"/>
      <c r="P8" s="213"/>
      <c r="Q8" s="299"/>
      <c r="R8" s="264"/>
      <c r="S8" s="6"/>
      <c r="T8" s="6"/>
      <c r="U8" s="264"/>
      <c r="V8" s="264"/>
      <c r="W8" s="213"/>
      <c r="X8" s="264"/>
      <c r="Y8" s="264"/>
      <c r="Z8" s="264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>
      <c r="A9" s="257"/>
      <c r="B9" s="257"/>
      <c r="C9" s="263" t="s">
        <v>382</v>
      </c>
      <c r="D9" s="257"/>
      <c r="E9" s="72"/>
      <c r="F9" s="72"/>
      <c r="G9" s="72"/>
      <c r="H9" s="72"/>
      <c r="I9" s="256"/>
      <c r="J9" s="256"/>
      <c r="K9" s="256"/>
      <c r="L9" s="256"/>
      <c r="M9" s="256"/>
      <c r="N9" s="186"/>
      <c r="O9" s="213"/>
      <c r="P9" s="213"/>
      <c r="Q9" s="299"/>
      <c r="R9" s="264"/>
      <c r="S9" s="6"/>
      <c r="T9" s="6"/>
      <c r="U9" s="264"/>
      <c r="V9" s="264"/>
      <c r="W9" s="213"/>
      <c r="X9" s="264"/>
      <c r="Y9" s="264"/>
      <c r="Z9" s="264"/>
      <c r="AG9" s="6"/>
      <c r="AH9" s="6"/>
      <c r="AI9" s="42"/>
      <c r="AJ9" s="43"/>
      <c r="AK9" s="43"/>
      <c r="AL9" s="43"/>
      <c r="AM9" s="43"/>
      <c r="AN9" s="43"/>
      <c r="AO9" s="43"/>
      <c r="AP9" s="52"/>
      <c r="AQ9" s="6"/>
    </row>
    <row r="10" spans="1:43">
      <c r="A10" s="265" t="s">
        <v>381</v>
      </c>
      <c r="B10" s="265"/>
      <c r="C10" s="262">
        <v>-3900000</v>
      </c>
      <c r="D10" s="72"/>
      <c r="E10" s="257"/>
      <c r="F10" s="257"/>
      <c r="G10" s="257"/>
      <c r="H10" s="257"/>
      <c r="I10" s="256"/>
      <c r="J10" s="256"/>
      <c r="K10" s="256"/>
      <c r="L10" s="256"/>
      <c r="M10" s="256"/>
      <c r="N10" s="186"/>
      <c r="O10" s="264"/>
      <c r="P10" s="213"/>
      <c r="Q10" s="299"/>
      <c r="R10" s="264"/>
      <c r="S10" s="6"/>
      <c r="T10" s="6"/>
      <c r="U10" s="213"/>
      <c r="V10" s="213"/>
      <c r="W10" s="213"/>
      <c r="X10" s="264"/>
      <c r="Y10" s="264"/>
      <c r="Z10" s="264"/>
      <c r="AG10" s="6"/>
      <c r="AH10" s="6"/>
      <c r="AI10" s="6"/>
      <c r="AJ10" s="253"/>
      <c r="AK10" s="253"/>
      <c r="AL10" s="253"/>
      <c r="AM10" s="253"/>
      <c r="AN10" s="253"/>
      <c r="AO10" s="253"/>
      <c r="AP10" s="158"/>
      <c r="AQ10" s="6"/>
    </row>
    <row r="11" spans="1:43">
      <c r="A11" s="256"/>
      <c r="B11" s="256"/>
      <c r="C11" s="263" t="s">
        <v>383</v>
      </c>
      <c r="D11" s="256"/>
      <c r="E11" s="259">
        <f>'Covid kortsiktig'!G35</f>
        <v>1450865.2125430906</v>
      </c>
      <c r="F11" s="259">
        <f>'Covid kortsiktig'!H35</f>
        <v>1549263.8806078564</v>
      </c>
      <c r="G11" s="259">
        <f>'Covid kortsiktig'!I35</f>
        <v>1654126.1620710893</v>
      </c>
      <c r="H11" s="259">
        <f>'Covid kortsiktig'!J35</f>
        <v>1765873.6182032451</v>
      </c>
      <c r="I11" s="259">
        <f>'Covid kortsiktig'!K35</f>
        <v>1884955.2598956993</v>
      </c>
      <c r="J11" s="259">
        <f>'Covid kortsiktig'!L35</f>
        <v>2011849.334348643</v>
      </c>
      <c r="K11" s="259">
        <f>'Covid kortsiktig'!M35</f>
        <v>2147065.2280438822</v>
      </c>
      <c r="L11" s="259">
        <f>'Covid kortsiktig'!N35</f>
        <v>2291145.4935707483</v>
      </c>
      <c r="M11" s="259">
        <f>'Covid kortsiktig'!O35</f>
        <v>2444668.0083657191</v>
      </c>
      <c r="N11" s="186"/>
      <c r="O11" s="213"/>
      <c r="P11" s="213"/>
      <c r="Q11" s="304"/>
      <c r="R11" s="213"/>
      <c r="S11" s="45"/>
      <c r="T11" s="6"/>
      <c r="U11" s="264"/>
      <c r="V11" s="264"/>
      <c r="W11" s="213"/>
      <c r="X11" s="264"/>
      <c r="Y11" s="264"/>
      <c r="Z11" s="264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43">
      <c r="A12" s="256"/>
      <c r="B12" s="256"/>
      <c r="C12" s="72"/>
      <c r="D12" s="263" t="s">
        <v>385</v>
      </c>
      <c r="E12" s="256"/>
      <c r="F12" s="256"/>
      <c r="G12" s="256"/>
      <c r="H12" s="256"/>
      <c r="I12" s="256"/>
      <c r="J12" s="256"/>
      <c r="K12" s="256"/>
      <c r="L12" s="256"/>
      <c r="M12" s="256"/>
      <c r="N12" s="186"/>
      <c r="O12" s="264"/>
      <c r="P12" s="213"/>
      <c r="Q12" s="299"/>
      <c r="R12" s="264"/>
      <c r="S12" s="6"/>
      <c r="T12" s="6"/>
      <c r="U12" s="264"/>
      <c r="V12" s="264"/>
      <c r="W12" s="213"/>
      <c r="X12" s="264"/>
      <c r="Y12" s="264"/>
      <c r="Z12" s="264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</row>
    <row r="13" spans="1:43">
      <c r="A13" s="256"/>
      <c r="B13" s="256"/>
      <c r="C13" s="256"/>
      <c r="D13" s="262">
        <f>'Covid kortsiktig'!F35</f>
        <v>80061.282270320226</v>
      </c>
      <c r="E13" s="256"/>
      <c r="F13" s="256"/>
      <c r="G13" s="256"/>
      <c r="H13" s="256"/>
      <c r="I13" s="256"/>
      <c r="J13" s="256"/>
      <c r="K13" s="256"/>
      <c r="L13" s="256"/>
      <c r="M13" s="256"/>
      <c r="N13" s="186"/>
      <c r="O13" s="264"/>
      <c r="P13" s="213"/>
      <c r="Q13" s="299"/>
      <c r="R13" s="264"/>
      <c r="S13" s="6"/>
      <c r="T13" s="6"/>
      <c r="U13" s="264"/>
      <c r="V13" s="264"/>
      <c r="W13" s="213"/>
      <c r="X13" s="264"/>
      <c r="Y13" s="264"/>
      <c r="Z13" s="264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1:43">
      <c r="A14" s="256"/>
      <c r="B14" s="256"/>
      <c r="C14" s="256"/>
      <c r="D14" s="263" t="s">
        <v>386</v>
      </c>
      <c r="E14" s="256"/>
      <c r="F14" s="256"/>
      <c r="G14" s="256"/>
      <c r="H14" s="256"/>
      <c r="I14" s="256"/>
      <c r="J14" s="256"/>
      <c r="K14" s="256"/>
      <c r="L14" s="256"/>
      <c r="M14" s="256"/>
      <c r="N14" s="186"/>
      <c r="O14" s="264"/>
      <c r="P14" s="213"/>
      <c r="Q14" s="299"/>
      <c r="R14" s="264"/>
      <c r="S14" s="6"/>
      <c r="T14" s="6"/>
      <c r="U14" s="213"/>
      <c r="V14" s="213"/>
      <c r="W14" s="213"/>
      <c r="X14" s="264"/>
      <c r="Y14" s="264"/>
      <c r="Z14" s="264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</row>
    <row r="15" spans="1:43">
      <c r="A15" s="256"/>
      <c r="B15" s="256"/>
      <c r="C15" s="256"/>
      <c r="D15" s="256"/>
      <c r="E15" s="260">
        <f>'Covid langsiktig'!G35</f>
        <v>678156.96924603428</v>
      </c>
      <c r="F15" s="261">
        <f>'Covid langsiktig'!H35</f>
        <v>1105332.8402754157</v>
      </c>
      <c r="G15" s="261">
        <f>'Covid langsiktig'!I35</f>
        <v>1452834.2354791686</v>
      </c>
      <c r="H15" s="261">
        <f>'Covid langsiktig'!J35</f>
        <v>1542416.2292283243</v>
      </c>
      <c r="I15" s="261">
        <f>'Covid langsiktig'!K35</f>
        <v>1637542.2336662116</v>
      </c>
      <c r="J15" s="261">
        <f>'Covid langsiktig'!L35</f>
        <v>1738560.6586629821</v>
      </c>
      <c r="K15" s="261">
        <f>'Covid langsiktig'!M35</f>
        <v>1845842.0921668308</v>
      </c>
      <c r="L15" s="261">
        <f>'Covid langsiktig'!N35</f>
        <v>1959780.7242159981</v>
      </c>
      <c r="M15" s="261">
        <f>'Covid langsiktig'!O35</f>
        <v>2080795.8628805201</v>
      </c>
      <c r="N15" s="186"/>
      <c r="O15" s="213"/>
      <c r="P15" s="213"/>
      <c r="Q15" s="304"/>
      <c r="R15" s="213"/>
      <c r="S15" s="45"/>
      <c r="T15" s="6"/>
      <c r="U15" s="264"/>
      <c r="V15" s="264"/>
      <c r="W15" s="264"/>
      <c r="X15" s="264"/>
      <c r="Y15" s="264"/>
      <c r="Z15" s="264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</row>
    <row r="16" spans="1:43">
      <c r="A16" s="256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186"/>
      <c r="O16" s="264"/>
      <c r="P16" s="264"/>
      <c r="Q16" s="264"/>
      <c r="R16" s="264"/>
      <c r="S16" s="6"/>
      <c r="T16" s="6"/>
      <c r="U16" s="264"/>
      <c r="V16" s="264"/>
      <c r="W16" s="213"/>
      <c r="X16" s="264"/>
      <c r="Y16" s="266"/>
      <c r="Z16" s="303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</row>
    <row r="17" spans="1:43">
      <c r="A17" s="256"/>
      <c r="B17" s="256"/>
      <c r="C17" s="257"/>
      <c r="D17" s="258"/>
      <c r="E17" s="256"/>
      <c r="F17" s="256"/>
      <c r="G17" s="256"/>
      <c r="H17" s="256"/>
      <c r="I17" s="256"/>
      <c r="J17" s="256"/>
      <c r="K17" s="256"/>
      <c r="L17" s="256"/>
      <c r="M17" s="256"/>
      <c r="N17" s="186"/>
      <c r="O17" s="266"/>
      <c r="P17" s="266"/>
      <c r="Q17" s="301"/>
      <c r="R17" s="302"/>
      <c r="S17" s="302"/>
      <c r="T17" s="6"/>
      <c r="U17" s="186"/>
      <c r="V17" s="186"/>
      <c r="W17" s="186"/>
      <c r="X17" s="186"/>
      <c r="Y17" s="186"/>
      <c r="Z17" s="18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</row>
    <row r="18" spans="1:43">
      <c r="A18" s="186"/>
      <c r="B18" s="186"/>
      <c r="C18" s="186"/>
      <c r="D18" s="186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70"/>
      <c r="R18" s="6"/>
      <c r="S18" s="186"/>
      <c r="T18" s="186"/>
      <c r="U18" s="186"/>
      <c r="V18" s="186"/>
      <c r="W18" s="186"/>
      <c r="X18" s="255"/>
      <c r="Y18" s="186"/>
      <c r="Z18" s="18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</row>
    <row r="19" spans="1:43" s="95" customFormat="1" ht="19">
      <c r="A19" s="334"/>
      <c r="B19" s="334"/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53"/>
      <c r="R19" s="334"/>
      <c r="S19" s="334"/>
      <c r="T19" s="334"/>
      <c r="U19" s="334"/>
      <c r="V19" s="334"/>
      <c r="W19" s="334"/>
      <c r="X19" s="334"/>
      <c r="Y19" s="334"/>
      <c r="Z19" s="334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</row>
    <row r="20" spans="1:43">
      <c r="A20" s="186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255"/>
      <c r="R20" s="186"/>
      <c r="S20" s="186"/>
      <c r="T20" s="186"/>
      <c r="U20" s="186"/>
      <c r="V20" s="186"/>
      <c r="W20" s="186"/>
      <c r="X20" s="186"/>
      <c r="Y20" s="186"/>
      <c r="Z20" s="18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</row>
    <row r="21" spans="1:43" ht="19">
      <c r="A21" s="334" t="s">
        <v>421</v>
      </c>
      <c r="B21" s="186"/>
      <c r="C21" s="186"/>
      <c r="D21" s="255"/>
      <c r="E21" s="255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1:43" ht="19">
      <c r="A22" s="334"/>
      <c r="B22" s="186"/>
      <c r="C22" s="186"/>
      <c r="D22" s="255"/>
      <c r="E22" s="255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</row>
    <row r="23" spans="1:43">
      <c r="A23" s="332" t="s">
        <v>3</v>
      </c>
      <c r="B23" s="333">
        <v>8.3400000000000002E-2</v>
      </c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43" ht="16" customHeight="1">
      <c r="A24" s="5" t="s">
        <v>2</v>
      </c>
      <c r="B24" s="4">
        <v>1.4999999999999999E-2</v>
      </c>
      <c r="Q24" s="308"/>
      <c r="R24" s="414"/>
      <c r="S24" s="414"/>
    </row>
    <row r="25" spans="1:43" ht="16" customHeight="1">
      <c r="A25" s="5" t="s">
        <v>420</v>
      </c>
      <c r="B25" s="4">
        <v>0.7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06"/>
      <c r="Q25" s="308"/>
      <c r="R25" s="414"/>
      <c r="S25" s="414"/>
    </row>
    <row r="26" spans="1:43" ht="16" customHeight="1">
      <c r="A26" s="5" t="s">
        <v>419</v>
      </c>
      <c r="B26" s="4">
        <v>0.3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06"/>
      <c r="Q26" s="308"/>
      <c r="R26" s="414"/>
      <c r="S26" s="414"/>
    </row>
    <row r="27" spans="1:43" ht="16" customHeight="1">
      <c r="A27" s="5" t="s">
        <v>384</v>
      </c>
      <c r="B27" s="7">
        <v>25000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06"/>
      <c r="Q27" s="308"/>
      <c r="R27" s="414"/>
      <c r="S27" s="414"/>
    </row>
    <row r="28" spans="1:43" ht="16" customHeight="1">
      <c r="A28" s="5" t="s">
        <v>430</v>
      </c>
      <c r="B28" s="63">
        <v>40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06"/>
      <c r="Q28" s="308"/>
      <c r="R28" s="414"/>
      <c r="S28" s="414"/>
    </row>
    <row r="29" spans="1:43">
      <c r="C29" s="2">
        <v>0</v>
      </c>
      <c r="D29" s="2">
        <v>1</v>
      </c>
      <c r="E29" s="2">
        <v>2</v>
      </c>
      <c r="F29" s="2">
        <v>3</v>
      </c>
      <c r="G29" s="2">
        <v>4</v>
      </c>
      <c r="H29" s="2">
        <v>5</v>
      </c>
      <c r="I29" s="2">
        <v>6</v>
      </c>
      <c r="J29" s="2">
        <v>7</v>
      </c>
      <c r="K29" s="2">
        <v>8</v>
      </c>
      <c r="L29" s="2">
        <v>9</v>
      </c>
      <c r="M29" s="2">
        <v>10</v>
      </c>
      <c r="N29" s="2"/>
      <c r="O29" s="306" t="s">
        <v>315</v>
      </c>
      <c r="P29" s="306" t="s">
        <v>311</v>
      </c>
      <c r="Q29" s="359" t="s">
        <v>312</v>
      </c>
      <c r="R29" s="414"/>
      <c r="S29" s="414"/>
    </row>
    <row r="30" spans="1:43" s="174" customFormat="1">
      <c r="A30" s="337"/>
      <c r="B30" s="337"/>
      <c r="C30" s="338"/>
      <c r="D30" s="338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T30" s="307"/>
      <c r="U30" s="307"/>
    </row>
    <row r="31" spans="1:43" s="174" customFormat="1">
      <c r="A31" s="339" t="s">
        <v>395</v>
      </c>
      <c r="B31" s="340"/>
      <c r="C31" s="341">
        <v>-3900000</v>
      </c>
      <c r="D31" s="341">
        <f>D13</f>
        <v>80061.282270320226</v>
      </c>
      <c r="E31" s="341">
        <f>$B$25*E11+$B$26*E15</f>
        <v>1219052.7395539735</v>
      </c>
      <c r="F31" s="341">
        <f>$B$25*F11+$B$26*F15</f>
        <v>1416084.568508124</v>
      </c>
      <c r="G31" s="341">
        <f t="shared" ref="G31:M31" si="0">$B$25*G11+$B$26*G15</f>
        <v>1593738.584093513</v>
      </c>
      <c r="H31" s="341">
        <f t="shared" si="0"/>
        <v>1698836.4015107686</v>
      </c>
      <c r="I31" s="341">
        <f t="shared" si="0"/>
        <v>1810731.3520268528</v>
      </c>
      <c r="J31" s="341">
        <f t="shared" si="0"/>
        <v>1929862.7316429445</v>
      </c>
      <c r="K31" s="341">
        <f t="shared" si="0"/>
        <v>2056698.2872807668</v>
      </c>
      <c r="L31" s="341">
        <f t="shared" si="0"/>
        <v>2191736.0627643233</v>
      </c>
      <c r="M31" s="341">
        <f t="shared" si="0"/>
        <v>2335506.3647201592</v>
      </c>
      <c r="N31" s="340"/>
      <c r="O31" s="341">
        <f>NPV(B23,D31:E31)+C31</f>
        <v>-2787510.1620258661</v>
      </c>
      <c r="P31" s="341">
        <f>NPV(B23,D31:H31)+C31</f>
        <v>621053.08111010306</v>
      </c>
      <c r="Q31" s="341">
        <f>NPV(B23,D31:M31)+C31</f>
        <v>6040080.6757076662</v>
      </c>
      <c r="R31" s="254"/>
      <c r="S31"/>
      <c r="T31"/>
      <c r="U31" s="64"/>
      <c r="V31" s="64"/>
      <c r="W31"/>
    </row>
    <row r="32" spans="1:43" s="174" customFormat="1">
      <c r="A32" s="340"/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/>
      <c r="S32"/>
      <c r="T32"/>
      <c r="U32"/>
      <c r="V32"/>
      <c r="W32"/>
    </row>
    <row r="33" spans="1:23" s="174" customFormat="1">
      <c r="A33" s="342"/>
      <c r="B33" s="342"/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/>
      <c r="S33"/>
      <c r="T33"/>
      <c r="U33"/>
      <c r="V33"/>
      <c r="W33"/>
    </row>
    <row r="34" spans="1:23">
      <c r="A34" s="73"/>
      <c r="B34" s="73"/>
      <c r="C34" s="343"/>
      <c r="D34" s="343"/>
      <c r="E34" s="271"/>
      <c r="F34" s="271"/>
      <c r="G34" s="271"/>
      <c r="H34" s="271"/>
      <c r="I34" s="73"/>
      <c r="J34" s="73"/>
      <c r="K34" s="73"/>
      <c r="L34" s="73"/>
      <c r="M34" s="73"/>
      <c r="N34" s="73"/>
      <c r="O34" s="271"/>
      <c r="P34" s="271"/>
      <c r="Q34" s="267"/>
    </row>
    <row r="35" spans="1:23">
      <c r="A35" s="275" t="s">
        <v>413</v>
      </c>
      <c r="B35" s="73"/>
      <c r="C35" s="73"/>
      <c r="D35" s="271">
        <f>(C31*(1+B24))-D31</f>
        <v>-4038561.2822703198</v>
      </c>
      <c r="E35" s="271">
        <f>E11-(B27*B28)*(1+B24)^E29</f>
        <v>420640.21254309081</v>
      </c>
      <c r="F35" s="271">
        <f>F11</f>
        <v>1549263.8806078564</v>
      </c>
      <c r="G35" s="271">
        <f t="shared" ref="G35" si="1">G11</f>
        <v>1654126.1620710893</v>
      </c>
      <c r="H35" s="271">
        <f>H11</f>
        <v>1765873.6182032451</v>
      </c>
      <c r="I35" s="271">
        <f t="shared" ref="I35:M35" si="2">I11</f>
        <v>1884955.2598956993</v>
      </c>
      <c r="J35" s="271">
        <f t="shared" si="2"/>
        <v>2011849.334348643</v>
      </c>
      <c r="K35" s="271">
        <f t="shared" si="2"/>
        <v>2147065.2280438822</v>
      </c>
      <c r="L35" s="271">
        <f t="shared" si="2"/>
        <v>2291145.4935707483</v>
      </c>
      <c r="M35" s="271">
        <f t="shared" si="2"/>
        <v>2444668.0083657191</v>
      </c>
      <c r="N35" s="73"/>
      <c r="O35" s="271">
        <f>(NPV(B23,D41,E35)+(C31*(1+B24)/(1+B23)))</f>
        <v>-3369302.1063675079</v>
      </c>
      <c r="P35" s="271">
        <f>NPV(B23,D41,E35:H35)+(C31*(1+B24)/(1+B23))</f>
        <v>232736.01192102674</v>
      </c>
      <c r="Q35" s="366">
        <f>NPV($B$23,D41,E35:M35)+(C31*(1+B24)/(1+B23))</f>
        <v>5889411.5943066962</v>
      </c>
      <c r="R35" s="3"/>
    </row>
    <row r="36" spans="1:23">
      <c r="A36" s="73"/>
      <c r="B36" s="73"/>
      <c r="C36" s="344"/>
      <c r="D36" s="344"/>
      <c r="E36" s="271"/>
      <c r="F36" s="271"/>
      <c r="G36" s="271"/>
      <c r="H36" s="271"/>
      <c r="I36" s="73"/>
      <c r="J36" s="73"/>
      <c r="K36" s="73"/>
      <c r="L36" s="73"/>
      <c r="M36" s="73"/>
      <c r="N36" s="73"/>
      <c r="O36" s="271"/>
      <c r="P36" s="271"/>
      <c r="Q36" s="366"/>
      <c r="R36" s="7"/>
    </row>
    <row r="37" spans="1:23" ht="16" customHeight="1">
      <c r="A37" s="275" t="s">
        <v>412</v>
      </c>
      <c r="B37" s="73"/>
      <c r="C37" s="73"/>
      <c r="D37" s="271">
        <f>D35</f>
        <v>-4038561.2822703198</v>
      </c>
      <c r="E37" s="271">
        <f>E15-(25000*40)*(1+B24)^E29</f>
        <v>-352068.03075396549</v>
      </c>
      <c r="F37" s="271">
        <f>F15</f>
        <v>1105332.8402754157</v>
      </c>
      <c r="G37" s="271">
        <f t="shared" ref="G37:M37" si="3">G15</f>
        <v>1452834.2354791686</v>
      </c>
      <c r="H37" s="271">
        <f t="shared" si="3"/>
        <v>1542416.2292283243</v>
      </c>
      <c r="I37" s="271">
        <f t="shared" si="3"/>
        <v>1637542.2336662116</v>
      </c>
      <c r="J37" s="268">
        <f t="shared" si="3"/>
        <v>1738560.6586629821</v>
      </c>
      <c r="K37" s="268">
        <f t="shared" si="3"/>
        <v>1845842.0921668308</v>
      </c>
      <c r="L37" s="268">
        <f t="shared" si="3"/>
        <v>1959780.7242159981</v>
      </c>
      <c r="M37" s="268">
        <f t="shared" si="3"/>
        <v>2080795.8628805201</v>
      </c>
      <c r="N37" s="267"/>
      <c r="O37" s="271">
        <f>(NPV(B23,D41,E37)+(C31*(1+B24)/(1+B23)))</f>
        <v>-4027623.3698655539</v>
      </c>
      <c r="P37" s="271">
        <f>NPV(B23,D41,E37:H37)+(C31*(1+B24)/(1+B23))</f>
        <v>-1070501.5020855675</v>
      </c>
      <c r="Q37" s="366">
        <f>NPV($B$23,E37:M37,D41)+(C31*(1+B24)/(1+B23))</f>
        <v>4459284.6567728594</v>
      </c>
      <c r="R37" s="174"/>
      <c r="S37" s="269"/>
    </row>
    <row r="38" spans="1:23" ht="16" customHeight="1">
      <c r="A38" s="275"/>
      <c r="B38" s="73"/>
      <c r="C38" s="73"/>
      <c r="D38" s="271"/>
      <c r="E38" s="271"/>
      <c r="F38" s="271"/>
      <c r="G38" s="271"/>
      <c r="H38" s="271"/>
      <c r="I38" s="345"/>
      <c r="J38" s="345"/>
      <c r="K38" s="345"/>
      <c r="L38" s="345"/>
      <c r="M38" s="345"/>
      <c r="N38" s="345"/>
      <c r="O38" s="271"/>
      <c r="P38" s="271"/>
      <c r="Q38" s="368"/>
      <c r="R38" s="374"/>
    </row>
    <row r="39" spans="1:23">
      <c r="A39" s="346"/>
      <c r="B39" s="346"/>
      <c r="C39" s="346"/>
      <c r="D39" s="346"/>
      <c r="E39" s="346"/>
      <c r="F39" s="346"/>
      <c r="G39" s="346"/>
      <c r="H39" s="346"/>
      <c r="I39" s="9"/>
      <c r="J39" s="9"/>
      <c r="K39" s="9"/>
      <c r="L39" s="9"/>
      <c r="M39" s="9"/>
      <c r="N39" s="9"/>
      <c r="O39" s="346"/>
      <c r="P39" s="346"/>
      <c r="Q39" s="367"/>
      <c r="R39" s="374"/>
    </row>
    <row r="40" spans="1:23">
      <c r="A40" s="347" t="s">
        <v>410</v>
      </c>
      <c r="B40" s="347"/>
      <c r="C40" s="9"/>
      <c r="D40" s="9"/>
      <c r="E40" s="9"/>
      <c r="F40" s="9"/>
      <c r="G40" s="9"/>
      <c r="H40" s="9"/>
      <c r="I40" s="348"/>
      <c r="J40" s="348"/>
      <c r="K40" s="348"/>
      <c r="L40" s="348"/>
      <c r="M40" s="348"/>
      <c r="N40" s="348"/>
      <c r="O40" s="9"/>
      <c r="P40" s="9"/>
      <c r="Q40" s="9"/>
      <c r="R40" s="254"/>
    </row>
    <row r="41" spans="1:23">
      <c r="A41" s="347" t="s">
        <v>411</v>
      </c>
      <c r="B41" s="349"/>
      <c r="C41" s="350"/>
      <c r="D41" s="350">
        <f>-1*D13</f>
        <v>-80061.282270320226</v>
      </c>
      <c r="E41" s="350">
        <f>-1*E15</f>
        <v>-678156.96924603428</v>
      </c>
      <c r="F41" s="350">
        <f t="shared" ref="F41:M41" si="4">-1*F15</f>
        <v>-1105332.8402754157</v>
      </c>
      <c r="G41" s="350">
        <f t="shared" si="4"/>
        <v>-1452834.2354791686</v>
      </c>
      <c r="H41" s="350">
        <f t="shared" si="4"/>
        <v>-1542416.2292283243</v>
      </c>
      <c r="I41" s="350">
        <f t="shared" si="4"/>
        <v>-1637542.2336662116</v>
      </c>
      <c r="J41" s="350">
        <f t="shared" si="4"/>
        <v>-1738560.6586629821</v>
      </c>
      <c r="K41" s="350">
        <f t="shared" si="4"/>
        <v>-1845842.0921668308</v>
      </c>
      <c r="L41" s="350">
        <f t="shared" si="4"/>
        <v>-1959780.7242159981</v>
      </c>
      <c r="M41" s="350">
        <f t="shared" si="4"/>
        <v>-2080795.8628805201</v>
      </c>
      <c r="N41" s="350"/>
      <c r="O41" s="351">
        <f>NPV(B23,D41:E41)</f>
        <v>-651664.95352550189</v>
      </c>
      <c r="P41" s="350">
        <f>NPV(B23,D41:H41)</f>
        <v>-3608786.8213054878</v>
      </c>
      <c r="Q41" s="350">
        <f>NPV(B23,D41:M41)</f>
        <v>-8473302.4443974681</v>
      </c>
      <c r="R41" s="174"/>
    </row>
    <row r="42" spans="1:23">
      <c r="A42" s="352"/>
      <c r="B42" s="352"/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174"/>
    </row>
    <row r="43" spans="1:2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255"/>
      <c r="R43" s="336"/>
      <c r="S43" s="335"/>
      <c r="T43" s="13"/>
    </row>
    <row r="44" spans="1:23">
      <c r="F44" s="45"/>
      <c r="G44" s="45"/>
      <c r="H44" s="45"/>
      <c r="I44" s="45"/>
      <c r="J44" s="45"/>
      <c r="K44" s="75"/>
      <c r="L44" s="75"/>
      <c r="M44" s="381"/>
      <c r="N44" s="381"/>
      <c r="O44" s="421"/>
      <c r="P44" s="421"/>
      <c r="S44" s="6"/>
    </row>
    <row r="45" spans="1:23">
      <c r="A45" s="369" t="s">
        <v>416</v>
      </c>
      <c r="B45" s="369"/>
      <c r="C45" s="370" t="s">
        <v>415</v>
      </c>
      <c r="D45" s="371"/>
      <c r="E45" s="372" t="s">
        <v>434</v>
      </c>
      <c r="F45" s="370" t="s">
        <v>435</v>
      </c>
      <c r="G45" s="373"/>
      <c r="H45" s="370" t="s">
        <v>311</v>
      </c>
      <c r="I45" s="370" t="s">
        <v>432</v>
      </c>
      <c r="J45" s="359"/>
      <c r="K45" s="360"/>
      <c r="L45" s="360"/>
      <c r="M45" s="360"/>
      <c r="N45" s="360"/>
      <c r="O45" s="186"/>
      <c r="P45" s="6"/>
      <c r="Q45" s="45"/>
      <c r="R45" s="6"/>
      <c r="S45" s="45"/>
    </row>
    <row r="46" spans="1:23">
      <c r="A46" s="6"/>
      <c r="B46" s="6"/>
      <c r="C46" s="6"/>
      <c r="D46" s="6"/>
      <c r="E46" s="45"/>
      <c r="F46" s="45"/>
      <c r="H46" s="6"/>
      <c r="J46" s="174"/>
      <c r="K46" s="186"/>
      <c r="L46" s="186"/>
      <c r="M46" s="186"/>
      <c r="N46" s="186"/>
      <c r="O46" s="186"/>
      <c r="P46" s="6"/>
      <c r="Q46" s="6"/>
      <c r="R46" s="6"/>
      <c r="S46" s="45"/>
    </row>
    <row r="47" spans="1:23">
      <c r="A47" s="6"/>
      <c r="B47" s="6"/>
      <c r="C47" s="45"/>
      <c r="D47" s="355" t="s">
        <v>417</v>
      </c>
      <c r="E47" s="45">
        <f>O35</f>
        <v>-3369302.1063675079</v>
      </c>
      <c r="F47" s="45">
        <f>E47*0.7</f>
        <v>-2358511.4744572556</v>
      </c>
      <c r="H47" s="45">
        <f>P35</f>
        <v>232736.01192102674</v>
      </c>
      <c r="I47" s="7">
        <f>H47*B25</f>
        <v>162915.2083447187</v>
      </c>
      <c r="J47" s="7"/>
      <c r="K47" s="7"/>
      <c r="L47" s="7"/>
      <c r="M47" s="7"/>
      <c r="N47" s="7"/>
      <c r="O47" s="6"/>
      <c r="P47" s="186"/>
      <c r="Q47" s="186"/>
      <c r="R47" s="186"/>
      <c r="S47" s="45"/>
    </row>
    <row r="48" spans="1:23">
      <c r="A48" s="6"/>
      <c r="B48" s="6"/>
      <c r="C48" s="45"/>
      <c r="D48" s="6"/>
      <c r="E48" s="361" t="s">
        <v>381</v>
      </c>
      <c r="F48" s="6"/>
      <c r="H48" s="362" t="s">
        <v>381</v>
      </c>
      <c r="O48" s="6"/>
      <c r="P48" s="186"/>
      <c r="Q48" s="186"/>
      <c r="R48" s="186"/>
      <c r="S48" s="45"/>
    </row>
    <row r="49" spans="1:19">
      <c r="A49" s="6"/>
      <c r="B49" s="6"/>
      <c r="D49" s="6"/>
      <c r="E49" s="6"/>
      <c r="F49" s="6"/>
      <c r="H49" s="6"/>
      <c r="M49" s="7"/>
      <c r="P49" s="187"/>
      <c r="Q49" s="187"/>
      <c r="R49" s="298"/>
      <c r="S49" s="6"/>
    </row>
    <row r="50" spans="1:19">
      <c r="A50" s="6"/>
      <c r="B50" s="6"/>
      <c r="E50" s="6"/>
      <c r="F50" s="6"/>
      <c r="H50" s="45"/>
      <c r="P50" s="255"/>
      <c r="Q50" s="186"/>
      <c r="R50" s="186"/>
      <c r="S50" s="6"/>
    </row>
    <row r="51" spans="1:19">
      <c r="A51" s="6"/>
      <c r="B51" s="6" t="s">
        <v>414</v>
      </c>
      <c r="C51" s="6"/>
      <c r="D51" s="6"/>
      <c r="E51" s="6"/>
      <c r="F51" s="6"/>
      <c r="H51" s="6"/>
      <c r="M51" s="7"/>
      <c r="O51" s="6"/>
      <c r="P51" s="186"/>
      <c r="Q51" s="186"/>
      <c r="R51" s="186"/>
      <c r="S51" s="6"/>
    </row>
    <row r="52" spans="1:19">
      <c r="D52" s="354" t="s">
        <v>418</v>
      </c>
      <c r="E52" s="7">
        <f>O41</f>
        <v>-651664.95352550189</v>
      </c>
      <c r="F52" s="7">
        <f>E52*0.3</f>
        <v>-195499.48605765056</v>
      </c>
      <c r="H52" s="7">
        <f>P37</f>
        <v>-1070501.5020855675</v>
      </c>
      <c r="I52" s="7">
        <f>H52*B26</f>
        <v>-321150.4506256702</v>
      </c>
      <c r="J52" s="7"/>
      <c r="K52" s="7"/>
      <c r="L52" s="7"/>
      <c r="M52" s="7"/>
      <c r="N52" s="7"/>
      <c r="P52" s="186"/>
      <c r="Q52" s="186"/>
      <c r="R52" s="186"/>
    </row>
    <row r="53" spans="1:19" ht="16" customHeight="1">
      <c r="C53" s="7"/>
      <c r="E53" s="363" t="s">
        <v>431</v>
      </c>
      <c r="H53" s="356" t="s">
        <v>381</v>
      </c>
      <c r="P53" s="186"/>
      <c r="Q53" s="186"/>
      <c r="R53" s="186"/>
    </row>
    <row r="54" spans="1:19">
      <c r="A54" s="254"/>
      <c r="B54" s="174"/>
      <c r="C54" s="174"/>
      <c r="D54" s="174"/>
      <c r="E54" s="364"/>
      <c r="F54" s="174"/>
      <c r="H54" s="174"/>
      <c r="O54" s="174"/>
      <c r="P54" s="186"/>
      <c r="Q54" s="186"/>
      <c r="R54" s="186"/>
    </row>
    <row r="55" spans="1:19" ht="17" customHeight="1">
      <c r="A55" s="174"/>
      <c r="B55" s="174"/>
      <c r="C55" s="174"/>
      <c r="D55" s="254"/>
      <c r="E55" s="254"/>
      <c r="F55" s="254"/>
      <c r="H55" s="254"/>
      <c r="O55" s="254"/>
      <c r="P55" s="425"/>
      <c r="Q55" s="425"/>
      <c r="R55" s="413"/>
    </row>
    <row r="56" spans="1:19">
      <c r="P56" s="425"/>
      <c r="Q56" s="425"/>
      <c r="R56" s="413"/>
    </row>
    <row r="57" spans="1:19">
      <c r="B57" t="s">
        <v>1</v>
      </c>
      <c r="D57" s="354" t="s">
        <v>417</v>
      </c>
      <c r="E57" s="47">
        <f>NPV(Opsjon!B23,Opsjon!D13,Opsjon!E11)+Opsjon!C10</f>
        <v>-2590013.7829764523</v>
      </c>
      <c r="F57" s="7">
        <f>E57*0.7</f>
        <v>-1813009.6480835164</v>
      </c>
      <c r="H57" s="7">
        <f>NPV(B23,D13,E11:H11)+C10</f>
        <v>1012024.3353120824</v>
      </c>
      <c r="I57" s="7">
        <f>H57*B25</f>
        <v>708417.03471845761</v>
      </c>
      <c r="J57" s="7"/>
      <c r="K57" s="7"/>
      <c r="L57" s="7"/>
      <c r="M57" s="7"/>
      <c r="N57" s="7"/>
      <c r="P57" s="186"/>
      <c r="Q57" s="270"/>
      <c r="R57" s="186"/>
    </row>
    <row r="58" spans="1:19">
      <c r="P58" s="186"/>
      <c r="Q58" s="270"/>
      <c r="R58" s="186"/>
    </row>
    <row r="59" spans="1:19">
      <c r="P59" s="186"/>
      <c r="Q59" s="186"/>
      <c r="R59" s="186"/>
    </row>
    <row r="60" spans="1:19">
      <c r="P60" s="187"/>
      <c r="Q60" s="187"/>
      <c r="R60" s="298"/>
    </row>
    <row r="61" spans="1:19">
      <c r="D61" s="354" t="s">
        <v>418</v>
      </c>
      <c r="M61" s="7"/>
      <c r="P61" s="187"/>
      <c r="Q61" s="187"/>
      <c r="R61" s="365"/>
    </row>
    <row r="62" spans="1:19">
      <c r="E62" s="7">
        <f>NPV(B23,D13,E15)+C10</f>
        <v>-3248335.0464744982</v>
      </c>
      <c r="F62" s="7">
        <f>E62*0.3</f>
        <v>-974500.51394234947</v>
      </c>
      <c r="H62" s="7">
        <f>NPV(B23,D13,E15:H15)+C10</f>
        <v>-291213.17869451223</v>
      </c>
      <c r="I62" s="7">
        <f>H62*B26</f>
        <v>-87363.953608353666</v>
      </c>
      <c r="J62" s="7"/>
      <c r="K62" s="7"/>
      <c r="L62" s="7"/>
      <c r="M62" s="7"/>
      <c r="N62" s="7"/>
    </row>
    <row r="63" spans="1:19">
      <c r="C63" s="7"/>
      <c r="D63" s="7"/>
      <c r="F63" s="7"/>
      <c r="P63" s="7"/>
    </row>
    <row r="64" spans="1:19">
      <c r="C64" s="7"/>
      <c r="D64" s="7"/>
      <c r="E64" s="7"/>
      <c r="F64" s="7"/>
      <c r="I64" s="7"/>
      <c r="J64" s="7"/>
      <c r="K64" s="7"/>
      <c r="L64" s="7"/>
      <c r="M64" s="7"/>
      <c r="N64" s="7"/>
    </row>
    <row r="65" spans="3:16">
      <c r="C65" s="7"/>
      <c r="D65" s="7"/>
      <c r="E65" s="7"/>
      <c r="F65" s="7"/>
      <c r="I65" s="7"/>
      <c r="J65" s="7"/>
      <c r="K65" s="7"/>
      <c r="L65" s="7"/>
      <c r="M65" s="7"/>
      <c r="N65" s="7"/>
    </row>
    <row r="66" spans="3:16">
      <c r="C66" s="7"/>
      <c r="D66" s="7"/>
      <c r="K66" s="7"/>
      <c r="L66" s="7"/>
      <c r="M66" s="7"/>
      <c r="N66" s="7"/>
    </row>
    <row r="67" spans="3:16" ht="16" customHeight="1">
      <c r="C67" s="7"/>
      <c r="D67" s="380"/>
      <c r="E67" s="380"/>
      <c r="F67" s="423" t="s">
        <v>439</v>
      </c>
      <c r="G67" s="423"/>
      <c r="H67" s="422" t="s">
        <v>438</v>
      </c>
      <c r="I67" s="422"/>
      <c r="K67" s="7"/>
      <c r="L67" s="7"/>
      <c r="M67" s="7"/>
      <c r="N67" s="7"/>
    </row>
    <row r="68" spans="3:16" ht="16" customHeight="1">
      <c r="C68" s="7"/>
      <c r="D68" s="380"/>
      <c r="E68" s="380"/>
      <c r="F68" s="423"/>
      <c r="G68" s="423"/>
      <c r="H68" s="422"/>
      <c r="I68" s="422"/>
      <c r="K68" s="7"/>
      <c r="L68" s="7"/>
      <c r="M68" s="7"/>
      <c r="N68" s="7"/>
    </row>
    <row r="69" spans="3:16" ht="16" customHeight="1">
      <c r="C69" s="7"/>
      <c r="D69" s="418" t="s">
        <v>437</v>
      </c>
      <c r="E69" s="418"/>
      <c r="F69" s="424">
        <f>F47+F52</f>
        <v>-2554010.9605149063</v>
      </c>
      <c r="G69" s="424"/>
      <c r="H69" s="416">
        <f>SUM(I47:I52)</f>
        <v>-158235.2422809515</v>
      </c>
      <c r="I69" s="416"/>
      <c r="K69" s="7"/>
      <c r="L69" s="7"/>
      <c r="M69" s="7"/>
      <c r="N69" s="7"/>
    </row>
    <row r="70" spans="3:16" ht="16" customHeight="1">
      <c r="C70" s="7"/>
      <c r="D70" s="375"/>
      <c r="E70" s="375"/>
      <c r="F70" s="376"/>
      <c r="G70" s="1"/>
      <c r="H70" s="64"/>
      <c r="I70" s="64"/>
      <c r="K70" s="7"/>
      <c r="L70" s="7"/>
      <c r="M70" s="7"/>
      <c r="N70" s="7"/>
    </row>
    <row r="71" spans="3:16">
      <c r="D71" s="419" t="s">
        <v>436</v>
      </c>
      <c r="E71" s="419"/>
      <c r="F71" s="416">
        <f>O31</f>
        <v>-2787510.1620258661</v>
      </c>
      <c r="G71" s="416"/>
      <c r="H71" s="416">
        <f>SUM(I57:I62)</f>
        <v>621053.08111010399</v>
      </c>
      <c r="I71" s="416"/>
      <c r="K71" s="7"/>
      <c r="L71" s="7"/>
      <c r="M71" s="7"/>
      <c r="N71" s="7"/>
    </row>
    <row r="72" spans="3:16">
      <c r="D72" s="377"/>
      <c r="E72" s="377"/>
      <c r="F72" s="1"/>
      <c r="G72" s="1"/>
      <c r="H72" s="64"/>
      <c r="I72" s="64"/>
      <c r="K72" s="7"/>
      <c r="L72" s="7"/>
      <c r="M72" s="7"/>
      <c r="N72" s="7"/>
    </row>
    <row r="73" spans="3:16" ht="16" customHeight="1" thickBot="1">
      <c r="D73" s="420" t="s">
        <v>433</v>
      </c>
      <c r="E73" s="420"/>
      <c r="F73" s="415">
        <f>SUM(F47:F52)-SUM(F57:F62)</f>
        <v>233499.20151095977</v>
      </c>
      <c r="G73" s="415"/>
      <c r="H73" s="417">
        <f>H69-H71</f>
        <v>-779288.32339105546</v>
      </c>
      <c r="I73" s="417"/>
      <c r="K73" s="7"/>
      <c r="L73" s="7"/>
      <c r="M73" s="7"/>
      <c r="N73" s="7"/>
      <c r="P73" s="7"/>
    </row>
    <row r="74" spans="3:16">
      <c r="C74" s="7"/>
      <c r="D74" s="378"/>
      <c r="E74" s="378"/>
      <c r="F74" s="379"/>
      <c r="G74" s="38"/>
      <c r="H74" s="38"/>
      <c r="I74" s="379"/>
      <c r="J74" s="7"/>
      <c r="K74" s="7"/>
      <c r="L74" s="7"/>
      <c r="M74" s="7"/>
      <c r="N74" s="7"/>
      <c r="P74" s="7"/>
    </row>
    <row r="75" spans="3:16" ht="16" customHeight="1">
      <c r="D75" s="6"/>
      <c r="E75" s="6"/>
      <c r="F75" s="6"/>
      <c r="G75" s="6"/>
      <c r="H75" s="6"/>
      <c r="I75" s="6"/>
    </row>
  </sheetData>
  <mergeCells count="15">
    <mergeCell ref="D69:E69"/>
    <mergeCell ref="D71:E71"/>
    <mergeCell ref="D73:E73"/>
    <mergeCell ref="O44:P44"/>
    <mergeCell ref="H67:I68"/>
    <mergeCell ref="F67:G68"/>
    <mergeCell ref="F69:G69"/>
    <mergeCell ref="F71:G71"/>
    <mergeCell ref="P55:Q56"/>
    <mergeCell ref="R55:R56"/>
    <mergeCell ref="R24:S29"/>
    <mergeCell ref="F73:G73"/>
    <mergeCell ref="H69:I69"/>
    <mergeCell ref="H71:I71"/>
    <mergeCell ref="H73:I73"/>
  </mergeCells>
  <pageMargins left="0.7" right="0.7" top="0.75" bottom="0.75" header="0.3" footer="0.3"/>
  <pageSetup paperSize="9"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04938-A19A-E44B-84A5-BF4EA194D09C}">
  <sheetPr>
    <tabColor theme="0" tint="-4.9989318521683403E-2"/>
  </sheetPr>
  <dimension ref="A2:U73"/>
  <sheetViews>
    <sheetView showGridLines="0" zoomScale="75" zoomScaleNormal="75" workbookViewId="0">
      <selection activeCell="G34" sqref="G34"/>
    </sheetView>
  </sheetViews>
  <sheetFormatPr baseColWidth="10" defaultRowHeight="16"/>
  <cols>
    <col min="2" max="2" width="10" customWidth="1"/>
    <col min="3" max="4" width="16.6640625" customWidth="1"/>
    <col min="7" max="7" width="20.33203125" bestFit="1" customWidth="1"/>
    <col min="8" max="11" width="12.33203125" bestFit="1" customWidth="1"/>
    <col min="12" max="12" width="12.83203125" bestFit="1" customWidth="1"/>
    <col min="13" max="13" width="12.33203125" bestFit="1" customWidth="1"/>
    <col min="14" max="14" width="12.83203125" bestFit="1" customWidth="1"/>
    <col min="15" max="15" width="12.5" bestFit="1" customWidth="1"/>
  </cols>
  <sheetData>
    <row r="2" spans="2:16" ht="15" customHeight="1">
      <c r="B2" s="427" t="s">
        <v>30</v>
      </c>
      <c r="C2" s="426" t="s">
        <v>32</v>
      </c>
      <c r="D2" s="426" t="s">
        <v>31</v>
      </c>
      <c r="G2" s="11" t="s">
        <v>33</v>
      </c>
      <c r="H2" s="11"/>
      <c r="I2" s="11"/>
      <c r="J2" s="11"/>
      <c r="K2" s="11"/>
      <c r="L2" s="11"/>
      <c r="M2" s="11"/>
      <c r="N2" s="11"/>
      <c r="O2" s="11"/>
      <c r="P2" s="11"/>
    </row>
    <row r="3" spans="2:16" ht="17" thickBot="1">
      <c r="B3" s="427"/>
      <c r="C3" s="426"/>
      <c r="D3" s="426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>
      <c r="B4" s="56">
        <v>43101</v>
      </c>
      <c r="C4" s="46">
        <v>391</v>
      </c>
      <c r="D4" s="57">
        <v>89.108500000000006</v>
      </c>
      <c r="G4" s="58" t="s">
        <v>34</v>
      </c>
      <c r="H4" s="58"/>
      <c r="I4" s="11"/>
      <c r="J4" s="11"/>
      <c r="K4" s="11"/>
      <c r="L4" s="11"/>
      <c r="M4" s="11"/>
      <c r="N4" s="11"/>
      <c r="O4" s="11"/>
      <c r="P4" s="11"/>
    </row>
    <row r="5" spans="2:16">
      <c r="B5" s="56">
        <v>43132</v>
      </c>
      <c r="C5" s="46">
        <v>395.5</v>
      </c>
      <c r="D5" s="57">
        <v>91.2012</v>
      </c>
      <c r="G5" s="59" t="s">
        <v>35</v>
      </c>
      <c r="H5" s="59">
        <v>0.71757190704847551</v>
      </c>
      <c r="I5" s="11"/>
      <c r="J5" s="11"/>
      <c r="K5" s="11"/>
      <c r="L5" s="11"/>
      <c r="M5" s="11"/>
      <c r="N5" s="11"/>
      <c r="O5" s="11"/>
      <c r="P5" s="11"/>
    </row>
    <row r="6" spans="2:16">
      <c r="B6" s="56">
        <v>43160</v>
      </c>
      <c r="C6" s="46">
        <v>369.5</v>
      </c>
      <c r="D6" s="57">
        <v>84.900099999999995</v>
      </c>
      <c r="G6" s="59" t="s">
        <v>36</v>
      </c>
      <c r="H6" s="59">
        <v>0.51490944178518594</v>
      </c>
      <c r="I6" s="11"/>
      <c r="J6" s="11"/>
      <c r="K6" s="11"/>
      <c r="L6" s="11"/>
      <c r="M6" s="11"/>
      <c r="N6" s="11"/>
      <c r="O6" s="11"/>
      <c r="P6" s="11"/>
    </row>
    <row r="7" spans="2:16">
      <c r="B7" s="56">
        <v>43192</v>
      </c>
      <c r="C7" s="46">
        <v>384.5</v>
      </c>
      <c r="D7" s="57">
        <v>88.613200000000006</v>
      </c>
      <c r="G7" s="59" t="s">
        <v>37</v>
      </c>
      <c r="H7" s="59">
        <v>0.49381854794975921</v>
      </c>
      <c r="I7" s="11"/>
      <c r="J7" s="11"/>
      <c r="K7" s="11"/>
      <c r="L7" s="11"/>
      <c r="M7" s="11"/>
      <c r="N7" s="11"/>
      <c r="O7" s="11"/>
      <c r="P7" s="11"/>
    </row>
    <row r="8" spans="2:16">
      <c r="B8" s="56">
        <v>43221</v>
      </c>
      <c r="C8" s="46">
        <v>424</v>
      </c>
      <c r="D8" s="57">
        <v>97.787300000000002</v>
      </c>
      <c r="G8" s="59" t="s">
        <v>38</v>
      </c>
      <c r="H8" s="59">
        <v>34.526335818114767</v>
      </c>
      <c r="I8" s="11"/>
      <c r="J8" s="11"/>
      <c r="K8" s="11"/>
      <c r="L8" s="11"/>
      <c r="M8" s="11"/>
      <c r="N8" s="11"/>
      <c r="O8" s="11"/>
      <c r="P8" s="11"/>
    </row>
    <row r="9" spans="2:16" ht="17" thickBot="1">
      <c r="B9" s="56">
        <v>43252</v>
      </c>
      <c r="C9" s="46">
        <v>450.5</v>
      </c>
      <c r="D9" s="57">
        <v>102.54349999999999</v>
      </c>
      <c r="G9" s="60" t="s">
        <v>39</v>
      </c>
      <c r="H9" s="60">
        <v>25</v>
      </c>
      <c r="I9" s="11"/>
      <c r="J9" s="11"/>
      <c r="K9" s="11"/>
      <c r="L9" s="11"/>
      <c r="M9" s="11"/>
      <c r="N9" s="11"/>
      <c r="O9" s="11"/>
      <c r="P9" s="11"/>
    </row>
    <row r="10" spans="2:16">
      <c r="B10" s="56">
        <v>43283</v>
      </c>
      <c r="C10" s="46">
        <v>470</v>
      </c>
      <c r="D10" s="57">
        <v>105.99809999999999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2:16" ht="17" thickBot="1">
      <c r="B11" s="56">
        <v>43313</v>
      </c>
      <c r="C11" s="46">
        <v>474</v>
      </c>
      <c r="D11" s="57">
        <v>98.809399999999997</v>
      </c>
      <c r="G11" s="11" t="s">
        <v>40</v>
      </c>
      <c r="H11" s="11"/>
      <c r="I11" s="11"/>
      <c r="J11" s="11"/>
      <c r="K11" s="11"/>
      <c r="L11" s="11"/>
      <c r="M11" s="11"/>
      <c r="N11" s="11"/>
      <c r="O11" s="11"/>
      <c r="P11" s="11"/>
    </row>
    <row r="12" spans="2:16">
      <c r="B12" s="56">
        <v>43346</v>
      </c>
      <c r="C12" s="46">
        <v>467.5</v>
      </c>
      <c r="D12" s="57">
        <v>107.00749999999999</v>
      </c>
      <c r="G12" s="61"/>
      <c r="H12" s="61" t="s">
        <v>45</v>
      </c>
      <c r="I12" s="61" t="s">
        <v>46</v>
      </c>
      <c r="J12" s="61" t="s">
        <v>47</v>
      </c>
      <c r="K12" s="61" t="s">
        <v>48</v>
      </c>
      <c r="L12" s="61" t="s">
        <v>49</v>
      </c>
      <c r="M12" s="11"/>
      <c r="N12" s="11"/>
      <c r="O12" s="11"/>
      <c r="P12" s="11"/>
    </row>
    <row r="13" spans="2:16">
      <c r="B13" s="56">
        <v>43374</v>
      </c>
      <c r="C13" s="46">
        <v>501.5</v>
      </c>
      <c r="D13" s="57">
        <v>116.59869999999999</v>
      </c>
      <c r="G13" s="59" t="s">
        <v>41</v>
      </c>
      <c r="H13" s="59">
        <v>1</v>
      </c>
      <c r="I13" s="59">
        <v>29102.939104419602</v>
      </c>
      <c r="J13" s="59">
        <v>29102.939104419602</v>
      </c>
      <c r="K13" s="59">
        <v>24.413827398831465</v>
      </c>
      <c r="L13" s="59">
        <v>5.3989526556195199E-5</v>
      </c>
      <c r="M13" s="11"/>
      <c r="N13" s="11"/>
      <c r="O13" s="11"/>
      <c r="P13" s="11"/>
    </row>
    <row r="14" spans="2:16">
      <c r="B14" s="56">
        <v>43405</v>
      </c>
      <c r="C14" s="46">
        <v>510.5</v>
      </c>
      <c r="D14" s="57">
        <v>100.15260000000001</v>
      </c>
      <c r="G14" s="59" t="s">
        <v>42</v>
      </c>
      <c r="H14" s="59">
        <v>23</v>
      </c>
      <c r="I14" s="59">
        <v>27417.560895580398</v>
      </c>
      <c r="J14" s="59">
        <v>1192.0678650252346</v>
      </c>
      <c r="K14" s="59"/>
      <c r="L14" s="59"/>
      <c r="M14" s="11"/>
      <c r="N14" s="11"/>
      <c r="O14" s="11"/>
      <c r="P14" s="11"/>
    </row>
    <row r="15" spans="2:16" ht="17" thickBot="1">
      <c r="B15" s="56">
        <v>43437</v>
      </c>
      <c r="C15" s="46">
        <v>420.5</v>
      </c>
      <c r="D15" s="57">
        <v>84.477199999999996</v>
      </c>
      <c r="G15" s="60" t="s">
        <v>43</v>
      </c>
      <c r="H15" s="60">
        <v>24</v>
      </c>
      <c r="I15" s="60">
        <v>56520.5</v>
      </c>
      <c r="J15" s="60"/>
      <c r="K15" s="60"/>
      <c r="L15" s="60"/>
      <c r="M15" s="11"/>
      <c r="N15" s="11"/>
      <c r="O15" s="11"/>
      <c r="P15" s="11"/>
    </row>
    <row r="16" spans="2:16" ht="17" thickBot="1">
      <c r="B16" s="56">
        <v>43466</v>
      </c>
      <c r="C16" s="46">
        <v>357</v>
      </c>
      <c r="D16" s="57">
        <v>73.804000000000002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>
      <c r="B17" s="56">
        <v>43497</v>
      </c>
      <c r="C17" s="46">
        <v>409</v>
      </c>
      <c r="D17" s="57">
        <v>84.886200000000002</v>
      </c>
      <c r="G17" s="61"/>
      <c r="H17" s="61" t="s">
        <v>50</v>
      </c>
      <c r="I17" s="61" t="s">
        <v>38</v>
      </c>
      <c r="J17" s="61" t="s">
        <v>51</v>
      </c>
      <c r="K17" s="61" t="s">
        <v>52</v>
      </c>
      <c r="L17" s="61" t="s">
        <v>53</v>
      </c>
      <c r="M17" s="61" t="s">
        <v>54</v>
      </c>
      <c r="N17" s="61" t="s">
        <v>55</v>
      </c>
      <c r="O17" s="61" t="s">
        <v>56</v>
      </c>
      <c r="P17" s="11"/>
    </row>
    <row r="18" spans="1:16">
      <c r="B18" s="56">
        <v>43525</v>
      </c>
      <c r="C18" s="46">
        <v>433.5</v>
      </c>
      <c r="D18" s="57">
        <v>87.979399999999998</v>
      </c>
      <c r="G18" s="59" t="s">
        <v>44</v>
      </c>
      <c r="H18" s="59">
        <v>98.756160032741889</v>
      </c>
      <c r="I18" s="59">
        <v>65.320793248945193</v>
      </c>
      <c r="J18" s="59">
        <v>1.5118640653424185</v>
      </c>
      <c r="K18" s="59">
        <v>0.14418782799768329</v>
      </c>
      <c r="L18" s="59">
        <v>-36.370196040297827</v>
      </c>
      <c r="M18" s="59">
        <v>233.8825161057816</v>
      </c>
      <c r="N18" s="59">
        <v>-36.370196040297827</v>
      </c>
      <c r="O18" s="59">
        <v>233.8825161057816</v>
      </c>
      <c r="P18" s="11"/>
    </row>
    <row r="19" spans="1:16" ht="17" thickBot="1">
      <c r="B19" s="56">
        <v>43556</v>
      </c>
      <c r="C19" s="46">
        <v>429.5</v>
      </c>
      <c r="D19" s="57">
        <v>93.781800000000004</v>
      </c>
      <c r="G19" s="60" t="s">
        <v>57</v>
      </c>
      <c r="H19" s="60">
        <v>3.5177048674927995</v>
      </c>
      <c r="I19" s="60">
        <v>0.71193683701538113</v>
      </c>
      <c r="J19" s="60">
        <v>4.9410350533902783</v>
      </c>
      <c r="K19" s="60">
        <v>5.3989526556195098E-5</v>
      </c>
      <c r="L19" s="60">
        <v>2.0449513114632651</v>
      </c>
      <c r="M19" s="60">
        <v>4.9904584235223339</v>
      </c>
      <c r="N19" s="60">
        <v>2.0449513114632651</v>
      </c>
      <c r="O19" s="60">
        <v>4.9904584235223339</v>
      </c>
      <c r="P19" s="11"/>
    </row>
    <row r="20" spans="1:16">
      <c r="B20" s="56">
        <v>43586</v>
      </c>
      <c r="C20" s="46">
        <v>441</v>
      </c>
      <c r="D20" s="57">
        <v>98.168000000000006</v>
      </c>
    </row>
    <row r="21" spans="1:16">
      <c r="B21" s="56">
        <v>43619</v>
      </c>
      <c r="C21" s="46">
        <v>387.5</v>
      </c>
      <c r="D21" s="57">
        <v>83.078299999999999</v>
      </c>
    </row>
    <row r="22" spans="1:16">
      <c r="B22" s="56">
        <v>43647</v>
      </c>
      <c r="C22" s="46">
        <v>429.5</v>
      </c>
      <c r="D22" s="57">
        <v>88.385800000000003</v>
      </c>
    </row>
    <row r="23" spans="1:16">
      <c r="B23" s="56">
        <v>43678</v>
      </c>
      <c r="C23" s="46">
        <v>466</v>
      </c>
      <c r="D23" s="57">
        <v>84.168899999999994</v>
      </c>
    </row>
    <row r="24" spans="1:16">
      <c r="B24" s="56">
        <v>43710</v>
      </c>
      <c r="C24" s="46">
        <v>416.5</v>
      </c>
      <c r="D24" s="57">
        <v>81.560500000000005</v>
      </c>
    </row>
    <row r="25" spans="1:16">
      <c r="B25" s="56">
        <v>43739</v>
      </c>
      <c r="C25" s="46">
        <v>410</v>
      </c>
      <c r="D25" s="57">
        <v>82.0291</v>
      </c>
    </row>
    <row r="26" spans="1:16">
      <c r="B26" s="56">
        <v>43770</v>
      </c>
      <c r="C26" s="46">
        <v>394.5</v>
      </c>
      <c r="D26" s="57">
        <v>83.747299999999996</v>
      </c>
    </row>
    <row r="27" spans="1:16">
      <c r="B27" s="56">
        <v>43801</v>
      </c>
      <c r="C27" s="46">
        <v>293</v>
      </c>
      <c r="D27" s="57">
        <v>83.307100000000005</v>
      </c>
    </row>
    <row r="28" spans="1:16">
      <c r="B28" s="56">
        <v>43831</v>
      </c>
      <c r="C28" s="46">
        <v>366.5</v>
      </c>
      <c r="D28" s="57">
        <v>88.824200000000005</v>
      </c>
    </row>
    <row r="32" spans="1:16">
      <c r="A32" t="s">
        <v>314</v>
      </c>
      <c r="B32" t="s">
        <v>449</v>
      </c>
    </row>
    <row r="33" spans="1:19">
      <c r="A33" t="s">
        <v>314</v>
      </c>
      <c r="B33" t="s">
        <v>450</v>
      </c>
    </row>
    <row r="39" spans="1:19">
      <c r="F39" s="161"/>
      <c r="G39" s="161"/>
      <c r="H39" s="161"/>
      <c r="S39" s="161"/>
    </row>
    <row r="40" spans="1:19">
      <c r="S40" s="161"/>
    </row>
    <row r="41" spans="1:19">
      <c r="S41" s="161"/>
    </row>
    <row r="42" spans="1:19">
      <c r="S42" s="161"/>
    </row>
    <row r="43" spans="1:19">
      <c r="S43" s="161"/>
    </row>
    <row r="44" spans="1:19">
      <c r="S44" s="161"/>
    </row>
    <row r="45" spans="1:19">
      <c r="A45" s="161"/>
      <c r="B45" s="161"/>
      <c r="S45" s="161"/>
    </row>
    <row r="46" spans="1:19">
      <c r="A46" s="428" t="s">
        <v>31</v>
      </c>
      <c r="B46" s="428" t="s">
        <v>32</v>
      </c>
      <c r="S46" s="161"/>
    </row>
    <row r="47" spans="1:19">
      <c r="A47" s="428"/>
      <c r="B47" s="428"/>
      <c r="S47" s="161"/>
    </row>
    <row r="48" spans="1:19">
      <c r="A48" s="357">
        <v>89.108500000000006</v>
      </c>
      <c r="B48" s="358">
        <v>391</v>
      </c>
      <c r="S48" s="161"/>
    </row>
    <row r="49" spans="1:19">
      <c r="A49" s="357">
        <v>91.2012</v>
      </c>
      <c r="B49" s="358">
        <v>395.5</v>
      </c>
      <c r="S49" s="161"/>
    </row>
    <row r="50" spans="1:19">
      <c r="A50" s="357">
        <v>84.900099999999995</v>
      </c>
      <c r="B50" s="358">
        <v>369.5</v>
      </c>
      <c r="S50" s="161"/>
    </row>
    <row r="51" spans="1:19">
      <c r="A51" s="357">
        <v>88.613200000000006</v>
      </c>
      <c r="B51" s="358">
        <v>384.5</v>
      </c>
      <c r="S51" s="161"/>
    </row>
    <row r="52" spans="1:19">
      <c r="A52" s="357">
        <v>97.787300000000002</v>
      </c>
      <c r="B52" s="358">
        <v>424</v>
      </c>
      <c r="S52" s="161"/>
    </row>
    <row r="53" spans="1:19">
      <c r="A53" s="357">
        <v>102.54349999999999</v>
      </c>
      <c r="B53" s="358">
        <v>450.5</v>
      </c>
      <c r="S53" s="161"/>
    </row>
    <row r="54" spans="1:19">
      <c r="A54" s="357">
        <v>105.99809999999999</v>
      </c>
      <c r="B54" s="358">
        <v>470</v>
      </c>
      <c r="S54" s="161"/>
    </row>
    <row r="55" spans="1:19">
      <c r="A55" s="357">
        <v>98.809399999999997</v>
      </c>
      <c r="B55" s="358">
        <v>474</v>
      </c>
      <c r="S55" s="161"/>
    </row>
    <row r="56" spans="1:19">
      <c r="A56" s="357">
        <v>107.00749999999999</v>
      </c>
      <c r="B56" s="358">
        <v>467.5</v>
      </c>
      <c r="S56" s="161"/>
    </row>
    <row r="57" spans="1:19">
      <c r="A57" s="357">
        <v>116.59869999999999</v>
      </c>
      <c r="B57" s="358">
        <v>501.5</v>
      </c>
      <c r="S57" s="161"/>
    </row>
    <row r="58" spans="1:19">
      <c r="A58" s="357">
        <v>100.15260000000001</v>
      </c>
      <c r="B58" s="358">
        <v>510.5</v>
      </c>
      <c r="S58" s="161"/>
    </row>
    <row r="59" spans="1:19">
      <c r="A59" s="357">
        <v>84.477199999999996</v>
      </c>
      <c r="B59" s="358">
        <v>420.5</v>
      </c>
      <c r="S59" s="161"/>
    </row>
    <row r="60" spans="1:19">
      <c r="A60" s="357">
        <v>73.804000000000002</v>
      </c>
      <c r="B60" s="358">
        <v>357</v>
      </c>
      <c r="S60" s="161"/>
    </row>
    <row r="61" spans="1:19">
      <c r="A61" s="357">
        <v>84.886200000000002</v>
      </c>
      <c r="B61" s="358">
        <v>409</v>
      </c>
      <c r="S61" s="161"/>
    </row>
    <row r="62" spans="1:19">
      <c r="A62" s="357">
        <v>87.979399999999998</v>
      </c>
      <c r="B62" s="358">
        <v>433.5</v>
      </c>
      <c r="S62" s="161"/>
    </row>
    <row r="63" spans="1:19">
      <c r="A63" s="357">
        <v>93.781800000000004</v>
      </c>
      <c r="B63" s="358">
        <v>429.5</v>
      </c>
      <c r="S63" s="161"/>
    </row>
    <row r="64" spans="1:19">
      <c r="A64" s="357">
        <v>98.168000000000006</v>
      </c>
      <c r="B64" s="358">
        <v>441</v>
      </c>
      <c r="S64" s="161"/>
    </row>
    <row r="65" spans="1:21">
      <c r="A65" s="357">
        <v>83.078299999999999</v>
      </c>
      <c r="B65" s="358">
        <v>387.5</v>
      </c>
      <c r="S65" s="161"/>
    </row>
    <row r="66" spans="1:21">
      <c r="A66" s="357">
        <v>88.385800000000003</v>
      </c>
      <c r="B66" s="358">
        <v>429.5</v>
      </c>
      <c r="S66" s="161"/>
    </row>
    <row r="67" spans="1:21">
      <c r="A67" s="357">
        <v>84.168899999999994</v>
      </c>
      <c r="B67" s="358">
        <v>466</v>
      </c>
      <c r="S67" s="161"/>
      <c r="T67" s="161"/>
      <c r="U67" s="161"/>
    </row>
    <row r="68" spans="1:21">
      <c r="A68" s="357">
        <v>81.560500000000005</v>
      </c>
      <c r="B68" s="358">
        <v>416.5</v>
      </c>
      <c r="S68" s="161"/>
      <c r="T68" s="161"/>
      <c r="U68" s="161"/>
    </row>
    <row r="69" spans="1:21">
      <c r="A69" s="357">
        <v>82.0291</v>
      </c>
      <c r="B69" s="358">
        <v>410</v>
      </c>
      <c r="S69" s="161"/>
      <c r="T69" s="161"/>
      <c r="U69" s="161"/>
    </row>
    <row r="70" spans="1:21">
      <c r="A70" s="357">
        <v>83.747299999999996</v>
      </c>
      <c r="B70" s="358">
        <v>394.5</v>
      </c>
      <c r="S70" s="161"/>
      <c r="T70" s="161"/>
      <c r="U70" s="161"/>
    </row>
    <row r="71" spans="1:21">
      <c r="A71" s="357">
        <v>83.307100000000005</v>
      </c>
      <c r="B71" s="358">
        <v>293</v>
      </c>
      <c r="S71" s="161"/>
      <c r="T71" s="161"/>
      <c r="U71" s="161"/>
    </row>
    <row r="72" spans="1:21">
      <c r="A72" s="357">
        <v>88.824200000000005</v>
      </c>
      <c r="B72" s="358">
        <v>366.5</v>
      </c>
      <c r="S72" s="161"/>
      <c r="T72" s="161"/>
      <c r="U72" s="161"/>
    </row>
    <row r="73" spans="1:21">
      <c r="S73" s="161"/>
      <c r="T73" s="161"/>
      <c r="U73" s="161"/>
    </row>
  </sheetData>
  <mergeCells count="5">
    <mergeCell ref="C2:C3"/>
    <mergeCell ref="D2:D3"/>
    <mergeCell ref="B2:B3"/>
    <mergeCell ref="B46:B47"/>
    <mergeCell ref="A46:A47"/>
  </mergeCells>
  <pageMargins left="0.7" right="0.7" top="0.75" bottom="0.75" header="0.3" footer="0.3"/>
  <pageSetup paperSize="9" orientation="portrait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9C4B6-1EFA-4943-840E-2D289ABD0C81}">
  <dimension ref="A1:M113"/>
  <sheetViews>
    <sheetView workbookViewId="0">
      <selection activeCell="V46" sqref="V46"/>
    </sheetView>
  </sheetViews>
  <sheetFormatPr baseColWidth="10" defaultRowHeight="16"/>
  <cols>
    <col min="1" max="1" width="2.33203125" customWidth="1"/>
    <col min="3" max="3" width="14" customWidth="1"/>
    <col min="4" max="4" width="20.1640625" customWidth="1"/>
    <col min="5" max="5" width="22" customWidth="1"/>
    <col min="6" max="6" width="11.6640625" customWidth="1"/>
    <col min="7" max="7" width="12.5" customWidth="1"/>
    <col min="8" max="8" width="12.33203125" customWidth="1"/>
    <col min="10" max="10" width="12" customWidth="1"/>
    <col min="11" max="11" width="16.83203125" customWidth="1"/>
  </cols>
  <sheetData>
    <row r="1" spans="1:12">
      <c r="A1" s="67"/>
      <c r="B1" s="67"/>
      <c r="C1" s="67"/>
      <c r="D1" s="67"/>
      <c r="E1" s="67"/>
      <c r="F1" s="67"/>
    </row>
    <row r="2" spans="1:12">
      <c r="A2" s="67"/>
      <c r="B2" s="68"/>
      <c r="C2" s="68"/>
      <c r="D2" s="68"/>
      <c r="E2" s="68"/>
      <c r="F2" s="67"/>
    </row>
    <row r="3" spans="1:12">
      <c r="A3" s="67"/>
      <c r="B3" s="69"/>
      <c r="C3" s="69"/>
      <c r="D3" s="69"/>
      <c r="E3" s="69"/>
      <c r="F3" s="67"/>
    </row>
    <row r="4" spans="1:12" ht="39">
      <c r="A4" s="67"/>
      <c r="B4" s="429" t="s">
        <v>69</v>
      </c>
      <c r="C4" s="429" t="s">
        <v>69</v>
      </c>
      <c r="D4" s="429" t="s">
        <v>69</v>
      </c>
      <c r="E4" s="429" t="s">
        <v>69</v>
      </c>
      <c r="F4" s="67"/>
      <c r="G4" s="6"/>
      <c r="H4" s="6"/>
      <c r="I4" s="6"/>
      <c r="J4" s="6"/>
      <c r="K4" s="6"/>
      <c r="L4" s="6"/>
    </row>
    <row r="5" spans="1:12">
      <c r="A5" s="67"/>
      <c r="B5" s="69"/>
      <c r="C5" s="69"/>
      <c r="D5" s="69"/>
      <c r="E5" s="69"/>
      <c r="F5" s="67"/>
      <c r="G5" s="6"/>
      <c r="H5" s="6"/>
      <c r="I5" s="6"/>
      <c r="J5" s="6"/>
      <c r="K5" s="6"/>
      <c r="L5" s="6"/>
    </row>
    <row r="6" spans="1:12" ht="19">
      <c r="A6" s="67"/>
      <c r="B6" s="430" t="s">
        <v>70</v>
      </c>
      <c r="C6" s="430" t="s">
        <v>70</v>
      </c>
      <c r="D6" s="431" t="s">
        <v>71</v>
      </c>
      <c r="E6" s="431" t="s">
        <v>71</v>
      </c>
      <c r="F6" s="67"/>
      <c r="G6" s="6"/>
      <c r="H6" s="6"/>
      <c r="I6" s="6"/>
      <c r="J6" s="6"/>
      <c r="K6" s="6"/>
      <c r="L6" s="6"/>
    </row>
    <row r="7" spans="1:12">
      <c r="A7" s="67"/>
      <c r="B7" s="68"/>
      <c r="C7" s="68"/>
      <c r="D7" s="68"/>
      <c r="E7" s="68"/>
      <c r="F7" s="67"/>
      <c r="G7" s="6"/>
      <c r="H7" s="6"/>
      <c r="I7" s="6"/>
      <c r="J7" s="6"/>
      <c r="K7" s="6"/>
      <c r="L7" s="6"/>
    </row>
    <row r="8" spans="1:12">
      <c r="A8" s="67"/>
      <c r="B8" s="70" t="s">
        <v>72</v>
      </c>
      <c r="C8" s="70" t="s">
        <v>73</v>
      </c>
      <c r="D8" s="70" t="s">
        <v>74</v>
      </c>
      <c r="E8" s="70" t="s">
        <v>75</v>
      </c>
      <c r="F8" s="67"/>
      <c r="G8" s="76"/>
      <c r="H8" s="76"/>
      <c r="I8" s="6"/>
      <c r="J8" s="6"/>
      <c r="K8" s="77"/>
      <c r="L8" s="6"/>
    </row>
    <row r="9" spans="1:12">
      <c r="A9" s="67"/>
      <c r="B9" s="71" t="s">
        <v>76</v>
      </c>
      <c r="C9" s="71" t="s">
        <v>77</v>
      </c>
      <c r="D9" s="71" t="s">
        <v>78</v>
      </c>
      <c r="E9" s="71" t="s">
        <v>79</v>
      </c>
      <c r="F9" s="67"/>
      <c r="G9" s="78"/>
      <c r="H9" s="78"/>
      <c r="I9" s="6"/>
      <c r="J9" s="6"/>
      <c r="K9" s="6"/>
      <c r="L9" s="6"/>
    </row>
    <row r="10" spans="1:12">
      <c r="A10" s="67"/>
      <c r="B10" s="71" t="s">
        <v>80</v>
      </c>
      <c r="C10" s="71" t="s">
        <v>81</v>
      </c>
      <c r="D10" s="71" t="s">
        <v>82</v>
      </c>
      <c r="E10" s="71" t="s">
        <v>83</v>
      </c>
      <c r="F10" s="67"/>
      <c r="G10" s="78"/>
      <c r="H10" s="78"/>
      <c r="I10" s="6"/>
      <c r="J10" s="6"/>
      <c r="K10" s="6"/>
      <c r="L10" s="6"/>
    </row>
    <row r="11" spans="1:12">
      <c r="A11" s="67"/>
      <c r="B11" s="71" t="s">
        <v>20</v>
      </c>
      <c r="C11" s="71" t="s">
        <v>84</v>
      </c>
      <c r="D11" s="71" t="s">
        <v>85</v>
      </c>
      <c r="E11" s="71" t="str">
        <f>E12</f>
        <v>2018-02-18 21:59</v>
      </c>
      <c r="F11" s="67"/>
      <c r="G11" s="78"/>
      <c r="H11" s="78"/>
      <c r="I11" s="6"/>
      <c r="J11" s="6"/>
      <c r="K11" s="6"/>
      <c r="L11" s="6"/>
    </row>
    <row r="12" spans="1:12" hidden="1">
      <c r="A12" s="67"/>
      <c r="B12" s="71" t="s">
        <v>20</v>
      </c>
      <c r="C12" s="71" t="s">
        <v>84</v>
      </c>
      <c r="D12" s="71" t="s">
        <v>86</v>
      </c>
      <c r="E12" s="71" t="s">
        <v>87</v>
      </c>
      <c r="F12" s="67"/>
      <c r="G12" s="78"/>
      <c r="H12" s="78"/>
      <c r="I12" s="6"/>
      <c r="J12" s="6"/>
      <c r="K12" s="6"/>
      <c r="L12" s="6"/>
    </row>
    <row r="13" spans="1:12">
      <c r="A13" s="67"/>
      <c r="B13" s="71" t="s">
        <v>88</v>
      </c>
      <c r="C13" s="71" t="s">
        <v>81</v>
      </c>
      <c r="D13" s="71" t="s">
        <v>89</v>
      </c>
      <c r="E13" s="71" t="str">
        <f>E14</f>
        <v>2018-04-06 11:48</v>
      </c>
      <c r="F13" s="67"/>
      <c r="G13" s="78"/>
      <c r="H13" s="78"/>
      <c r="I13" s="6"/>
      <c r="J13" s="6"/>
      <c r="K13" s="6"/>
      <c r="L13" s="6"/>
    </row>
    <row r="14" spans="1:12" hidden="1">
      <c r="A14" s="67"/>
      <c r="B14" s="71" t="s">
        <v>88</v>
      </c>
      <c r="C14" s="71" t="s">
        <v>81</v>
      </c>
      <c r="D14" s="71" t="s">
        <v>90</v>
      </c>
      <c r="E14" s="71" t="s">
        <v>91</v>
      </c>
      <c r="F14" s="67"/>
      <c r="G14" s="78"/>
      <c r="H14" s="78"/>
      <c r="I14" s="6"/>
      <c r="J14" s="6"/>
      <c r="K14" s="6"/>
      <c r="L14" s="6"/>
    </row>
    <row r="15" spans="1:12">
      <c r="A15" s="67"/>
      <c r="B15" s="71" t="s">
        <v>92</v>
      </c>
      <c r="C15" s="71" t="s">
        <v>93</v>
      </c>
      <c r="D15" s="71" t="s">
        <v>94</v>
      </c>
      <c r="E15" s="71" t="s">
        <v>95</v>
      </c>
      <c r="F15" s="67"/>
      <c r="G15" s="78"/>
      <c r="H15" s="78"/>
      <c r="I15" s="6"/>
      <c r="J15" s="6"/>
      <c r="K15" s="6"/>
      <c r="L15" s="6"/>
    </row>
    <row r="16" spans="1:12">
      <c r="A16" s="67"/>
      <c r="B16" s="71" t="s">
        <v>96</v>
      </c>
      <c r="C16" s="71" t="s">
        <v>97</v>
      </c>
      <c r="D16" s="71" t="s">
        <v>98</v>
      </c>
      <c r="E16" s="71" t="s">
        <v>98</v>
      </c>
      <c r="F16" s="67"/>
      <c r="G16" s="78"/>
      <c r="H16" s="78"/>
      <c r="I16" s="6"/>
      <c r="J16" s="6"/>
      <c r="K16" s="6"/>
      <c r="L16" s="6"/>
    </row>
    <row r="17" spans="1:12">
      <c r="A17" s="67"/>
      <c r="B17" s="71" t="s">
        <v>99</v>
      </c>
      <c r="C17" s="71" t="s">
        <v>100</v>
      </c>
      <c r="D17" s="71" t="s">
        <v>101</v>
      </c>
      <c r="E17" s="71" t="s">
        <v>102</v>
      </c>
      <c r="F17" s="67"/>
      <c r="G17" s="78"/>
      <c r="H17" s="78"/>
      <c r="I17" s="6"/>
      <c r="J17" s="6"/>
      <c r="K17" s="6"/>
      <c r="L17" s="6"/>
    </row>
    <row r="18" spans="1:12">
      <c r="A18" s="67"/>
      <c r="B18" s="71" t="s">
        <v>80</v>
      </c>
      <c r="C18" s="71" t="s">
        <v>81</v>
      </c>
      <c r="D18" s="71" t="s">
        <v>103</v>
      </c>
      <c r="E18" s="71" t="s">
        <v>104</v>
      </c>
      <c r="F18" s="67"/>
      <c r="G18" s="78"/>
      <c r="H18" s="78"/>
      <c r="I18" s="6"/>
      <c r="J18" s="6"/>
      <c r="K18" s="6"/>
      <c r="L18" s="6"/>
    </row>
    <row r="19" spans="1:12">
      <c r="A19" s="67"/>
      <c r="B19" s="71" t="s">
        <v>105</v>
      </c>
      <c r="C19" s="71" t="s">
        <v>106</v>
      </c>
      <c r="D19" s="71" t="s">
        <v>107</v>
      </c>
      <c r="E19" s="71" t="s">
        <v>108</v>
      </c>
      <c r="F19" s="67"/>
      <c r="G19" s="78"/>
      <c r="H19" s="78"/>
      <c r="I19" s="6"/>
      <c r="J19" s="6"/>
      <c r="K19" s="6"/>
      <c r="L19" s="6"/>
    </row>
    <row r="20" spans="1:12">
      <c r="A20" s="67"/>
      <c r="B20" s="71" t="s">
        <v>96</v>
      </c>
      <c r="C20" s="71" t="s">
        <v>97</v>
      </c>
      <c r="D20" s="71" t="s">
        <v>109</v>
      </c>
      <c r="E20" s="71" t="s">
        <v>109</v>
      </c>
      <c r="F20" s="67"/>
      <c r="G20" s="78"/>
      <c r="H20" s="78"/>
      <c r="I20" s="6"/>
      <c r="J20" s="6"/>
      <c r="K20" s="6"/>
      <c r="L20" s="6"/>
    </row>
    <row r="21" spans="1:12">
      <c r="A21" s="67"/>
      <c r="B21" s="71" t="s">
        <v>110</v>
      </c>
      <c r="C21" s="71" t="s">
        <v>93</v>
      </c>
      <c r="D21" s="71" t="s">
        <v>111</v>
      </c>
      <c r="E21" s="71" t="s">
        <v>112</v>
      </c>
      <c r="F21" s="67"/>
      <c r="G21" s="78"/>
      <c r="H21" s="78"/>
      <c r="I21" s="6"/>
      <c r="J21" s="6"/>
      <c r="K21" s="6"/>
      <c r="L21" s="6"/>
    </row>
    <row r="22" spans="1:12">
      <c r="A22" s="67"/>
      <c r="B22" s="71" t="s">
        <v>113</v>
      </c>
      <c r="C22" s="71" t="s">
        <v>114</v>
      </c>
      <c r="D22" s="71" t="s">
        <v>115</v>
      </c>
      <c r="E22" s="71" t="s">
        <v>115</v>
      </c>
      <c r="F22" s="67"/>
      <c r="G22" s="78"/>
      <c r="H22" s="78"/>
      <c r="I22" s="6"/>
      <c r="J22" s="6"/>
      <c r="K22" s="6"/>
      <c r="L22" s="6"/>
    </row>
    <row r="23" spans="1:12" hidden="1">
      <c r="A23" s="67"/>
      <c r="B23" s="71" t="s">
        <v>21</v>
      </c>
      <c r="C23" s="71" t="s">
        <v>21</v>
      </c>
      <c r="D23" s="71" t="s">
        <v>116</v>
      </c>
      <c r="E23" s="71" t="s">
        <v>117</v>
      </c>
      <c r="F23" s="67"/>
      <c r="G23" s="78"/>
      <c r="H23" s="78"/>
      <c r="I23" s="6"/>
      <c r="J23" s="6"/>
      <c r="K23" s="6"/>
      <c r="L23" s="6"/>
    </row>
    <row r="24" spans="1:12">
      <c r="A24" s="67"/>
      <c r="B24" s="71" t="s">
        <v>118</v>
      </c>
      <c r="C24" s="71" t="s">
        <v>119</v>
      </c>
      <c r="D24" s="71" t="s">
        <v>120</v>
      </c>
      <c r="E24" s="71" t="s">
        <v>121</v>
      </c>
      <c r="F24" s="67"/>
      <c r="G24" s="78"/>
      <c r="H24" s="78"/>
      <c r="I24" s="6"/>
      <c r="J24" s="6"/>
      <c r="K24" s="6"/>
      <c r="L24" s="6"/>
    </row>
    <row r="25" spans="1:12">
      <c r="A25" s="67"/>
      <c r="B25" s="71" t="s">
        <v>21</v>
      </c>
      <c r="C25" s="71" t="s">
        <v>21</v>
      </c>
      <c r="D25" s="71" t="s">
        <v>122</v>
      </c>
      <c r="E25" s="71" t="s">
        <v>123</v>
      </c>
      <c r="F25" s="67"/>
      <c r="G25" s="78"/>
      <c r="H25" s="78"/>
      <c r="I25" s="6"/>
      <c r="J25" s="6"/>
      <c r="K25" s="6"/>
      <c r="L25" s="6"/>
    </row>
    <row r="26" spans="1:12">
      <c r="A26" s="67"/>
      <c r="B26" s="71" t="s">
        <v>23</v>
      </c>
      <c r="C26" s="71" t="s">
        <v>124</v>
      </c>
      <c r="D26" s="71" t="s">
        <v>125</v>
      </c>
      <c r="E26" s="71" t="s">
        <v>126</v>
      </c>
      <c r="F26" s="67"/>
      <c r="G26" s="78"/>
      <c r="H26" s="78"/>
      <c r="I26" s="6"/>
      <c r="J26" s="6"/>
      <c r="K26" s="6"/>
      <c r="L26" s="6"/>
    </row>
    <row r="27" spans="1:12">
      <c r="A27" s="67"/>
      <c r="B27" s="71" t="s">
        <v>127</v>
      </c>
      <c r="C27" s="71" t="s">
        <v>128</v>
      </c>
      <c r="D27" s="71" t="s">
        <v>129</v>
      </c>
      <c r="E27" s="71" t="s">
        <v>130</v>
      </c>
      <c r="F27" s="67"/>
      <c r="G27" s="78"/>
      <c r="H27" s="78"/>
      <c r="I27" s="6"/>
      <c r="J27" s="6"/>
      <c r="K27" s="6"/>
      <c r="L27" s="6"/>
    </row>
    <row r="28" spans="1:12">
      <c r="A28" s="67"/>
      <c r="B28" s="71" t="s">
        <v>131</v>
      </c>
      <c r="C28" s="71" t="s">
        <v>124</v>
      </c>
      <c r="D28" s="71" t="s">
        <v>132</v>
      </c>
      <c r="E28" s="71" t="s">
        <v>133</v>
      </c>
      <c r="F28" s="67"/>
      <c r="G28" s="78"/>
      <c r="H28" s="78"/>
      <c r="I28" s="6"/>
      <c r="J28" s="6"/>
      <c r="K28" s="6"/>
      <c r="L28" s="6"/>
    </row>
    <row r="29" spans="1:12">
      <c r="A29" s="67"/>
      <c r="B29" s="71" t="s">
        <v>21</v>
      </c>
      <c r="C29" s="71" t="s">
        <v>21</v>
      </c>
      <c r="D29" s="71" t="s">
        <v>134</v>
      </c>
      <c r="E29" s="71" t="s">
        <v>135</v>
      </c>
      <c r="F29" s="67"/>
      <c r="G29" s="78"/>
      <c r="H29" s="78"/>
      <c r="I29" s="6"/>
      <c r="J29" s="6"/>
      <c r="K29" s="6"/>
      <c r="L29" s="6"/>
    </row>
    <row r="30" spans="1:12">
      <c r="A30" s="67"/>
      <c r="B30" s="71" t="s">
        <v>136</v>
      </c>
      <c r="C30" s="71" t="s">
        <v>137</v>
      </c>
      <c r="D30" s="71" t="s">
        <v>138</v>
      </c>
      <c r="E30" s="71" t="str">
        <f>E31</f>
        <v>2018-10-27 20:56</v>
      </c>
      <c r="F30" s="67"/>
      <c r="G30" s="78"/>
      <c r="H30" s="78"/>
      <c r="I30" s="6"/>
      <c r="J30" s="6"/>
      <c r="K30" s="6"/>
      <c r="L30" s="6"/>
    </row>
    <row r="31" spans="1:12" hidden="1">
      <c r="A31" s="67"/>
      <c r="B31" s="71" t="s">
        <v>136</v>
      </c>
      <c r="C31" s="71" t="s">
        <v>137</v>
      </c>
      <c r="D31" s="71" t="s">
        <v>139</v>
      </c>
      <c r="E31" s="71" t="s">
        <v>140</v>
      </c>
      <c r="F31" s="67"/>
      <c r="G31" s="78"/>
      <c r="H31" s="78"/>
      <c r="I31" s="6"/>
      <c r="J31" s="6"/>
      <c r="K31" s="6"/>
      <c r="L31" s="6"/>
    </row>
    <row r="32" spans="1:12">
      <c r="A32" s="67"/>
      <c r="B32" s="71" t="s">
        <v>141</v>
      </c>
      <c r="C32" s="71" t="s">
        <v>142</v>
      </c>
      <c r="D32" s="71" t="s">
        <v>143</v>
      </c>
      <c r="E32" s="71" t="s">
        <v>143</v>
      </c>
      <c r="F32" s="67"/>
      <c r="G32" s="78"/>
      <c r="H32" s="78"/>
      <c r="I32" s="6"/>
      <c r="J32" s="6"/>
      <c r="K32" s="6"/>
      <c r="L32" s="6"/>
    </row>
    <row r="33" spans="1:12">
      <c r="A33" s="67"/>
      <c r="B33" s="71" t="s">
        <v>144</v>
      </c>
      <c r="C33" s="71" t="s">
        <v>81</v>
      </c>
      <c r="D33" s="71" t="s">
        <v>145</v>
      </c>
      <c r="E33" s="71" t="s">
        <v>146</v>
      </c>
      <c r="F33" s="67"/>
      <c r="G33" s="78"/>
      <c r="H33" s="78"/>
      <c r="I33" s="6"/>
      <c r="J33" s="6"/>
      <c r="K33" s="6"/>
      <c r="L33" s="6"/>
    </row>
    <row r="34" spans="1:12">
      <c r="A34" s="67"/>
      <c r="B34" s="71" t="s">
        <v>147</v>
      </c>
      <c r="C34" s="71" t="s">
        <v>148</v>
      </c>
      <c r="D34" s="71" t="s">
        <v>149</v>
      </c>
      <c r="E34" s="71" t="s">
        <v>150</v>
      </c>
      <c r="F34" s="67"/>
      <c r="G34" s="78"/>
      <c r="H34" s="78"/>
      <c r="I34" s="6"/>
      <c r="J34" s="6"/>
      <c r="K34" s="6"/>
      <c r="L34" s="6"/>
    </row>
    <row r="35" spans="1:12">
      <c r="A35" s="67"/>
      <c r="B35" s="71" t="s">
        <v>80</v>
      </c>
      <c r="C35" s="71" t="s">
        <v>81</v>
      </c>
      <c r="D35" s="71" t="s">
        <v>151</v>
      </c>
      <c r="E35" s="71" t="s">
        <v>152</v>
      </c>
      <c r="F35" s="67"/>
      <c r="G35" s="78"/>
      <c r="H35" s="78"/>
      <c r="I35" s="6"/>
      <c r="J35" s="6"/>
      <c r="K35" s="6"/>
      <c r="L35" s="6"/>
    </row>
    <row r="36" spans="1:12">
      <c r="A36" s="67"/>
      <c r="B36" s="71" t="s">
        <v>144</v>
      </c>
      <c r="C36" s="71" t="s">
        <v>81</v>
      </c>
      <c r="D36" s="71" t="s">
        <v>153</v>
      </c>
      <c r="E36" s="71" t="s">
        <v>154</v>
      </c>
      <c r="F36" s="67"/>
      <c r="G36" s="78"/>
      <c r="H36" s="78"/>
      <c r="I36" s="6"/>
      <c r="J36" s="6"/>
      <c r="K36" s="6"/>
      <c r="L36" s="6"/>
    </row>
    <row r="37" spans="1:12">
      <c r="A37" s="67"/>
      <c r="B37" s="71" t="s">
        <v>155</v>
      </c>
      <c r="C37" s="71" t="s">
        <v>81</v>
      </c>
      <c r="D37" s="71" t="s">
        <v>156</v>
      </c>
      <c r="E37" s="71" t="s">
        <v>157</v>
      </c>
      <c r="F37" s="67"/>
      <c r="G37" s="78"/>
      <c r="H37" s="78"/>
      <c r="I37" s="6"/>
      <c r="J37" s="6"/>
      <c r="K37" s="6"/>
      <c r="L37" s="6"/>
    </row>
    <row r="38" spans="1:12">
      <c r="A38" s="67"/>
      <c r="B38" s="71" t="s">
        <v>158</v>
      </c>
      <c r="C38" s="71" t="s">
        <v>97</v>
      </c>
      <c r="D38" s="71" t="s">
        <v>159</v>
      </c>
      <c r="E38" s="71" t="s">
        <v>159</v>
      </c>
      <c r="F38" s="67"/>
      <c r="G38" s="78"/>
      <c r="H38" s="78"/>
      <c r="I38" s="6"/>
      <c r="J38" s="6"/>
      <c r="K38" s="6"/>
      <c r="L38" s="6"/>
    </row>
    <row r="39" spans="1:12">
      <c r="A39" s="67"/>
      <c r="B39" s="71" t="s">
        <v>110</v>
      </c>
      <c r="C39" s="71" t="s">
        <v>93</v>
      </c>
      <c r="D39" s="71" t="s">
        <v>160</v>
      </c>
      <c r="E39" s="71" t="s">
        <v>161</v>
      </c>
      <c r="F39" s="67"/>
      <c r="G39" s="78"/>
      <c r="H39" s="78"/>
      <c r="I39" s="6"/>
      <c r="J39" s="6"/>
      <c r="K39" s="6"/>
      <c r="L39" s="6"/>
    </row>
    <row r="40" spans="1:12">
      <c r="A40" s="67"/>
      <c r="B40" s="71" t="s">
        <v>96</v>
      </c>
      <c r="C40" s="71" t="s">
        <v>97</v>
      </c>
      <c r="D40" s="71" t="s">
        <v>162</v>
      </c>
      <c r="E40" s="71" t="s">
        <v>162</v>
      </c>
      <c r="F40" s="67"/>
      <c r="G40" s="78"/>
      <c r="H40" s="78"/>
      <c r="I40" s="6"/>
      <c r="J40" s="6"/>
      <c r="K40" s="6"/>
      <c r="L40" s="6"/>
    </row>
    <row r="41" spans="1:12">
      <c r="A41" s="67"/>
      <c r="B41" s="71" t="s">
        <v>105</v>
      </c>
      <c r="C41" s="71" t="s">
        <v>106</v>
      </c>
      <c r="D41" s="71" t="s">
        <v>163</v>
      </c>
      <c r="E41" s="71" t="s">
        <v>164</v>
      </c>
      <c r="F41" s="67"/>
      <c r="G41" s="78"/>
      <c r="H41" s="78"/>
      <c r="I41" s="6"/>
      <c r="J41" s="6"/>
      <c r="K41" s="6"/>
      <c r="L41" s="6"/>
    </row>
    <row r="42" spans="1:12">
      <c r="A42" s="67"/>
      <c r="B42" s="71" t="s">
        <v>158</v>
      </c>
      <c r="C42" s="71" t="s">
        <v>97</v>
      </c>
      <c r="D42" s="71" t="s">
        <v>165</v>
      </c>
      <c r="E42" s="71" t="s">
        <v>166</v>
      </c>
      <c r="F42" s="67"/>
      <c r="G42" s="78"/>
      <c r="H42" s="78"/>
      <c r="I42" s="6"/>
      <c r="J42" s="6"/>
      <c r="K42" s="6"/>
      <c r="L42" s="6"/>
    </row>
    <row r="43" spans="1:12">
      <c r="A43" s="67"/>
      <c r="B43" s="71" t="s">
        <v>92</v>
      </c>
      <c r="C43" s="71" t="s">
        <v>93</v>
      </c>
      <c r="D43" s="71" t="s">
        <v>167</v>
      </c>
      <c r="E43" s="71" t="s">
        <v>168</v>
      </c>
      <c r="F43" s="67"/>
      <c r="G43" s="78"/>
      <c r="H43" s="78"/>
      <c r="I43" s="6"/>
      <c r="J43" s="6"/>
      <c r="K43" s="6"/>
      <c r="L43" s="6"/>
    </row>
    <row r="44" spans="1:12">
      <c r="A44" s="67"/>
      <c r="B44" s="71" t="s">
        <v>169</v>
      </c>
      <c r="C44" s="71" t="s">
        <v>142</v>
      </c>
      <c r="D44" s="71" t="s">
        <v>170</v>
      </c>
      <c r="E44" s="71" t="s">
        <v>171</v>
      </c>
      <c r="F44" s="67"/>
      <c r="G44" s="78"/>
      <c r="H44" s="78"/>
      <c r="I44" s="6"/>
      <c r="J44" s="6"/>
      <c r="K44" s="6"/>
      <c r="L44" s="6"/>
    </row>
    <row r="45" spans="1:12">
      <c r="A45" s="67"/>
      <c r="B45" s="71" t="s">
        <v>141</v>
      </c>
      <c r="C45" s="71" t="s">
        <v>142</v>
      </c>
      <c r="D45" s="71" t="s">
        <v>172</v>
      </c>
      <c r="E45" s="71" t="s">
        <v>172</v>
      </c>
      <c r="F45" s="67"/>
      <c r="G45" s="78"/>
      <c r="H45" s="78"/>
      <c r="I45" s="6"/>
      <c r="J45" s="6"/>
      <c r="K45" s="6"/>
      <c r="L45" s="6"/>
    </row>
    <row r="46" spans="1:12">
      <c r="A46" s="67"/>
      <c r="B46" s="71" t="s">
        <v>173</v>
      </c>
      <c r="C46" s="71" t="s">
        <v>174</v>
      </c>
      <c r="D46" s="71" t="s">
        <v>175</v>
      </c>
      <c r="E46" s="71" t="s">
        <v>176</v>
      </c>
      <c r="F46" s="67"/>
      <c r="G46" s="78"/>
      <c r="H46" s="78"/>
      <c r="I46" s="6"/>
      <c r="J46" s="6"/>
      <c r="K46" s="6"/>
      <c r="L46" s="6"/>
    </row>
    <row r="47" spans="1:12">
      <c r="A47" s="67"/>
      <c r="B47" s="71" t="s">
        <v>23</v>
      </c>
      <c r="C47" s="71" t="s">
        <v>124</v>
      </c>
      <c r="D47" s="71" t="s">
        <v>177</v>
      </c>
      <c r="E47" s="71" t="s">
        <v>178</v>
      </c>
      <c r="F47" s="67"/>
      <c r="G47" s="78"/>
      <c r="H47" s="78"/>
      <c r="I47" s="6"/>
      <c r="J47" s="6"/>
      <c r="K47" s="6"/>
      <c r="L47" s="6"/>
    </row>
    <row r="48" spans="1:12">
      <c r="A48" s="67"/>
      <c r="B48" s="71" t="s">
        <v>136</v>
      </c>
      <c r="C48" s="71" t="s">
        <v>137</v>
      </c>
      <c r="D48" s="71" t="s">
        <v>179</v>
      </c>
      <c r="E48" s="71" t="s">
        <v>180</v>
      </c>
      <c r="F48" s="67"/>
      <c r="G48" s="78"/>
      <c r="H48" s="78"/>
      <c r="I48" s="6"/>
      <c r="J48" s="6"/>
      <c r="K48" s="6"/>
      <c r="L48" s="6"/>
    </row>
    <row r="49" spans="1:13" hidden="1">
      <c r="A49" s="67"/>
      <c r="B49" s="71" t="s">
        <v>136</v>
      </c>
      <c r="C49" s="71" t="s">
        <v>137</v>
      </c>
      <c r="D49" s="71" t="s">
        <v>181</v>
      </c>
      <c r="E49" s="71" t="s">
        <v>181</v>
      </c>
      <c r="F49" s="67"/>
      <c r="G49" s="78"/>
      <c r="H49" s="78"/>
      <c r="I49" s="6"/>
      <c r="J49" s="6"/>
      <c r="K49" s="6"/>
      <c r="L49" s="6"/>
    </row>
    <row r="50" spans="1:13">
      <c r="A50" s="67"/>
      <c r="B50" s="71" t="s">
        <v>141</v>
      </c>
      <c r="C50" s="71" t="s">
        <v>142</v>
      </c>
      <c r="D50" s="71" t="s">
        <v>182</v>
      </c>
      <c r="E50" s="71" t="s">
        <v>182</v>
      </c>
      <c r="F50" s="67"/>
      <c r="G50" s="78"/>
      <c r="H50" s="78"/>
      <c r="I50" s="6"/>
      <c r="J50" s="6"/>
      <c r="K50" s="6"/>
      <c r="L50" s="6"/>
    </row>
    <row r="51" spans="1:13">
      <c r="A51" s="67"/>
      <c r="B51" s="71" t="s">
        <v>20</v>
      </c>
      <c r="C51" s="71" t="s">
        <v>84</v>
      </c>
      <c r="D51" s="71" t="s">
        <v>183</v>
      </c>
      <c r="E51" s="71" t="s">
        <v>184</v>
      </c>
      <c r="F51" s="67"/>
      <c r="G51" s="78"/>
      <c r="H51" s="78"/>
      <c r="I51" s="6"/>
      <c r="J51" s="6"/>
      <c r="K51" s="6"/>
      <c r="L51" s="6"/>
    </row>
    <row r="52" spans="1:13">
      <c r="A52" s="67"/>
      <c r="B52" s="71" t="s">
        <v>185</v>
      </c>
      <c r="C52" s="71" t="s">
        <v>148</v>
      </c>
      <c r="D52" s="71" t="s">
        <v>186</v>
      </c>
      <c r="E52" s="71" t="s">
        <v>187</v>
      </c>
      <c r="F52" s="67"/>
      <c r="G52" s="78"/>
      <c r="H52" s="78"/>
      <c r="I52" s="6"/>
      <c r="J52" s="6"/>
      <c r="K52" s="6"/>
      <c r="L52" s="6"/>
    </row>
    <row r="53" spans="1:13">
      <c r="A53" s="67"/>
      <c r="B53" s="71" t="s">
        <v>188</v>
      </c>
      <c r="C53" s="71" t="s">
        <v>189</v>
      </c>
      <c r="D53" s="71" t="s">
        <v>190</v>
      </c>
      <c r="E53" s="71" t="s">
        <v>194</v>
      </c>
      <c r="F53" s="67"/>
      <c r="G53" s="78"/>
      <c r="H53" s="78"/>
      <c r="I53" s="6"/>
      <c r="J53" s="6"/>
      <c r="K53" s="6"/>
      <c r="L53" s="6"/>
    </row>
    <row r="54" spans="1:13" hidden="1">
      <c r="A54" s="67"/>
      <c r="B54" s="71" t="s">
        <v>188</v>
      </c>
      <c r="C54" s="71" t="s">
        <v>189</v>
      </c>
      <c r="D54" s="71" t="s">
        <v>191</v>
      </c>
      <c r="E54" s="71" t="s">
        <v>192</v>
      </c>
      <c r="F54" s="67"/>
      <c r="G54" s="78"/>
      <c r="H54" s="78"/>
      <c r="I54" s="6"/>
      <c r="J54" s="6"/>
      <c r="K54" s="6"/>
      <c r="L54" s="6"/>
    </row>
    <row r="55" spans="1:13" hidden="1">
      <c r="A55" s="67"/>
      <c r="B55" s="71" t="s">
        <v>188</v>
      </c>
      <c r="C55" s="71" t="s">
        <v>189</v>
      </c>
      <c r="D55" s="71" t="s">
        <v>193</v>
      </c>
      <c r="F55" s="67"/>
      <c r="G55" s="78"/>
      <c r="H55" s="78"/>
      <c r="I55" s="6"/>
      <c r="J55" s="6"/>
      <c r="K55" s="6"/>
      <c r="L55" s="6"/>
    </row>
    <row r="56" spans="1:13">
      <c r="A56" s="67"/>
      <c r="B56" s="71" t="s">
        <v>195</v>
      </c>
      <c r="C56" s="71" t="s">
        <v>189</v>
      </c>
      <c r="D56" s="71" t="s">
        <v>196</v>
      </c>
      <c r="E56" s="71" t="s">
        <v>197</v>
      </c>
      <c r="F56" s="67"/>
      <c r="G56" s="78"/>
      <c r="H56" s="78"/>
      <c r="I56" s="6"/>
      <c r="J56" s="6"/>
      <c r="K56" s="6"/>
      <c r="L56" s="6"/>
      <c r="M56" s="6"/>
    </row>
    <row r="57" spans="1:13">
      <c r="A57" s="67"/>
      <c r="B57" s="71" t="s">
        <v>22</v>
      </c>
      <c r="C57" s="71" t="s">
        <v>189</v>
      </c>
      <c r="D57" s="71" t="s">
        <v>198</v>
      </c>
      <c r="E57" s="71" t="s">
        <v>199</v>
      </c>
      <c r="F57" s="67"/>
      <c r="G57" s="78"/>
      <c r="H57" s="78"/>
      <c r="I57" s="6"/>
      <c r="J57" s="6"/>
      <c r="K57" s="6"/>
      <c r="L57" s="6"/>
      <c r="M57" s="6"/>
    </row>
    <row r="58" spans="1:13">
      <c r="A58" s="67"/>
      <c r="B58" s="71" t="s">
        <v>200</v>
      </c>
      <c r="C58" s="71" t="s">
        <v>201</v>
      </c>
      <c r="D58" s="71" t="s">
        <v>202</v>
      </c>
      <c r="E58" s="71" t="s">
        <v>203</v>
      </c>
      <c r="F58" s="67"/>
      <c r="G58" s="78"/>
      <c r="H58" s="78"/>
      <c r="I58" s="6"/>
      <c r="J58" s="6"/>
      <c r="K58" s="6"/>
      <c r="L58" s="6"/>
      <c r="M58" s="6"/>
    </row>
    <row r="59" spans="1:13">
      <c r="A59" s="67"/>
      <c r="B59" s="71" t="s">
        <v>204</v>
      </c>
      <c r="C59" s="71" t="s">
        <v>205</v>
      </c>
      <c r="D59" s="71" t="s">
        <v>206</v>
      </c>
      <c r="E59" s="71" t="s">
        <v>207</v>
      </c>
      <c r="F59" s="67"/>
      <c r="G59" s="78"/>
      <c r="H59" s="78"/>
      <c r="I59" s="6"/>
      <c r="J59" s="6"/>
      <c r="K59" s="6"/>
      <c r="L59" s="6"/>
      <c r="M59" s="6"/>
    </row>
    <row r="60" spans="1:13">
      <c r="A60" s="67"/>
      <c r="B60" s="71" t="s">
        <v>208</v>
      </c>
      <c r="C60" s="71" t="s">
        <v>209</v>
      </c>
      <c r="D60" s="71" t="s">
        <v>210</v>
      </c>
      <c r="E60" s="71" t="s">
        <v>211</v>
      </c>
      <c r="F60" s="67"/>
      <c r="G60" s="78"/>
      <c r="H60" s="78"/>
      <c r="I60" s="6"/>
      <c r="J60" s="6"/>
      <c r="K60" s="6"/>
      <c r="L60" s="6"/>
      <c r="M60" s="6"/>
    </row>
    <row r="61" spans="1:13">
      <c r="A61" s="67"/>
      <c r="B61" s="71" t="s">
        <v>208</v>
      </c>
      <c r="C61" s="71" t="s">
        <v>209</v>
      </c>
      <c r="D61" s="71" t="s">
        <v>212</v>
      </c>
      <c r="E61" s="71" t="s">
        <v>213</v>
      </c>
      <c r="F61" s="67"/>
      <c r="G61" s="78"/>
      <c r="H61" s="78"/>
      <c r="I61" s="6"/>
      <c r="J61" s="6"/>
      <c r="K61" s="6"/>
      <c r="L61" s="6"/>
      <c r="M61" s="6"/>
    </row>
    <row r="62" spans="1:13">
      <c r="A62" s="67"/>
      <c r="B62" s="71" t="s">
        <v>214</v>
      </c>
      <c r="C62" s="71" t="s">
        <v>93</v>
      </c>
      <c r="D62" s="71" t="s">
        <v>215</v>
      </c>
      <c r="E62" s="71" t="s">
        <v>216</v>
      </c>
      <c r="F62" s="67"/>
      <c r="G62" s="78"/>
      <c r="H62" s="78"/>
      <c r="I62" s="6"/>
      <c r="J62" s="6"/>
      <c r="K62" s="6"/>
      <c r="L62" s="6"/>
      <c r="M62" s="6"/>
    </row>
    <row r="63" spans="1:13">
      <c r="A63" s="67"/>
      <c r="B63" s="71" t="s">
        <v>217</v>
      </c>
      <c r="C63" s="71" t="s">
        <v>189</v>
      </c>
      <c r="D63" s="71" t="s">
        <v>218</v>
      </c>
      <c r="E63" s="71" t="s">
        <v>218</v>
      </c>
      <c r="F63" s="67"/>
      <c r="G63" s="78"/>
      <c r="H63" s="78"/>
      <c r="I63" s="6"/>
      <c r="J63" s="6"/>
      <c r="K63" s="6"/>
      <c r="L63" s="6"/>
      <c r="M63" s="6"/>
    </row>
    <row r="64" spans="1:13">
      <c r="A64" s="67"/>
      <c r="B64" s="71" t="s">
        <v>219</v>
      </c>
      <c r="C64" s="71" t="s">
        <v>189</v>
      </c>
      <c r="D64" s="71" t="s">
        <v>220</v>
      </c>
      <c r="E64" s="71" t="str">
        <f>E69</f>
        <v>2019-11-16 06:50</v>
      </c>
      <c r="F64" s="67"/>
      <c r="G64" s="78"/>
      <c r="H64" s="78"/>
      <c r="I64" s="6"/>
      <c r="J64" s="6"/>
      <c r="K64" s="6"/>
      <c r="L64" s="6"/>
      <c r="M64" s="6"/>
    </row>
    <row r="65" spans="1:13" hidden="1">
      <c r="A65" s="67"/>
      <c r="B65" s="71" t="s">
        <v>221</v>
      </c>
      <c r="C65" s="71" t="s">
        <v>189</v>
      </c>
      <c r="D65" s="71" t="s">
        <v>222</v>
      </c>
      <c r="E65" s="71" t="s">
        <v>222</v>
      </c>
      <c r="F65" s="67"/>
      <c r="G65" s="78"/>
      <c r="H65" s="78"/>
      <c r="I65" s="6"/>
      <c r="J65" s="6"/>
      <c r="K65" s="6"/>
      <c r="L65" s="6"/>
      <c r="M65" s="6"/>
    </row>
    <row r="66" spans="1:13" ht="23" hidden="1" customHeight="1">
      <c r="A66" s="67"/>
      <c r="B66" s="71" t="s">
        <v>223</v>
      </c>
      <c r="C66" s="71" t="s">
        <v>189</v>
      </c>
      <c r="D66" s="71" t="s">
        <v>224</v>
      </c>
      <c r="E66" s="71" t="s">
        <v>225</v>
      </c>
      <c r="F66" s="67"/>
      <c r="G66" s="78"/>
      <c r="H66" s="78"/>
      <c r="I66" s="6"/>
      <c r="J66" s="6"/>
      <c r="K66" s="6"/>
      <c r="L66" s="6"/>
      <c r="M66" s="6"/>
    </row>
    <row r="67" spans="1:13" hidden="1">
      <c r="A67" s="67"/>
      <c r="B67" s="71" t="s">
        <v>226</v>
      </c>
      <c r="C67" s="71" t="s">
        <v>189</v>
      </c>
      <c r="D67" s="71" t="s">
        <v>227</v>
      </c>
      <c r="E67" s="71" t="s">
        <v>227</v>
      </c>
      <c r="F67" s="67"/>
      <c r="G67" s="78"/>
      <c r="H67" s="78"/>
      <c r="I67" s="6"/>
      <c r="J67" s="6"/>
      <c r="K67" s="6"/>
      <c r="L67" s="6"/>
      <c r="M67" s="6"/>
    </row>
    <row r="68" spans="1:13" hidden="1">
      <c r="A68" s="67"/>
      <c r="B68" s="71" t="s">
        <v>228</v>
      </c>
      <c r="C68" s="71" t="s">
        <v>189</v>
      </c>
      <c r="D68" s="71" t="s">
        <v>229</v>
      </c>
      <c r="E68" s="71" t="s">
        <v>229</v>
      </c>
      <c r="F68" s="67"/>
      <c r="G68" s="78"/>
      <c r="H68" s="78"/>
      <c r="I68" s="6"/>
      <c r="J68" s="6"/>
      <c r="K68" s="6"/>
      <c r="L68" s="6"/>
      <c r="M68" s="6"/>
    </row>
    <row r="69" spans="1:13" hidden="1">
      <c r="A69" s="67"/>
      <c r="B69" s="71" t="s">
        <v>219</v>
      </c>
      <c r="C69" s="71" t="s">
        <v>189</v>
      </c>
      <c r="D69" s="71" t="s">
        <v>230</v>
      </c>
      <c r="E69" s="71" t="s">
        <v>230</v>
      </c>
      <c r="F69" s="67"/>
      <c r="G69" s="78"/>
      <c r="H69" s="78"/>
      <c r="I69" s="6"/>
      <c r="J69" s="6"/>
      <c r="K69" s="6"/>
      <c r="L69" s="6"/>
      <c r="M69" s="6"/>
    </row>
    <row r="70" spans="1:13">
      <c r="A70" s="67"/>
      <c r="B70" s="71" t="s">
        <v>231</v>
      </c>
      <c r="C70" s="71" t="s">
        <v>189</v>
      </c>
      <c r="D70" s="71" t="s">
        <v>232</v>
      </c>
      <c r="E70" s="71" t="str">
        <f>E73</f>
        <v>2019-11-28 19:39</v>
      </c>
      <c r="F70" s="67"/>
      <c r="G70" s="78"/>
      <c r="H70" s="78"/>
      <c r="I70" s="6"/>
      <c r="J70" s="6"/>
      <c r="K70" s="6"/>
      <c r="L70" s="6"/>
      <c r="M70" s="6"/>
    </row>
    <row r="71" spans="1:13" hidden="1">
      <c r="A71" s="67"/>
      <c r="B71" s="71" t="s">
        <v>233</v>
      </c>
      <c r="C71" s="71" t="s">
        <v>189</v>
      </c>
      <c r="D71" s="71" t="s">
        <v>234</v>
      </c>
      <c r="E71" s="71" t="s">
        <v>234</v>
      </c>
      <c r="F71" s="67"/>
      <c r="G71" s="78"/>
      <c r="H71" s="78"/>
      <c r="I71" s="6"/>
      <c r="J71" s="6"/>
      <c r="K71" s="6"/>
      <c r="L71" s="6"/>
      <c r="M71" s="6"/>
    </row>
    <row r="72" spans="1:13" hidden="1">
      <c r="A72" s="67"/>
      <c r="B72" s="71" t="s">
        <v>235</v>
      </c>
      <c r="C72" s="71" t="s">
        <v>189</v>
      </c>
      <c r="D72" s="71" t="s">
        <v>236</v>
      </c>
      <c r="E72" s="71" t="s">
        <v>237</v>
      </c>
      <c r="F72" s="67"/>
      <c r="G72" s="78"/>
      <c r="H72" s="78"/>
      <c r="I72" s="6"/>
      <c r="J72" s="6"/>
      <c r="K72" s="6"/>
      <c r="L72" s="6"/>
      <c r="M72" s="6"/>
    </row>
    <row r="73" spans="1:13" hidden="1">
      <c r="A73" s="67"/>
      <c r="B73" s="71" t="s">
        <v>231</v>
      </c>
      <c r="C73" s="71" t="s">
        <v>189</v>
      </c>
      <c r="D73" s="71" t="s">
        <v>238</v>
      </c>
      <c r="E73" s="71" t="s">
        <v>239</v>
      </c>
      <c r="F73" s="67"/>
      <c r="G73" s="78"/>
      <c r="H73" s="78"/>
      <c r="I73" s="6"/>
      <c r="J73" s="6"/>
      <c r="K73" s="6"/>
      <c r="L73" s="6"/>
      <c r="M73" s="6"/>
    </row>
    <row r="74" spans="1:13">
      <c r="A74" s="67"/>
      <c r="B74" s="71" t="s">
        <v>195</v>
      </c>
      <c r="C74" s="71" t="s">
        <v>189</v>
      </c>
      <c r="D74" s="71" t="s">
        <v>240</v>
      </c>
      <c r="E74" s="71" t="str">
        <f>E75</f>
        <v>2019-12-03 16:51</v>
      </c>
      <c r="F74" s="67"/>
      <c r="G74" s="78"/>
      <c r="H74" s="78"/>
      <c r="I74" s="6"/>
      <c r="J74" s="6"/>
      <c r="K74" s="6"/>
      <c r="L74" s="6"/>
      <c r="M74" s="6"/>
    </row>
    <row r="75" spans="1:13" hidden="1">
      <c r="A75" s="67"/>
      <c r="B75" s="71" t="s">
        <v>195</v>
      </c>
      <c r="C75" s="71" t="s">
        <v>189</v>
      </c>
      <c r="D75" s="71" t="s">
        <v>241</v>
      </c>
      <c r="E75" s="71" t="s">
        <v>242</v>
      </c>
      <c r="F75" s="67"/>
      <c r="G75" s="78"/>
      <c r="H75" s="78"/>
      <c r="I75" s="6"/>
      <c r="J75" s="6"/>
      <c r="K75" s="6"/>
      <c r="L75" s="6"/>
      <c r="M75" s="6"/>
    </row>
    <row r="76" spans="1:13" hidden="1">
      <c r="A76" s="67"/>
      <c r="B76" s="71" t="s">
        <v>22</v>
      </c>
      <c r="C76" s="71" t="s">
        <v>189</v>
      </c>
      <c r="D76" s="71" t="s">
        <v>243</v>
      </c>
      <c r="E76" s="71" t="s">
        <v>244</v>
      </c>
      <c r="F76" s="67"/>
      <c r="G76" s="78"/>
      <c r="H76" s="78"/>
      <c r="I76" s="6"/>
      <c r="J76" s="6"/>
      <c r="K76" s="6"/>
      <c r="L76" s="6"/>
      <c r="M76" s="6"/>
    </row>
    <row r="77" spans="1:13">
      <c r="A77" s="67"/>
      <c r="B77" s="71" t="s">
        <v>245</v>
      </c>
      <c r="C77" s="71" t="s">
        <v>77</v>
      </c>
      <c r="D77" s="71" t="s">
        <v>246</v>
      </c>
      <c r="E77" s="71" t="s">
        <v>247</v>
      </c>
      <c r="F77" s="67"/>
      <c r="G77" s="78"/>
      <c r="H77" s="78"/>
      <c r="I77" s="6"/>
      <c r="J77" s="6"/>
      <c r="K77" s="6"/>
      <c r="L77" s="6"/>
      <c r="M77" s="6"/>
    </row>
    <row r="78" spans="1:13">
      <c r="A78" s="67"/>
      <c r="B78" s="71" t="s">
        <v>110</v>
      </c>
      <c r="C78" s="71" t="s">
        <v>93</v>
      </c>
      <c r="D78" s="71" t="s">
        <v>248</v>
      </c>
      <c r="E78" s="71" t="s">
        <v>249</v>
      </c>
      <c r="F78" s="67"/>
      <c r="G78" s="78"/>
      <c r="H78" s="78"/>
      <c r="I78" s="6"/>
      <c r="J78" s="6"/>
      <c r="K78" s="6"/>
      <c r="L78" s="6"/>
      <c r="M78" s="6"/>
    </row>
    <row r="79" spans="1:13">
      <c r="A79" s="67"/>
      <c r="B79" s="71" t="s">
        <v>92</v>
      </c>
      <c r="C79" s="71" t="s">
        <v>93</v>
      </c>
      <c r="D79" s="71" t="s">
        <v>250</v>
      </c>
      <c r="E79" s="71" t="s">
        <v>251</v>
      </c>
      <c r="F79" s="67"/>
      <c r="G79" s="78"/>
      <c r="H79" s="78"/>
      <c r="I79" s="6"/>
      <c r="J79" s="6"/>
      <c r="K79" s="6"/>
      <c r="L79" s="6"/>
      <c r="M79" s="6"/>
    </row>
    <row r="80" spans="1:13">
      <c r="A80" s="67"/>
      <c r="B80" s="71" t="s">
        <v>204</v>
      </c>
      <c r="C80" s="71" t="s">
        <v>205</v>
      </c>
      <c r="D80" s="71" t="s">
        <v>252</v>
      </c>
      <c r="E80" s="71" t="s">
        <v>253</v>
      </c>
      <c r="F80" s="67"/>
      <c r="G80" s="78"/>
      <c r="H80" s="78"/>
      <c r="I80" s="6"/>
      <c r="J80" s="6"/>
      <c r="K80" s="6"/>
      <c r="L80" s="6"/>
      <c r="M80" s="6"/>
    </row>
    <row r="81" spans="1:13">
      <c r="A81" s="67"/>
      <c r="B81" s="71" t="s">
        <v>254</v>
      </c>
      <c r="C81" s="71" t="s">
        <v>189</v>
      </c>
      <c r="D81" s="71" t="s">
        <v>255</v>
      </c>
      <c r="E81" s="71" t="s">
        <v>256</v>
      </c>
      <c r="F81" s="67"/>
      <c r="G81" s="78"/>
      <c r="H81" s="78"/>
      <c r="I81" s="6"/>
      <c r="J81" s="6"/>
      <c r="K81" s="6"/>
      <c r="L81" s="6"/>
      <c r="M81" s="6"/>
    </row>
    <row r="82" spans="1:13">
      <c r="A82" s="67"/>
      <c r="B82" s="71" t="s">
        <v>254</v>
      </c>
      <c r="C82" s="71" t="s">
        <v>189</v>
      </c>
      <c r="D82" s="71" t="s">
        <v>257</v>
      </c>
      <c r="E82" s="71" t="s">
        <v>258</v>
      </c>
      <c r="F82" s="67"/>
      <c r="G82" s="78"/>
      <c r="H82" s="78"/>
      <c r="I82" s="6"/>
      <c r="J82" s="6"/>
      <c r="K82" s="6"/>
      <c r="L82" s="6"/>
      <c r="M82" s="6"/>
    </row>
    <row r="83" spans="1:13">
      <c r="A83" s="67"/>
      <c r="B83" s="71" t="s">
        <v>254</v>
      </c>
      <c r="C83" s="71" t="s">
        <v>189</v>
      </c>
      <c r="D83" s="71" t="s">
        <v>259</v>
      </c>
      <c r="E83" s="71" t="s">
        <v>260</v>
      </c>
      <c r="F83" s="67"/>
      <c r="G83" s="78"/>
      <c r="H83" s="78"/>
      <c r="I83" s="6"/>
      <c r="J83" s="6"/>
      <c r="K83" s="6"/>
      <c r="L83" s="6"/>
      <c r="M83" s="6"/>
    </row>
    <row r="84" spans="1:13">
      <c r="A84" s="67"/>
      <c r="B84" s="71" t="s">
        <v>254</v>
      </c>
      <c r="C84" s="71" t="s">
        <v>189</v>
      </c>
      <c r="D84" s="71" t="s">
        <v>261</v>
      </c>
      <c r="E84" s="71" t="s">
        <v>262</v>
      </c>
      <c r="F84" s="67"/>
      <c r="G84" s="78"/>
      <c r="H84" s="78"/>
      <c r="I84" s="6"/>
      <c r="J84" s="6"/>
      <c r="K84" s="6"/>
      <c r="L84" s="6"/>
      <c r="M84" s="6"/>
    </row>
    <row r="85" spans="1:13">
      <c r="A85" s="67"/>
      <c r="B85" s="71" t="s">
        <v>263</v>
      </c>
      <c r="C85" s="71" t="s">
        <v>189</v>
      </c>
      <c r="D85" s="71" t="s">
        <v>264</v>
      </c>
      <c r="E85" s="71" t="s">
        <v>264</v>
      </c>
      <c r="F85" s="67"/>
      <c r="G85" s="78"/>
      <c r="H85" s="78"/>
      <c r="I85" s="6"/>
      <c r="J85" s="6"/>
      <c r="K85" s="6"/>
      <c r="L85" s="6"/>
      <c r="M85" s="6"/>
    </row>
    <row r="86" spans="1:13">
      <c r="A86" s="67"/>
      <c r="B86" s="71" t="s">
        <v>265</v>
      </c>
      <c r="C86" s="71" t="s">
        <v>189</v>
      </c>
      <c r="D86" s="71" t="s">
        <v>266</v>
      </c>
      <c r="E86" s="71" t="s">
        <v>266</v>
      </c>
      <c r="F86" s="67"/>
      <c r="G86" s="78"/>
      <c r="H86" s="78"/>
      <c r="I86" s="6"/>
      <c r="J86" s="6"/>
      <c r="K86" s="6"/>
      <c r="L86" s="6"/>
      <c r="M86" s="6"/>
    </row>
    <row r="87" spans="1:13">
      <c r="A87" s="67"/>
      <c r="B87" s="71" t="s">
        <v>267</v>
      </c>
      <c r="C87" s="71" t="s">
        <v>189</v>
      </c>
      <c r="D87" s="71" t="s">
        <v>268</v>
      </c>
      <c r="E87" s="71" t="s">
        <v>268</v>
      </c>
      <c r="F87" s="67"/>
      <c r="G87" s="78"/>
      <c r="H87" s="78"/>
      <c r="I87" s="6"/>
      <c r="J87" s="6"/>
      <c r="K87" s="6"/>
      <c r="L87" s="6"/>
      <c r="M87" s="6"/>
    </row>
    <row r="88" spans="1:13">
      <c r="A88" s="67"/>
      <c r="B88" s="71" t="s">
        <v>269</v>
      </c>
      <c r="C88" s="71" t="s">
        <v>189</v>
      </c>
      <c r="D88" s="71" t="s">
        <v>270</v>
      </c>
      <c r="E88" s="71" t="s">
        <v>270</v>
      </c>
      <c r="F88" s="67"/>
      <c r="G88" s="78"/>
      <c r="H88" s="78"/>
      <c r="I88" s="6"/>
      <c r="J88" s="6"/>
      <c r="K88" s="6"/>
      <c r="L88" s="6"/>
      <c r="M88" s="6"/>
    </row>
    <row r="89" spans="1:13">
      <c r="A89" s="67"/>
      <c r="B89" s="71" t="s">
        <v>271</v>
      </c>
      <c r="C89" s="71" t="s">
        <v>189</v>
      </c>
      <c r="D89" s="71" t="s">
        <v>272</v>
      </c>
      <c r="E89" s="71" t="s">
        <v>273</v>
      </c>
      <c r="F89" s="67"/>
      <c r="G89" s="78"/>
      <c r="H89" s="78"/>
      <c r="I89" s="6"/>
      <c r="J89" s="6"/>
      <c r="K89" s="6"/>
      <c r="L89" s="6"/>
      <c r="M89" s="6"/>
    </row>
    <row r="90" spans="1:13">
      <c r="A90" s="67"/>
      <c r="B90" s="71" t="s">
        <v>263</v>
      </c>
      <c r="C90" s="71" t="s">
        <v>189</v>
      </c>
      <c r="D90" s="71" t="s">
        <v>274</v>
      </c>
      <c r="E90" s="71" t="s">
        <v>274</v>
      </c>
      <c r="F90" s="67"/>
      <c r="G90" s="78"/>
      <c r="H90" s="78"/>
      <c r="I90" s="6"/>
      <c r="J90" s="6"/>
      <c r="K90" s="6"/>
      <c r="L90" s="6"/>
      <c r="M90" s="6"/>
    </row>
    <row r="91" spans="1:13">
      <c r="A91" s="67"/>
      <c r="B91" s="71" t="s">
        <v>269</v>
      </c>
      <c r="C91" s="71" t="s">
        <v>189</v>
      </c>
      <c r="D91" s="71" t="s">
        <v>275</v>
      </c>
      <c r="E91" s="71" t="s">
        <v>276</v>
      </c>
      <c r="F91" s="67"/>
      <c r="G91" s="78"/>
      <c r="H91" s="78"/>
      <c r="I91" s="6"/>
      <c r="J91" s="6"/>
      <c r="K91" s="6"/>
      <c r="L91" s="6"/>
      <c r="M91" s="6"/>
    </row>
    <row r="92" spans="1:13">
      <c r="A92" s="67"/>
      <c r="B92" s="71" t="s">
        <v>195</v>
      </c>
      <c r="C92" s="71" t="s">
        <v>189</v>
      </c>
      <c r="D92" s="71" t="s">
        <v>277</v>
      </c>
      <c r="E92" s="71" t="s">
        <v>278</v>
      </c>
      <c r="F92" s="67"/>
      <c r="G92" s="78"/>
      <c r="H92" s="78"/>
      <c r="I92" s="6"/>
      <c r="J92" s="6"/>
      <c r="K92" s="6"/>
      <c r="L92" s="6"/>
      <c r="M92" s="6"/>
    </row>
    <row r="93" spans="1:13">
      <c r="A93" s="67"/>
      <c r="B93" s="71" t="s">
        <v>22</v>
      </c>
      <c r="C93" s="71" t="s">
        <v>189</v>
      </c>
      <c r="D93" s="71" t="s">
        <v>279</v>
      </c>
      <c r="E93" s="71" t="s">
        <v>280</v>
      </c>
      <c r="F93" s="67"/>
      <c r="G93" s="78"/>
      <c r="H93" s="78"/>
      <c r="I93" s="6"/>
      <c r="J93" s="6"/>
      <c r="K93" s="6"/>
      <c r="L93" s="6"/>
      <c r="M93" s="6"/>
    </row>
    <row r="94" spans="1:13">
      <c r="A94" s="67"/>
      <c r="B94" s="71" t="s">
        <v>281</v>
      </c>
      <c r="C94" s="71" t="s">
        <v>282</v>
      </c>
      <c r="D94" s="71" t="s">
        <v>283</v>
      </c>
      <c r="E94" s="71" t="s">
        <v>284</v>
      </c>
      <c r="F94" s="67"/>
      <c r="G94" s="78"/>
      <c r="H94" s="78"/>
      <c r="I94" s="6"/>
      <c r="J94" s="6"/>
      <c r="K94" s="6"/>
      <c r="L94" s="6"/>
      <c r="M94" s="6"/>
    </row>
    <row r="95" spans="1:13">
      <c r="A95" s="67"/>
      <c r="B95" s="71" t="s">
        <v>169</v>
      </c>
      <c r="C95" s="71" t="s">
        <v>142</v>
      </c>
      <c r="D95" s="71" t="s">
        <v>285</v>
      </c>
      <c r="E95" s="71" t="s">
        <v>286</v>
      </c>
      <c r="F95" s="67"/>
      <c r="G95" s="78"/>
      <c r="H95" s="78"/>
      <c r="I95" s="6"/>
      <c r="J95" s="6"/>
      <c r="K95" s="6"/>
      <c r="L95" s="6"/>
      <c r="M95" s="6"/>
    </row>
    <row r="96" spans="1:13">
      <c r="A96" s="67"/>
      <c r="B96" s="71" t="s">
        <v>287</v>
      </c>
      <c r="C96" s="71" t="s">
        <v>288</v>
      </c>
      <c r="D96" s="71" t="s">
        <v>289</v>
      </c>
      <c r="E96" s="71" t="s">
        <v>290</v>
      </c>
      <c r="F96" s="67"/>
      <c r="G96" s="78"/>
      <c r="H96" s="78"/>
      <c r="I96" s="6"/>
      <c r="J96" s="6"/>
      <c r="K96" s="6"/>
      <c r="L96" s="6"/>
      <c r="M96" s="6"/>
    </row>
    <row r="97" spans="1:13">
      <c r="A97" s="67"/>
      <c r="B97" s="71" t="s">
        <v>21</v>
      </c>
      <c r="C97" s="71" t="s">
        <v>21</v>
      </c>
      <c r="D97" s="71" t="s">
        <v>291</v>
      </c>
      <c r="E97" s="71" t="s">
        <v>292</v>
      </c>
      <c r="F97" s="67"/>
      <c r="G97" s="78"/>
      <c r="H97" s="78"/>
      <c r="I97" s="6"/>
      <c r="J97" s="6"/>
      <c r="K97" s="6"/>
      <c r="L97" s="6"/>
      <c r="M97" s="6"/>
    </row>
    <row r="98" spans="1:13">
      <c r="A98" s="67"/>
      <c r="B98" s="71" t="s">
        <v>293</v>
      </c>
      <c r="C98" s="71" t="s">
        <v>294</v>
      </c>
      <c r="D98" s="71" t="s">
        <v>295</v>
      </c>
      <c r="E98" s="71" t="s">
        <v>295</v>
      </c>
      <c r="F98" s="67"/>
      <c r="G98" s="78"/>
      <c r="H98" s="78"/>
      <c r="I98" s="6"/>
      <c r="J98" s="6"/>
      <c r="K98" s="6"/>
      <c r="L98" s="6"/>
      <c r="M98" s="6"/>
    </row>
    <row r="99" spans="1:13">
      <c r="A99" s="67"/>
      <c r="B99" s="71" t="s">
        <v>136</v>
      </c>
      <c r="C99" s="71" t="s">
        <v>137</v>
      </c>
      <c r="D99" s="71" t="s">
        <v>296</v>
      </c>
      <c r="E99" s="71" t="s">
        <v>297</v>
      </c>
      <c r="F99" s="67"/>
      <c r="G99" s="78"/>
      <c r="H99" s="78"/>
      <c r="I99" s="6"/>
      <c r="J99" s="6"/>
      <c r="K99" s="6"/>
      <c r="L99" s="6"/>
      <c r="M99" s="6"/>
    </row>
    <row r="100" spans="1:13">
      <c r="A100" s="67"/>
      <c r="B100" s="71" t="s">
        <v>298</v>
      </c>
      <c r="C100" s="71" t="s">
        <v>299</v>
      </c>
      <c r="D100" s="71" t="s">
        <v>300</v>
      </c>
      <c r="E100" s="71" t="s">
        <v>300</v>
      </c>
      <c r="F100" s="67"/>
      <c r="G100" s="78"/>
      <c r="H100" s="78"/>
      <c r="I100" s="6"/>
      <c r="J100" s="6"/>
      <c r="K100" s="6"/>
      <c r="L100" s="6"/>
      <c r="M100" s="6"/>
    </row>
    <row r="101" spans="1:13">
      <c r="A101" s="67"/>
      <c r="B101" s="67"/>
      <c r="C101" s="67"/>
      <c r="D101" s="67"/>
      <c r="E101" s="67"/>
      <c r="F101" s="67"/>
      <c r="G101" s="6"/>
      <c r="H101" s="6"/>
      <c r="I101" s="6"/>
      <c r="J101" s="6"/>
      <c r="K101" s="6"/>
      <c r="L101" s="6"/>
      <c r="M101" s="6"/>
    </row>
    <row r="102" spans="1:13">
      <c r="G102" s="6"/>
      <c r="H102" s="6"/>
      <c r="I102" s="6"/>
      <c r="J102" s="6"/>
      <c r="K102" s="6"/>
      <c r="L102" s="6"/>
      <c r="M102" s="6"/>
    </row>
    <row r="103" spans="1:13">
      <c r="G103" s="6"/>
      <c r="H103" s="6"/>
      <c r="I103" s="6"/>
      <c r="J103" s="6"/>
      <c r="K103" s="6"/>
      <c r="L103" s="6"/>
      <c r="M103" s="6"/>
    </row>
    <row r="104" spans="1:13">
      <c r="F104" s="13"/>
      <c r="G104" s="78"/>
      <c r="H104" s="78"/>
      <c r="I104" s="6"/>
      <c r="J104" s="6"/>
      <c r="K104" s="6"/>
      <c r="L104" s="6"/>
      <c r="M104" s="6"/>
    </row>
    <row r="105" spans="1:13">
      <c r="F105" s="13"/>
      <c r="G105" s="78"/>
      <c r="H105" s="78"/>
      <c r="I105" s="6"/>
      <c r="J105" s="6"/>
      <c r="K105" s="6"/>
      <c r="L105" s="6"/>
      <c r="M105" s="6"/>
    </row>
    <row r="106" spans="1:13">
      <c r="G106" s="6"/>
      <c r="H106" s="6"/>
      <c r="I106" s="6"/>
      <c r="J106" s="6"/>
      <c r="K106" s="6"/>
      <c r="L106" s="6"/>
      <c r="M106" s="6"/>
    </row>
    <row r="107" spans="1:13">
      <c r="G107" s="78"/>
      <c r="H107" s="6"/>
      <c r="I107" s="6"/>
      <c r="J107" s="6"/>
      <c r="K107" s="6"/>
      <c r="L107" s="6"/>
      <c r="M107" s="6"/>
    </row>
    <row r="108" spans="1:13">
      <c r="G108" s="6"/>
      <c r="H108" s="6"/>
      <c r="I108" s="6"/>
      <c r="J108" s="6"/>
      <c r="K108" s="6"/>
      <c r="L108" s="6"/>
      <c r="M108" s="6"/>
    </row>
    <row r="109" spans="1:13">
      <c r="G109" s="6"/>
      <c r="H109" s="6"/>
      <c r="I109" s="6"/>
      <c r="J109" s="6"/>
      <c r="K109" s="6"/>
      <c r="L109" s="6"/>
      <c r="M109" s="6"/>
    </row>
    <row r="110" spans="1:13">
      <c r="G110" s="6"/>
      <c r="H110" s="6"/>
      <c r="I110" s="6"/>
      <c r="J110" s="6"/>
      <c r="K110" s="6"/>
      <c r="L110" s="6"/>
      <c r="M110" s="6"/>
    </row>
    <row r="111" spans="1:13">
      <c r="G111" s="6"/>
      <c r="H111" s="6"/>
      <c r="I111" s="6"/>
      <c r="J111" s="6"/>
      <c r="K111" s="6"/>
      <c r="L111" s="6"/>
      <c r="M111" s="6"/>
    </row>
    <row r="112" spans="1:13">
      <c r="G112" s="6"/>
      <c r="H112" s="6"/>
      <c r="I112" s="6"/>
      <c r="J112" s="6"/>
      <c r="K112" s="6"/>
      <c r="L112" s="6"/>
      <c r="M112" s="6"/>
    </row>
    <row r="113" spans="7:13">
      <c r="G113" s="6"/>
      <c r="H113" s="6"/>
      <c r="I113" s="6"/>
      <c r="J113" s="6"/>
      <c r="K113" s="6"/>
      <c r="L113" s="6"/>
      <c r="M113" s="6"/>
    </row>
  </sheetData>
  <mergeCells count="3">
    <mergeCell ref="B4:E4"/>
    <mergeCell ref="B6:C6"/>
    <mergeCell ref="D6:E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689F5-C356-AB4E-94CA-B9F08E7E4F04}">
  <sheetPr>
    <tabColor theme="8"/>
  </sheetPr>
  <dimension ref="A3:P68"/>
  <sheetViews>
    <sheetView showGridLines="0" workbookViewId="0">
      <selection activeCell="F6" sqref="F6:G10"/>
    </sheetView>
  </sheetViews>
  <sheetFormatPr baseColWidth="10" defaultRowHeight="16"/>
  <cols>
    <col min="2" max="2" width="14.1640625" customWidth="1"/>
    <col min="3" max="3" width="14" customWidth="1"/>
    <col min="5" max="5" width="15" customWidth="1"/>
    <col min="6" max="6" width="15.6640625" customWidth="1"/>
    <col min="7" max="7" width="18.33203125" customWidth="1"/>
    <col min="8" max="8" width="13.6640625" customWidth="1"/>
    <col min="9" max="9" width="14" customWidth="1"/>
    <col min="10" max="10" width="13.6640625" customWidth="1"/>
    <col min="11" max="11" width="14.5" bestFit="1" customWidth="1"/>
    <col min="12" max="12" width="14.1640625" customWidth="1"/>
    <col min="13" max="14" width="13.83203125" customWidth="1"/>
    <col min="15" max="15" width="13.6640625" customWidth="1"/>
    <col min="16" max="16" width="13.83203125" customWidth="1"/>
  </cols>
  <sheetData>
    <row r="3" spans="2:13">
      <c r="B3" s="2" t="s">
        <v>60</v>
      </c>
    </row>
    <row r="5" spans="2:13">
      <c r="B5" s="275" t="s">
        <v>396</v>
      </c>
      <c r="C5" s="73"/>
      <c r="D5" s="73"/>
      <c r="E5" s="73"/>
      <c r="M5" s="63"/>
    </row>
    <row r="6" spans="2:13">
      <c r="B6" s="73" t="s">
        <v>360</v>
      </c>
      <c r="C6" s="73"/>
      <c r="D6" s="73"/>
      <c r="E6" s="22">
        <v>77000</v>
      </c>
      <c r="F6" s="14" t="s">
        <v>314</v>
      </c>
      <c r="G6" t="s">
        <v>451</v>
      </c>
    </row>
    <row r="7" spans="2:13">
      <c r="B7" s="73" t="s">
        <v>58</v>
      </c>
      <c r="C7" s="73"/>
      <c r="D7" s="73"/>
      <c r="E7" s="22">
        <v>3900000</v>
      </c>
      <c r="F7" s="14" t="s">
        <v>314</v>
      </c>
      <c r="G7" t="s">
        <v>451</v>
      </c>
    </row>
    <row r="8" spans="2:13">
      <c r="B8" s="73" t="s">
        <v>361</v>
      </c>
      <c r="C8" s="73"/>
      <c r="D8" s="73"/>
      <c r="E8" s="276">
        <v>0.14000000000000001</v>
      </c>
    </row>
    <row r="9" spans="2:13">
      <c r="B9" s="73" t="s">
        <v>62</v>
      </c>
      <c r="C9" s="73"/>
      <c r="D9" s="73"/>
      <c r="E9" s="20">
        <v>40</v>
      </c>
      <c r="F9" s="14" t="s">
        <v>314</v>
      </c>
      <c r="G9" t="s">
        <v>452</v>
      </c>
    </row>
    <row r="10" spans="2:13">
      <c r="B10" s="73" t="s">
        <v>384</v>
      </c>
      <c r="C10" s="73"/>
      <c r="D10" s="73"/>
      <c r="E10" s="22">
        <v>25000</v>
      </c>
      <c r="F10" s="14" t="s">
        <v>314</v>
      </c>
      <c r="G10" t="s">
        <v>453</v>
      </c>
    </row>
    <row r="11" spans="2:13">
      <c r="B11" s="73"/>
      <c r="C11" s="73"/>
      <c r="D11" s="73"/>
      <c r="E11" s="73"/>
    </row>
    <row r="12" spans="2:13">
      <c r="B12" s="73" t="s">
        <v>2</v>
      </c>
      <c r="C12" s="73"/>
      <c r="D12" s="73"/>
      <c r="E12" s="277">
        <v>1.4999999999999999E-2</v>
      </c>
      <c r="F12" s="14"/>
    </row>
    <row r="13" spans="2:13">
      <c r="B13" s="73" t="s">
        <v>397</v>
      </c>
      <c r="C13" s="73"/>
      <c r="D13" s="73"/>
      <c r="E13" s="276">
        <v>0</v>
      </c>
    </row>
    <row r="15" spans="2:13">
      <c r="E15" s="4"/>
      <c r="J15" s="7"/>
    </row>
    <row r="17" spans="2:16">
      <c r="P17" s="186"/>
    </row>
    <row r="18" spans="2:16">
      <c r="B18" t="s">
        <v>335</v>
      </c>
      <c r="E18" s="94"/>
      <c r="P18" s="186"/>
    </row>
    <row r="19" spans="2:16">
      <c r="B19" s="55"/>
      <c r="C19" s="55"/>
      <c r="D19" s="55"/>
      <c r="E19" s="55"/>
      <c r="F19" s="66">
        <v>2020</v>
      </c>
      <c r="G19" s="66">
        <v>2021</v>
      </c>
      <c r="H19" s="66">
        <v>2022</v>
      </c>
      <c r="I19" s="66">
        <v>2023</v>
      </c>
      <c r="J19" s="66">
        <v>2024</v>
      </c>
      <c r="K19" s="66">
        <v>2025</v>
      </c>
      <c r="L19" s="66">
        <v>2026</v>
      </c>
      <c r="M19" s="66">
        <v>2027</v>
      </c>
      <c r="N19" s="66">
        <v>2028</v>
      </c>
      <c r="O19" s="66">
        <v>2029</v>
      </c>
      <c r="P19" s="266"/>
    </row>
    <row r="20" spans="2:16">
      <c r="B20" s="55"/>
      <c r="C20" s="55"/>
      <c r="D20" s="55"/>
      <c r="E20" s="66">
        <v>0</v>
      </c>
      <c r="F20" s="89">
        <v>1</v>
      </c>
      <c r="G20" s="89">
        <v>2</v>
      </c>
      <c r="H20" s="89">
        <v>3</v>
      </c>
      <c r="I20" s="89">
        <v>4</v>
      </c>
      <c r="J20" s="89">
        <v>5</v>
      </c>
      <c r="K20" s="89">
        <v>6</v>
      </c>
      <c r="L20" s="89">
        <v>7</v>
      </c>
      <c r="M20" s="89">
        <v>8</v>
      </c>
      <c r="N20" s="89">
        <v>9</v>
      </c>
      <c r="O20" s="89">
        <v>10</v>
      </c>
      <c r="P20" s="175"/>
    </row>
    <row r="21" spans="2:16">
      <c r="B21" s="11" t="s">
        <v>310</v>
      </c>
      <c r="C21" s="11"/>
      <c r="D21" s="11"/>
      <c r="E21" s="93"/>
      <c r="F21" s="93">
        <f>'Kostnader Base-Scenario'!C63</f>
        <v>4225554.7711456809</v>
      </c>
      <c r="G21" s="93">
        <f>'Kostnader Base-Scenario'!C64</f>
        <v>3898561.9559603203</v>
      </c>
      <c r="H21" s="93">
        <f>'Kostnader Base-Scenario'!C65</f>
        <v>4182437.7639572285</v>
      </c>
      <c r="I21" s="93">
        <f>'Kostnader Base-Scenario'!C66</f>
        <v>4445124.2453435166</v>
      </c>
      <c r="J21" s="93">
        <f>'Kostnader Base-Scenario'!C67</f>
        <v>4731766.2561059669</v>
      </c>
      <c r="K21" s="93">
        <f>'Kostnader Base-Scenario'!C68</f>
        <v>5037493.0928970855</v>
      </c>
      <c r="L21" s="93">
        <f>'Kostnader Base-Scenario'!C69</f>
        <v>5359497.9595873524</v>
      </c>
      <c r="M21" s="93">
        <f>'Kostnader Base-Scenario'!C70</f>
        <v>5684092.9118833169</v>
      </c>
      <c r="N21" s="93">
        <f>'Kostnader Base-Scenario'!C71</f>
        <v>6043693.8641700577</v>
      </c>
      <c r="O21" s="93">
        <f>'Kostnader Base-Scenario'!C72</f>
        <v>6423266.7735501584</v>
      </c>
      <c r="P21" s="314"/>
    </row>
    <row r="22" spans="2:16">
      <c r="B22" s="11"/>
      <c r="C22" s="11"/>
      <c r="D22" s="11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314"/>
    </row>
    <row r="23" spans="2:16">
      <c r="B23" s="11" t="s">
        <v>63</v>
      </c>
      <c r="C23" s="11"/>
      <c r="D23" s="11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314"/>
    </row>
    <row r="24" spans="2:16">
      <c r="B24" s="224" t="s">
        <v>61</v>
      </c>
      <c r="C24" s="11"/>
      <c r="D24" s="11"/>
      <c r="E24" s="93"/>
      <c r="F24" s="93">
        <f>E10*E9*-1</f>
        <v>-1000000</v>
      </c>
      <c r="G24" s="93"/>
      <c r="H24" s="93"/>
      <c r="I24" s="93"/>
      <c r="J24" s="93"/>
      <c r="K24" s="93"/>
      <c r="L24" s="93"/>
      <c r="M24" s="93"/>
      <c r="N24" s="93"/>
      <c r="O24" s="93"/>
      <c r="P24" s="314"/>
    </row>
    <row r="25" spans="2:16">
      <c r="B25" s="224" t="s">
        <v>64</v>
      </c>
      <c r="C25" s="11"/>
      <c r="D25" s="11"/>
      <c r="E25" s="93"/>
      <c r="F25" s="93">
        <f>$E$6*-1*(1+$E$12)^F20</f>
        <v>-78154.999999999985</v>
      </c>
      <c r="G25" s="93">
        <f>$E$6*-1*(1+$E$12)^G20</f>
        <v>-79327.324999999983</v>
      </c>
      <c r="H25" s="93">
        <f t="shared" ref="H25:O25" si="0">$E$6*-1*(1+$E$12)^H20</f>
        <v>-80517.234874999966</v>
      </c>
      <c r="I25" s="93">
        <f t="shared" si="0"/>
        <v>-81724.993398124963</v>
      </c>
      <c r="J25" s="93">
        <f t="shared" si="0"/>
        <v>-82950.868299096823</v>
      </c>
      <c r="K25" s="93">
        <f t="shared" si="0"/>
        <v>-84195.131323583249</v>
      </c>
      <c r="L25" s="93">
        <f t="shared" si="0"/>
        <v>-85458.058293436989</v>
      </c>
      <c r="M25" s="93">
        <f t="shared" si="0"/>
        <v>-86739.929167838534</v>
      </c>
      <c r="N25" s="93">
        <f t="shared" si="0"/>
        <v>-88041.028105356105</v>
      </c>
      <c r="O25" s="93">
        <f t="shared" si="0"/>
        <v>-89361.643526936445</v>
      </c>
      <c r="P25" s="314"/>
    </row>
    <row r="26" spans="2:16">
      <c r="B26" s="224" t="s">
        <v>66</v>
      </c>
      <c r="C26" s="11"/>
      <c r="D26" s="11"/>
      <c r="E26" s="93"/>
      <c r="F26" s="93">
        <f>$E$33*E8</f>
        <v>-546000</v>
      </c>
      <c r="G26" s="223">
        <f>($E$33-SUM($F$26))*$E$8</f>
        <v>-469560.00000000006</v>
      </c>
      <c r="H26" s="223">
        <f>($E$33-SUM($F$26:G26))*$E$8</f>
        <v>-403821.60000000003</v>
      </c>
      <c r="I26" s="223">
        <f>($E$33-SUM($F$26:H26))*$E$8</f>
        <v>-347286.576</v>
      </c>
      <c r="J26" s="223">
        <f>($E$33-SUM($F$26:I26))*$E$8</f>
        <v>-298666.45536000002</v>
      </c>
      <c r="K26" s="223">
        <f>($E$33-SUM($F$26:J26))*$E$8</f>
        <v>-256853.15160960003</v>
      </c>
      <c r="L26" s="223">
        <f>($E$33-SUM($F$26:K26))*$E$8</f>
        <v>-220893.710384256</v>
      </c>
      <c r="M26" s="223">
        <f>($E$33-SUM($F$26:L26))*$E$8</f>
        <v>-189968.59093046014</v>
      </c>
      <c r="N26" s="223">
        <f>($E$33-SUM($F$26:M26))*$E$8</f>
        <v>-163372.98820019574</v>
      </c>
      <c r="O26" s="223">
        <f>($E$33-SUM($F$26:N26))*$E$8</f>
        <v>-140500.76985216836</v>
      </c>
      <c r="P26" s="315"/>
    </row>
    <row r="27" spans="2:16">
      <c r="B27" s="224"/>
      <c r="C27" s="11"/>
      <c r="D27" s="11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314"/>
    </row>
    <row r="28" spans="2:16">
      <c r="B28" s="11" t="s">
        <v>65</v>
      </c>
      <c r="C28" s="11"/>
      <c r="D28" s="11"/>
      <c r="E28" s="93"/>
      <c r="F28" s="93">
        <f>SUM(F21:F26)</f>
        <v>2601399.7711456809</v>
      </c>
      <c r="G28" s="93">
        <f t="shared" ref="G28:O28" si="1">SUM(G21:G26)</f>
        <v>3349674.6309603201</v>
      </c>
      <c r="H28" s="93">
        <f t="shared" si="1"/>
        <v>3698098.9290822283</v>
      </c>
      <c r="I28" s="93">
        <f t="shared" si="1"/>
        <v>4016112.6759453914</v>
      </c>
      <c r="J28" s="93">
        <f t="shared" si="1"/>
        <v>4350148.93244687</v>
      </c>
      <c r="K28" s="93">
        <f t="shared" si="1"/>
        <v>4696444.8099639025</v>
      </c>
      <c r="L28" s="93">
        <f t="shared" si="1"/>
        <v>5053146.1909096595</v>
      </c>
      <c r="M28" s="93">
        <f t="shared" si="1"/>
        <v>5407384.3917850181</v>
      </c>
      <c r="N28" s="93">
        <f t="shared" si="1"/>
        <v>5792279.8478645058</v>
      </c>
      <c r="O28" s="93">
        <f t="shared" si="1"/>
        <v>6193404.3601710536</v>
      </c>
      <c r="P28" s="314"/>
    </row>
    <row r="29" spans="2:16">
      <c r="B29" s="224" t="s">
        <v>313</v>
      </c>
      <c r="C29" s="11"/>
      <c r="D29" s="11"/>
      <c r="E29" s="93"/>
      <c r="F29" s="93">
        <f>F28*$E$13*-1</f>
        <v>0</v>
      </c>
      <c r="G29" s="93">
        <f t="shared" ref="G29:O29" si="2">G28*$E$13*-1</f>
        <v>0</v>
      </c>
      <c r="H29" s="93">
        <f t="shared" si="2"/>
        <v>0</v>
      </c>
      <c r="I29" s="93">
        <f t="shared" si="2"/>
        <v>0</v>
      </c>
      <c r="J29" s="93">
        <f t="shared" si="2"/>
        <v>0</v>
      </c>
      <c r="K29" s="93">
        <f t="shared" si="2"/>
        <v>0</v>
      </c>
      <c r="L29" s="93">
        <f t="shared" si="2"/>
        <v>0</v>
      </c>
      <c r="M29" s="93">
        <f t="shared" si="2"/>
        <v>0</v>
      </c>
      <c r="N29" s="93">
        <f t="shared" si="2"/>
        <v>0</v>
      </c>
      <c r="O29" s="93">
        <f t="shared" si="2"/>
        <v>0</v>
      </c>
      <c r="P29" s="314"/>
    </row>
    <row r="30" spans="2:16" ht="17" thickBot="1">
      <c r="B30" s="225" t="s">
        <v>4</v>
      </c>
      <c r="C30" s="225"/>
      <c r="D30" s="225"/>
      <c r="E30" s="226"/>
      <c r="F30" s="226">
        <f>SUM(F28:F29)</f>
        <v>2601399.7711456809</v>
      </c>
      <c r="G30" s="226">
        <f t="shared" ref="G30:O30" si="3">SUM(G28:G29)</f>
        <v>3349674.6309603201</v>
      </c>
      <c r="H30" s="226">
        <f t="shared" si="3"/>
        <v>3698098.9290822283</v>
      </c>
      <c r="I30" s="226">
        <f t="shared" si="3"/>
        <v>4016112.6759453914</v>
      </c>
      <c r="J30" s="226">
        <f t="shared" si="3"/>
        <v>4350148.93244687</v>
      </c>
      <c r="K30" s="226">
        <f t="shared" si="3"/>
        <v>4696444.8099639025</v>
      </c>
      <c r="L30" s="226">
        <f t="shared" si="3"/>
        <v>5053146.1909096595</v>
      </c>
      <c r="M30" s="226">
        <f t="shared" si="3"/>
        <v>5407384.3917850181</v>
      </c>
      <c r="N30" s="226">
        <f t="shared" si="3"/>
        <v>5792279.8478645058</v>
      </c>
      <c r="O30" s="226">
        <f t="shared" si="3"/>
        <v>6193404.3601710536</v>
      </c>
      <c r="P30" s="314"/>
    </row>
    <row r="31" spans="2:16">
      <c r="B31" s="11"/>
      <c r="C31" s="11"/>
      <c r="D31" s="11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314"/>
    </row>
    <row r="32" spans="2:16">
      <c r="B32" s="11" t="s">
        <v>66</v>
      </c>
      <c r="C32" s="11"/>
      <c r="D32" s="11"/>
      <c r="E32" s="93"/>
      <c r="F32" s="93">
        <f>F26*-1</f>
        <v>546000</v>
      </c>
      <c r="G32" s="93">
        <f t="shared" ref="G32:O32" si="4">G26*-1</f>
        <v>469560.00000000006</v>
      </c>
      <c r="H32" s="93">
        <f t="shared" si="4"/>
        <v>403821.60000000003</v>
      </c>
      <c r="I32" s="93">
        <f t="shared" si="4"/>
        <v>347286.576</v>
      </c>
      <c r="J32" s="93">
        <f t="shared" si="4"/>
        <v>298666.45536000002</v>
      </c>
      <c r="K32" s="93">
        <f t="shared" si="4"/>
        <v>256853.15160960003</v>
      </c>
      <c r="L32" s="93">
        <f t="shared" si="4"/>
        <v>220893.710384256</v>
      </c>
      <c r="M32" s="93">
        <f t="shared" si="4"/>
        <v>189968.59093046014</v>
      </c>
      <c r="N32" s="93">
        <f t="shared" si="4"/>
        <v>163372.98820019574</v>
      </c>
      <c r="O32" s="93">
        <f t="shared" si="4"/>
        <v>140500.76985216836</v>
      </c>
      <c r="P32" s="314"/>
    </row>
    <row r="33" spans="2:16">
      <c r="B33" s="11" t="s">
        <v>5</v>
      </c>
      <c r="C33" s="11"/>
      <c r="D33" s="11"/>
      <c r="E33" s="93">
        <v>-3900000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314"/>
    </row>
    <row r="34" spans="2:16">
      <c r="B34" s="11"/>
      <c r="C34" s="11"/>
      <c r="D34" s="11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314"/>
    </row>
    <row r="35" spans="2:16" ht="17" thickBot="1">
      <c r="B35" s="227" t="s">
        <v>6</v>
      </c>
      <c r="C35" s="227"/>
      <c r="D35" s="227"/>
      <c r="E35" s="228">
        <f>SUM(E30:E33)</f>
        <v>-3900000</v>
      </c>
      <c r="F35" s="228">
        <f t="shared" ref="F35:O35" si="5">SUM(F30:F33)</f>
        <v>3147399.7711456809</v>
      </c>
      <c r="G35" s="228">
        <f t="shared" si="5"/>
        <v>3819234.6309603201</v>
      </c>
      <c r="H35" s="228">
        <f t="shared" si="5"/>
        <v>4101920.5290822284</v>
      </c>
      <c r="I35" s="228">
        <f t="shared" si="5"/>
        <v>4363399.2519453913</v>
      </c>
      <c r="J35" s="228">
        <f t="shared" si="5"/>
        <v>4648815.38780687</v>
      </c>
      <c r="K35" s="228">
        <f t="shared" si="5"/>
        <v>4953297.961573502</v>
      </c>
      <c r="L35" s="228">
        <f t="shared" si="5"/>
        <v>5274039.9012939157</v>
      </c>
      <c r="M35" s="228">
        <f t="shared" si="5"/>
        <v>5597352.9827154782</v>
      </c>
      <c r="N35" s="228">
        <f t="shared" si="5"/>
        <v>5955652.8360647019</v>
      </c>
      <c r="O35" s="228">
        <f t="shared" si="5"/>
        <v>6333905.1300232215</v>
      </c>
      <c r="P35" s="249"/>
    </row>
    <row r="36" spans="2:16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312"/>
    </row>
    <row r="37" spans="2:16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>
      <c r="B38" s="10" t="s">
        <v>3</v>
      </c>
      <c r="C38" s="157">
        <v>8.3400000000000002E-2</v>
      </c>
      <c r="D38" s="11"/>
      <c r="I38" s="11"/>
      <c r="J38" s="11"/>
      <c r="K38" s="11"/>
      <c r="L38" s="11"/>
      <c r="M38" s="11"/>
      <c r="N38" s="11"/>
      <c r="O38" s="11"/>
      <c r="P38" s="11"/>
    </row>
    <row r="39" spans="2:16">
      <c r="B39" s="10"/>
      <c r="C39" s="11"/>
      <c r="D39" s="11"/>
      <c r="I39" s="11"/>
      <c r="J39" s="11"/>
      <c r="K39" s="11"/>
      <c r="L39" s="11"/>
      <c r="M39" s="11"/>
      <c r="N39" s="11"/>
      <c r="O39" s="11"/>
      <c r="P39" s="11"/>
    </row>
    <row r="40" spans="2:16">
      <c r="B40" s="10" t="s">
        <v>315</v>
      </c>
      <c r="C40" s="93">
        <f>NPV(C38,F35:G35)+E35</f>
        <v>2258971.9268461242</v>
      </c>
      <c r="D40" s="11"/>
      <c r="H40" s="93"/>
      <c r="I40" s="11"/>
      <c r="J40" s="11"/>
      <c r="K40" s="11"/>
      <c r="L40" s="11"/>
      <c r="M40" s="11"/>
      <c r="N40" s="11"/>
      <c r="O40" s="11"/>
      <c r="P40" s="11"/>
    </row>
    <row r="41" spans="2:16">
      <c r="B41" s="10" t="s">
        <v>311</v>
      </c>
      <c r="C41" s="93">
        <f>NPV(C38,F35:J35)+E35</f>
        <v>11766375.566362966</v>
      </c>
      <c r="D41" s="11"/>
      <c r="E41" s="279" t="s">
        <v>440</v>
      </c>
      <c r="F41" s="280"/>
      <c r="G41" s="283"/>
      <c r="H41" s="280" t="s">
        <v>441</v>
      </c>
      <c r="I41" s="11"/>
      <c r="J41" s="11"/>
      <c r="K41" s="11"/>
      <c r="L41" s="11"/>
      <c r="M41" s="11"/>
      <c r="N41" s="11"/>
      <c r="O41" s="11"/>
      <c r="P41" s="11"/>
    </row>
    <row r="42" spans="2:16">
      <c r="B42" s="10" t="s">
        <v>312</v>
      </c>
      <c r="C42" s="93">
        <f>NPV(C38,F35:O35)+E35</f>
        <v>26528091.725018904</v>
      </c>
      <c r="D42" s="11"/>
      <c r="E42" s="281" t="s">
        <v>442</v>
      </c>
      <c r="F42" s="281"/>
      <c r="G42" s="281"/>
      <c r="H42" s="282">
        <f>NPV(C38,F35,(G35/365*112))+E35</f>
        <v>3557.605005316902</v>
      </c>
      <c r="I42" s="11"/>
      <c r="J42" s="11"/>
      <c r="K42" s="11"/>
      <c r="L42" s="11"/>
      <c r="M42" s="11"/>
      <c r="N42" s="11"/>
      <c r="O42" s="11"/>
      <c r="P42" s="11"/>
    </row>
    <row r="43" spans="2:16">
      <c r="B43" s="11"/>
      <c r="C43" s="11"/>
      <c r="D43" s="11"/>
      <c r="H43" s="11"/>
      <c r="I43" s="93"/>
      <c r="J43" s="11"/>
      <c r="K43" s="11"/>
      <c r="L43" s="11"/>
      <c r="M43" s="11"/>
      <c r="N43" s="11"/>
      <c r="O43" s="11"/>
      <c r="P43" s="11"/>
    </row>
    <row r="44" spans="2:16">
      <c r="B44" s="80"/>
      <c r="C44" s="80"/>
      <c r="D44" s="80"/>
      <c r="H44" s="80"/>
      <c r="I44" s="11"/>
      <c r="J44" s="11"/>
      <c r="K44" s="11"/>
      <c r="L44" s="11"/>
      <c r="M44" s="11"/>
      <c r="N44" s="11"/>
      <c r="O44" s="11"/>
      <c r="P44" s="11"/>
    </row>
    <row r="45" spans="2:16">
      <c r="H45" s="80"/>
      <c r="I45" s="237"/>
      <c r="J45" s="11"/>
      <c r="K45" s="11"/>
      <c r="L45" s="11"/>
      <c r="M45" s="11"/>
      <c r="N45" s="11"/>
      <c r="O45" s="11"/>
      <c r="P45" s="11"/>
    </row>
    <row r="46" spans="2:16">
      <c r="H46" s="6"/>
    </row>
    <row r="47" spans="2:16">
      <c r="B47" s="382"/>
      <c r="C47" s="383"/>
      <c r="D47" s="383"/>
      <c r="E47" s="382"/>
      <c r="H47" s="6"/>
    </row>
    <row r="48" spans="2:16">
      <c r="B48" s="383"/>
      <c r="C48" s="383"/>
      <c r="D48" s="383"/>
      <c r="E48" s="382"/>
      <c r="H48" s="6"/>
    </row>
    <row r="49" spans="1:9">
      <c r="A49" s="174"/>
      <c r="B49" s="384"/>
      <c r="C49" s="385"/>
      <c r="D49" s="385"/>
      <c r="E49" s="386"/>
      <c r="F49" s="174"/>
      <c r="G49" s="174"/>
      <c r="H49" s="6"/>
      <c r="I49" s="6"/>
    </row>
    <row r="50" spans="1:9">
      <c r="A50" s="174"/>
      <c r="B50" s="174"/>
      <c r="C50" s="174"/>
      <c r="D50" s="174"/>
      <c r="E50" s="174"/>
      <c r="F50" s="174"/>
      <c r="G50" s="174"/>
      <c r="H50" s="6"/>
      <c r="I50" s="6"/>
    </row>
    <row r="51" spans="1:9">
      <c r="H51" s="6"/>
      <c r="I51" s="6"/>
    </row>
    <row r="52" spans="1:9">
      <c r="H52" s="6"/>
      <c r="I52" s="6"/>
    </row>
    <row r="53" spans="1:9">
      <c r="H53" s="6"/>
      <c r="I53" s="6"/>
    </row>
    <row r="54" spans="1:9">
      <c r="B54" s="6"/>
      <c r="C54" s="393"/>
      <c r="D54" s="393"/>
      <c r="E54" s="6"/>
      <c r="F54" s="6"/>
      <c r="G54" s="6"/>
      <c r="H54" s="6"/>
    </row>
    <row r="55" spans="1:9">
      <c r="B55" s="6"/>
      <c r="C55" s="222"/>
      <c r="D55" s="51"/>
      <c r="E55" s="6"/>
      <c r="F55" s="6"/>
      <c r="G55" s="6"/>
      <c r="H55" s="6"/>
    </row>
    <row r="56" spans="1:9">
      <c r="B56" s="6"/>
      <c r="C56" s="135"/>
      <c r="D56" s="48"/>
      <c r="E56" s="6"/>
      <c r="F56" s="6"/>
      <c r="G56" s="6"/>
      <c r="H56" s="6"/>
    </row>
    <row r="57" spans="1:9">
      <c r="B57" s="6"/>
      <c r="C57" s="135"/>
      <c r="D57" s="48"/>
      <c r="E57" s="6"/>
      <c r="F57" s="6"/>
      <c r="G57" s="6"/>
      <c r="H57" s="6"/>
    </row>
    <row r="58" spans="1:9">
      <c r="B58" s="6"/>
      <c r="C58" s="6"/>
      <c r="D58" s="6"/>
      <c r="E58" s="6"/>
      <c r="F58" s="6"/>
      <c r="G58" s="6"/>
      <c r="H58" s="6"/>
    </row>
    <row r="59" spans="1:9">
      <c r="B59" s="6"/>
      <c r="C59" s="393"/>
      <c r="D59" s="393"/>
      <c r="E59" s="6"/>
      <c r="F59" s="6"/>
      <c r="G59" s="6"/>
      <c r="H59" s="6"/>
    </row>
    <row r="60" spans="1:9">
      <c r="B60" s="6"/>
      <c r="C60" s="222"/>
      <c r="D60" s="51"/>
      <c r="E60" s="6"/>
      <c r="F60" s="6"/>
      <c r="G60" s="6"/>
      <c r="H60" s="6"/>
    </row>
    <row r="61" spans="1:9">
      <c r="B61" s="6"/>
      <c r="C61" s="135"/>
      <c r="D61" s="6"/>
      <c r="E61" s="6"/>
      <c r="F61" s="6"/>
      <c r="G61" s="6"/>
      <c r="H61" s="6"/>
    </row>
    <row r="62" spans="1:9">
      <c r="B62" s="6"/>
      <c r="C62" s="135"/>
      <c r="D62" s="6"/>
      <c r="E62" s="6"/>
      <c r="F62" s="6"/>
      <c r="G62" s="6"/>
      <c r="H62" s="6"/>
    </row>
    <row r="63" spans="1:9">
      <c r="B63" s="6"/>
      <c r="C63" s="6"/>
      <c r="D63" s="6"/>
      <c r="E63" s="6"/>
      <c r="F63" s="6"/>
      <c r="G63" s="6"/>
      <c r="H63" s="6"/>
    </row>
    <row r="64" spans="1:9">
      <c r="B64" s="6"/>
      <c r="C64" s="6"/>
      <c r="D64" s="6"/>
      <c r="E64" s="6"/>
      <c r="F64" s="6"/>
      <c r="G64" s="6"/>
      <c r="H64" s="6"/>
    </row>
    <row r="65" spans="2:8">
      <c r="B65" s="6"/>
      <c r="C65" s="6"/>
      <c r="D65" s="6"/>
      <c r="E65" s="6"/>
      <c r="F65" s="6"/>
      <c r="G65" s="6"/>
      <c r="H65" s="6"/>
    </row>
    <row r="66" spans="2:8">
      <c r="B66" s="6"/>
      <c r="C66" s="6"/>
      <c r="D66" s="6"/>
      <c r="E66" s="6"/>
      <c r="F66" s="6"/>
      <c r="G66" s="6"/>
      <c r="H66" s="6"/>
    </row>
    <row r="67" spans="2:8">
      <c r="B67" s="6"/>
      <c r="C67" s="6"/>
      <c r="D67" s="6"/>
      <c r="E67" s="6"/>
      <c r="F67" s="6"/>
      <c r="G67" s="6"/>
      <c r="H67" s="6"/>
    </row>
    <row r="68" spans="2:8">
      <c r="B68" s="6"/>
      <c r="C68" s="6"/>
      <c r="D68" s="6"/>
      <c r="E68" s="6"/>
      <c r="F68" s="6"/>
      <c r="G68" s="6"/>
      <c r="H68" s="6"/>
    </row>
  </sheetData>
  <mergeCells count="2">
    <mergeCell ref="C54:D54"/>
    <mergeCell ref="C59:D5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DDCCE-78EE-1240-8E32-2CD26DC16D25}">
  <sheetPr>
    <tabColor theme="5"/>
  </sheetPr>
  <dimension ref="A2:Q63"/>
  <sheetViews>
    <sheetView showGridLines="0" workbookViewId="0">
      <selection activeCell="F6" sqref="F6:G10"/>
    </sheetView>
  </sheetViews>
  <sheetFormatPr baseColWidth="10" defaultRowHeight="16"/>
  <cols>
    <col min="2" max="2" width="14.1640625" customWidth="1"/>
    <col min="3" max="3" width="13.33203125" customWidth="1"/>
    <col min="5" max="5" width="15.5" bestFit="1" customWidth="1"/>
    <col min="6" max="6" width="16.6640625" bestFit="1" customWidth="1"/>
    <col min="7" max="7" width="16.1640625" customWidth="1"/>
    <col min="8" max="8" width="14.5" bestFit="1" customWidth="1"/>
    <col min="9" max="9" width="15" bestFit="1" customWidth="1"/>
    <col min="10" max="10" width="14.5" bestFit="1" customWidth="1"/>
    <col min="11" max="11" width="15.5" bestFit="1" customWidth="1"/>
    <col min="12" max="12" width="15" bestFit="1" customWidth="1"/>
    <col min="13" max="14" width="14.83203125" bestFit="1" customWidth="1"/>
    <col min="15" max="15" width="14.5" bestFit="1" customWidth="1"/>
    <col min="16" max="16" width="14.83203125" bestFit="1" customWidth="1"/>
  </cols>
  <sheetData>
    <row r="2" spans="1:17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</row>
    <row r="3" spans="1:17">
      <c r="A3" s="123"/>
      <c r="B3" s="2" t="s">
        <v>60</v>
      </c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1:17">
      <c r="A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7">
      <c r="A5" s="123"/>
      <c r="B5" s="275" t="s">
        <v>396</v>
      </c>
      <c r="C5" s="73"/>
      <c r="D5" s="73"/>
      <c r="E5" s="73"/>
      <c r="H5" s="123"/>
      <c r="I5" s="123"/>
      <c r="J5" s="123"/>
      <c r="K5" s="123"/>
      <c r="L5" s="123"/>
      <c r="M5" s="123"/>
      <c r="N5" s="123"/>
      <c r="O5" s="123"/>
      <c r="P5" s="123"/>
      <c r="Q5" s="123"/>
    </row>
    <row r="6" spans="1:17">
      <c r="A6" s="123"/>
      <c r="B6" s="73" t="s">
        <v>360</v>
      </c>
      <c r="C6" s="73"/>
      <c r="D6" s="73"/>
      <c r="E6" s="22">
        <v>77000</v>
      </c>
      <c r="F6" s="14" t="s">
        <v>314</v>
      </c>
      <c r="G6" t="s">
        <v>451</v>
      </c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7">
      <c r="A7" s="123"/>
      <c r="B7" s="73" t="s">
        <v>58</v>
      </c>
      <c r="C7" s="73"/>
      <c r="D7" s="73"/>
      <c r="E7" s="22">
        <v>3900000</v>
      </c>
      <c r="F7" s="14" t="s">
        <v>314</v>
      </c>
      <c r="G7" t="s">
        <v>451</v>
      </c>
      <c r="H7" s="123"/>
      <c r="I7" s="123"/>
      <c r="J7" s="123"/>
      <c r="K7" s="123"/>
      <c r="L7" s="123"/>
      <c r="M7" s="125"/>
      <c r="N7" s="123"/>
      <c r="O7" s="123"/>
      <c r="P7" s="123"/>
      <c r="Q7" s="123"/>
    </row>
    <row r="8" spans="1:17">
      <c r="A8" s="123"/>
      <c r="B8" s="73" t="s">
        <v>361</v>
      </c>
      <c r="C8" s="73"/>
      <c r="D8" s="73"/>
      <c r="E8" s="276">
        <v>0.14000000000000001</v>
      </c>
      <c r="H8" s="123"/>
      <c r="I8" s="123"/>
      <c r="J8" s="123"/>
      <c r="K8" s="123"/>
      <c r="L8" s="123"/>
      <c r="M8" s="123"/>
      <c r="N8" s="123"/>
      <c r="O8" s="123"/>
      <c r="P8" s="123"/>
      <c r="Q8" s="123"/>
    </row>
    <row r="9" spans="1:17">
      <c r="A9" s="123"/>
      <c r="B9" s="73" t="s">
        <v>62</v>
      </c>
      <c r="C9" s="73"/>
      <c r="D9" s="73"/>
      <c r="E9" s="20">
        <v>40</v>
      </c>
      <c r="F9" s="14" t="s">
        <v>314</v>
      </c>
      <c r="G9" t="s">
        <v>452</v>
      </c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1:17">
      <c r="A10" s="123"/>
      <c r="B10" s="73" t="s">
        <v>384</v>
      </c>
      <c r="C10" s="73"/>
      <c r="D10" s="73"/>
      <c r="E10" s="22">
        <v>25000</v>
      </c>
      <c r="F10" s="14" t="s">
        <v>314</v>
      </c>
      <c r="G10" t="s">
        <v>453</v>
      </c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1:17">
      <c r="A11" s="123"/>
      <c r="B11" s="73"/>
      <c r="C11" s="73"/>
      <c r="D11" s="73"/>
      <c r="E11" s="7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>
      <c r="A12" s="123"/>
      <c r="B12" s="73" t="s">
        <v>2</v>
      </c>
      <c r="C12" s="73"/>
      <c r="D12" s="73"/>
      <c r="E12" s="277">
        <v>1.4999999999999999E-2</v>
      </c>
      <c r="F12" s="14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>
      <c r="A13" s="123"/>
      <c r="B13" s="73" t="s">
        <v>397</v>
      </c>
      <c r="C13" s="73"/>
      <c r="D13" s="73"/>
      <c r="E13" s="276">
        <v>0</v>
      </c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>
      <c r="A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>
      <c r="A15" s="123"/>
      <c r="B15" s="123"/>
      <c r="C15" s="123"/>
      <c r="D15" s="123"/>
      <c r="E15" s="125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>
      <c r="A16" s="123"/>
      <c r="B16" s="123"/>
      <c r="C16" s="123"/>
      <c r="D16" s="123"/>
      <c r="E16" s="123"/>
      <c r="F16" s="123"/>
      <c r="G16" s="129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>
      <c r="A18" s="123"/>
      <c r="B18" s="123" t="s">
        <v>336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317"/>
      <c r="Q18" s="123"/>
    </row>
    <row r="19" spans="1:17">
      <c r="A19" s="123"/>
      <c r="B19" s="126"/>
      <c r="C19" s="126"/>
      <c r="D19" s="126"/>
      <c r="E19" s="126"/>
      <c r="F19" s="127">
        <v>2020</v>
      </c>
      <c r="G19" s="127">
        <v>2021</v>
      </c>
      <c r="H19" s="127">
        <v>2022</v>
      </c>
      <c r="I19" s="127">
        <v>2023</v>
      </c>
      <c r="J19" s="127">
        <v>2024</v>
      </c>
      <c r="K19" s="127">
        <v>2025</v>
      </c>
      <c r="L19" s="127">
        <v>2026</v>
      </c>
      <c r="M19" s="127">
        <v>2027</v>
      </c>
      <c r="N19" s="127">
        <v>2028</v>
      </c>
      <c r="O19" s="127">
        <v>2029</v>
      </c>
      <c r="P19" s="318"/>
      <c r="Q19" s="123"/>
    </row>
    <row r="20" spans="1:17">
      <c r="A20" s="123"/>
      <c r="B20" s="126"/>
      <c r="C20" s="126"/>
      <c r="D20" s="126"/>
      <c r="E20" s="127">
        <v>0</v>
      </c>
      <c r="F20" s="128">
        <v>1</v>
      </c>
      <c r="G20" s="128">
        <v>2</v>
      </c>
      <c r="H20" s="128">
        <v>3</v>
      </c>
      <c r="I20" s="128">
        <v>4</v>
      </c>
      <c r="J20" s="128">
        <v>5</v>
      </c>
      <c r="K20" s="128">
        <v>6</v>
      </c>
      <c r="L20" s="128">
        <v>7</v>
      </c>
      <c r="M20" s="128">
        <v>8</v>
      </c>
      <c r="N20" s="128">
        <v>9</v>
      </c>
      <c r="O20" s="128">
        <v>10</v>
      </c>
      <c r="P20" s="319"/>
      <c r="Q20" s="123"/>
    </row>
    <row r="21" spans="1:17">
      <c r="A21" s="123"/>
      <c r="B21" s="229" t="s">
        <v>310</v>
      </c>
      <c r="C21" s="229"/>
      <c r="D21" s="229"/>
      <c r="E21" s="230"/>
      <c r="F21" s="196">
        <f>'Kostnader Covid-kort'!C70</f>
        <v>1158216.2822703202</v>
      </c>
      <c r="G21" s="196">
        <f>'Kostnader Covid-kort'!C71</f>
        <v>1530192.5375430905</v>
      </c>
      <c r="H21" s="196">
        <f>'Kostnader Covid-kort'!C72</f>
        <v>1629781.1154828565</v>
      </c>
      <c r="I21" s="196">
        <f>'Kostnader Covid-kort'!C73</f>
        <v>1735851.1554692145</v>
      </c>
      <c r="J21" s="196">
        <f>'Kostnader Covid-kort'!C74</f>
        <v>1848824.4865023419</v>
      </c>
      <c r="K21" s="196">
        <f>'Kostnader Covid-kort'!C75</f>
        <v>1969150.3912192825</v>
      </c>
      <c r="L21" s="196">
        <f>'Kostnader Covid-kort'!C76</f>
        <v>2097307.3926420799</v>
      </c>
      <c r="M21" s="196">
        <f>'Kostnader Covid-kort'!C77</f>
        <v>2233805.1572117209</v>
      </c>
      <c r="N21" s="196">
        <f>'Kostnader Covid-kort'!C78</f>
        <v>2379186.5216761045</v>
      </c>
      <c r="O21" s="196">
        <f>'Kostnader Covid-kort'!C79</f>
        <v>2534029.6518926555</v>
      </c>
      <c r="P21" s="314"/>
      <c r="Q21" s="123"/>
    </row>
    <row r="22" spans="1:17">
      <c r="A22" s="123"/>
      <c r="B22" s="229"/>
      <c r="C22" s="229"/>
      <c r="D22" s="229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322"/>
      <c r="Q22" s="123"/>
    </row>
    <row r="23" spans="1:17">
      <c r="A23" s="123"/>
      <c r="B23" s="229" t="s">
        <v>63</v>
      </c>
      <c r="C23" s="229"/>
      <c r="D23" s="229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322"/>
      <c r="Q23" s="123"/>
    </row>
    <row r="24" spans="1:17">
      <c r="A24" s="123"/>
      <c r="B24" s="231" t="s">
        <v>61</v>
      </c>
      <c r="C24" s="231"/>
      <c r="D24" s="229"/>
      <c r="E24" s="230"/>
      <c r="F24" s="230">
        <f>E10*E9*-1</f>
        <v>-1000000</v>
      </c>
      <c r="G24" s="230"/>
      <c r="H24" s="230"/>
      <c r="I24" s="230"/>
      <c r="J24" s="230"/>
      <c r="K24" s="230"/>
      <c r="L24" s="230"/>
      <c r="M24" s="230"/>
      <c r="N24" s="230"/>
      <c r="O24" s="230"/>
      <c r="P24" s="322"/>
      <c r="Q24" s="123"/>
    </row>
    <row r="25" spans="1:17">
      <c r="A25" s="123"/>
      <c r="B25" s="231" t="s">
        <v>64</v>
      </c>
      <c r="C25" s="231"/>
      <c r="D25" s="229"/>
      <c r="E25" s="230"/>
      <c r="F25" s="230">
        <f>$E$6*-1*(1+$E$12)^F20</f>
        <v>-78154.999999999985</v>
      </c>
      <c r="G25" s="230">
        <f>$E$6*-1*(1+$E$12)^G20</f>
        <v>-79327.324999999983</v>
      </c>
      <c r="H25" s="230">
        <f>$E$6*-1*(1+$E$12)^H20</f>
        <v>-80517.234874999966</v>
      </c>
      <c r="I25" s="230">
        <f t="shared" ref="I25:O25" si="0">$E$6*-1*(1+$E$12)^I20</f>
        <v>-81724.993398124963</v>
      </c>
      <c r="J25" s="230">
        <f t="shared" si="0"/>
        <v>-82950.868299096823</v>
      </c>
      <c r="K25" s="230">
        <f>$E$6*-1*(1+$E$12)^K20</f>
        <v>-84195.131323583249</v>
      </c>
      <c r="L25" s="230">
        <f>$E$6*-1*(1+$E$12)^L20</f>
        <v>-85458.058293436989</v>
      </c>
      <c r="M25" s="230">
        <f t="shared" si="0"/>
        <v>-86739.929167838534</v>
      </c>
      <c r="N25" s="230">
        <f t="shared" si="0"/>
        <v>-88041.028105356105</v>
      </c>
      <c r="O25" s="230">
        <f t="shared" si="0"/>
        <v>-89361.643526936445</v>
      </c>
      <c r="P25" s="322"/>
      <c r="Q25" s="123"/>
    </row>
    <row r="26" spans="1:17">
      <c r="A26" s="123"/>
      <c r="B26" s="231" t="s">
        <v>66</v>
      </c>
      <c r="C26" s="231"/>
      <c r="D26" s="229"/>
      <c r="E26" s="230"/>
      <c r="F26" s="230">
        <f>$E$33*E8</f>
        <v>-546000</v>
      </c>
      <c r="G26" s="230">
        <f>($E$33-SUM($F$26,))*$E$8</f>
        <v>-469560.00000000006</v>
      </c>
      <c r="H26" s="230">
        <f>($E$33-SUM($F$26:G26))*$E$8</f>
        <v>-403821.60000000003</v>
      </c>
      <c r="I26" s="230">
        <f>($E$33-SUM($F$26:H26))*$E$8</f>
        <v>-347286.576</v>
      </c>
      <c r="J26" s="230">
        <f>($E$33-SUM($F$26:I26))*$E$8</f>
        <v>-298666.45536000002</v>
      </c>
      <c r="K26" s="230">
        <f>($E$33-SUM($F$26:J26))*$E$8</f>
        <v>-256853.15160960003</v>
      </c>
      <c r="L26" s="230">
        <f>($E$33-SUM($F$26:K26))*$E$8</f>
        <v>-220893.710384256</v>
      </c>
      <c r="M26" s="230">
        <f>($E$33-SUM($F$26:L26))*$E$8</f>
        <v>-189968.59093046014</v>
      </c>
      <c r="N26" s="230">
        <f>($E$33-SUM($F$26:M26))*$E$8</f>
        <v>-163372.98820019574</v>
      </c>
      <c r="O26" s="230">
        <f>($E$33-SUM($F$26:N26))*$E$8</f>
        <v>-140500.76985216836</v>
      </c>
      <c r="P26" s="322"/>
      <c r="Q26" s="123"/>
    </row>
    <row r="27" spans="1:17">
      <c r="A27" s="123"/>
      <c r="B27" s="231"/>
      <c r="C27" s="229"/>
      <c r="D27" s="229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322"/>
      <c r="Q27" s="123"/>
    </row>
    <row r="28" spans="1:17">
      <c r="A28" s="123"/>
      <c r="B28" s="229" t="s">
        <v>65</v>
      </c>
      <c r="C28" s="229"/>
      <c r="D28" s="229"/>
      <c r="E28" s="230"/>
      <c r="F28" s="230">
        <f>SUM(F21:F26)</f>
        <v>-465938.71772967977</v>
      </c>
      <c r="G28" s="230">
        <f t="shared" ref="G28:O28" si="1">SUM(G21:G26)</f>
        <v>981305.21254309057</v>
      </c>
      <c r="H28" s="230">
        <f t="shared" si="1"/>
        <v>1145442.2806078563</v>
      </c>
      <c r="I28" s="230">
        <f t="shared" si="1"/>
        <v>1306839.5860710894</v>
      </c>
      <c r="J28" s="230">
        <f t="shared" si="1"/>
        <v>1467207.1628432451</v>
      </c>
      <c r="K28" s="230">
        <f t="shared" si="1"/>
        <v>1628102.1082860993</v>
      </c>
      <c r="L28" s="230">
        <f t="shared" si="1"/>
        <v>1790955.623964387</v>
      </c>
      <c r="M28" s="230">
        <f t="shared" si="1"/>
        <v>1957096.6371134222</v>
      </c>
      <c r="N28" s="230">
        <f t="shared" si="1"/>
        <v>2127772.5053705527</v>
      </c>
      <c r="O28" s="230">
        <f t="shared" si="1"/>
        <v>2304167.2385135507</v>
      </c>
      <c r="P28" s="322"/>
      <c r="Q28" s="123"/>
    </row>
    <row r="29" spans="1:17">
      <c r="A29" s="123"/>
      <c r="B29" s="231" t="s">
        <v>313</v>
      </c>
      <c r="C29" s="229"/>
      <c r="D29" s="229"/>
      <c r="E29" s="230"/>
      <c r="F29" s="230">
        <f>F28*$E$13*-1</f>
        <v>0</v>
      </c>
      <c r="G29" s="230">
        <f t="shared" ref="G29:O29" si="2">G28*$E$13*-1</f>
        <v>0</v>
      </c>
      <c r="H29" s="230">
        <f t="shared" si="2"/>
        <v>0</v>
      </c>
      <c r="I29" s="230">
        <f t="shared" si="2"/>
        <v>0</v>
      </c>
      <c r="J29" s="230">
        <f t="shared" si="2"/>
        <v>0</v>
      </c>
      <c r="K29" s="230">
        <f t="shared" si="2"/>
        <v>0</v>
      </c>
      <c r="L29" s="230">
        <f t="shared" si="2"/>
        <v>0</v>
      </c>
      <c r="M29" s="230">
        <f t="shared" si="2"/>
        <v>0</v>
      </c>
      <c r="N29" s="230">
        <f t="shared" si="2"/>
        <v>0</v>
      </c>
      <c r="O29" s="230">
        <f t="shared" si="2"/>
        <v>0</v>
      </c>
      <c r="P29" s="322"/>
      <c r="Q29" s="123"/>
    </row>
    <row r="30" spans="1:17" ht="17" thickBot="1">
      <c r="A30" s="123"/>
      <c r="B30" s="232" t="s">
        <v>4</v>
      </c>
      <c r="C30" s="232"/>
      <c r="D30" s="232"/>
      <c r="E30" s="233"/>
      <c r="F30" s="233">
        <f>SUM(F28:F29)</f>
        <v>-465938.71772967977</v>
      </c>
      <c r="G30" s="233">
        <f t="shared" ref="G30:O30" si="3">SUM(G28:G29)</f>
        <v>981305.21254309057</v>
      </c>
      <c r="H30" s="233">
        <f t="shared" si="3"/>
        <v>1145442.2806078563</v>
      </c>
      <c r="I30" s="233">
        <f t="shared" si="3"/>
        <v>1306839.5860710894</v>
      </c>
      <c r="J30" s="233">
        <f t="shared" si="3"/>
        <v>1467207.1628432451</v>
      </c>
      <c r="K30" s="233">
        <f t="shared" si="3"/>
        <v>1628102.1082860993</v>
      </c>
      <c r="L30" s="233">
        <f t="shared" si="3"/>
        <v>1790955.623964387</v>
      </c>
      <c r="M30" s="233">
        <f t="shared" si="3"/>
        <v>1957096.6371134222</v>
      </c>
      <c r="N30" s="233">
        <f t="shared" si="3"/>
        <v>2127772.5053705527</v>
      </c>
      <c r="O30" s="233">
        <f t="shared" si="3"/>
        <v>2304167.2385135507</v>
      </c>
      <c r="P30" s="322"/>
      <c r="Q30" s="123"/>
    </row>
    <row r="31" spans="1:17">
      <c r="A31" s="123"/>
      <c r="B31" s="229"/>
      <c r="C31" s="229"/>
      <c r="D31" s="229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322"/>
      <c r="Q31" s="123"/>
    </row>
    <row r="32" spans="1:17">
      <c r="A32" s="123"/>
      <c r="B32" s="229" t="s">
        <v>66</v>
      </c>
      <c r="C32" s="229"/>
      <c r="D32" s="229"/>
      <c r="E32" s="230"/>
      <c r="F32" s="230">
        <f>F26*-1</f>
        <v>546000</v>
      </c>
      <c r="G32" s="230">
        <f t="shared" ref="G32:O32" si="4">G26*-1</f>
        <v>469560.00000000006</v>
      </c>
      <c r="H32" s="230">
        <f t="shared" si="4"/>
        <v>403821.60000000003</v>
      </c>
      <c r="I32" s="230">
        <f t="shared" si="4"/>
        <v>347286.576</v>
      </c>
      <c r="J32" s="230">
        <f t="shared" si="4"/>
        <v>298666.45536000002</v>
      </c>
      <c r="K32" s="230">
        <f t="shared" si="4"/>
        <v>256853.15160960003</v>
      </c>
      <c r="L32" s="230">
        <f t="shared" si="4"/>
        <v>220893.710384256</v>
      </c>
      <c r="M32" s="230">
        <f t="shared" si="4"/>
        <v>189968.59093046014</v>
      </c>
      <c r="N32" s="230">
        <f t="shared" si="4"/>
        <v>163372.98820019574</v>
      </c>
      <c r="O32" s="230">
        <f t="shared" si="4"/>
        <v>140500.76985216836</v>
      </c>
      <c r="P32" s="322"/>
      <c r="Q32" s="123"/>
    </row>
    <row r="33" spans="1:17">
      <c r="A33" s="123"/>
      <c r="B33" s="229" t="s">
        <v>5</v>
      </c>
      <c r="C33" s="229"/>
      <c r="D33" s="229"/>
      <c r="E33" s="230">
        <v>-3900000</v>
      </c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322"/>
      <c r="Q33" s="123"/>
    </row>
    <row r="34" spans="1:17">
      <c r="A34" s="123"/>
      <c r="B34" s="229"/>
      <c r="C34" s="229"/>
      <c r="D34" s="229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322"/>
      <c r="Q34" s="123"/>
    </row>
    <row r="35" spans="1:17" ht="17" thickBot="1">
      <c r="A35" s="123"/>
      <c r="B35" s="234" t="s">
        <v>6</v>
      </c>
      <c r="C35" s="234"/>
      <c r="D35" s="234"/>
      <c r="E35" s="235">
        <f>SUM(E30:E34)</f>
        <v>-3900000</v>
      </c>
      <c r="F35" s="235">
        <f>SUM(F30:F34)</f>
        <v>80061.282270320226</v>
      </c>
      <c r="G35" s="235">
        <f t="shared" ref="G35:O35" si="5">SUM(G30:G34)</f>
        <v>1450865.2125430906</v>
      </c>
      <c r="H35" s="235">
        <f t="shared" si="5"/>
        <v>1549263.8806078564</v>
      </c>
      <c r="I35" s="235">
        <f t="shared" si="5"/>
        <v>1654126.1620710893</v>
      </c>
      <c r="J35" s="235">
        <f t="shared" si="5"/>
        <v>1765873.6182032451</v>
      </c>
      <c r="K35" s="235">
        <f t="shared" si="5"/>
        <v>1884955.2598956993</v>
      </c>
      <c r="L35" s="235">
        <f t="shared" si="5"/>
        <v>2011849.334348643</v>
      </c>
      <c r="M35" s="235">
        <f t="shared" si="5"/>
        <v>2147065.2280438822</v>
      </c>
      <c r="N35" s="235">
        <f t="shared" si="5"/>
        <v>2291145.4935707483</v>
      </c>
      <c r="O35" s="235">
        <f t="shared" si="5"/>
        <v>2444668.0083657191</v>
      </c>
      <c r="P35" s="250"/>
      <c r="Q35" s="123"/>
    </row>
    <row r="36" spans="1:17">
      <c r="A36" s="123"/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323"/>
      <c r="Q36" s="123"/>
    </row>
    <row r="37" spans="1:17">
      <c r="A37" s="123"/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123"/>
    </row>
    <row r="38" spans="1:17">
      <c r="A38" s="123"/>
      <c r="B38" s="248" t="s">
        <v>3</v>
      </c>
      <c r="C38" s="236">
        <v>8.3400000000000002E-2</v>
      </c>
      <c r="D38" s="229"/>
      <c r="H38" s="229"/>
      <c r="I38" s="229"/>
      <c r="J38" s="229"/>
      <c r="K38" s="229"/>
      <c r="L38" s="229"/>
      <c r="M38" s="229"/>
      <c r="N38" s="229"/>
      <c r="O38" s="229"/>
      <c r="P38" s="229"/>
      <c r="Q38" s="123"/>
    </row>
    <row r="39" spans="1:17">
      <c r="A39" s="123"/>
      <c r="B39" s="248"/>
      <c r="C39" s="229"/>
      <c r="D39" s="229"/>
      <c r="H39" s="229"/>
      <c r="I39" s="229"/>
      <c r="J39" s="229"/>
      <c r="K39" s="229"/>
      <c r="L39" s="229"/>
      <c r="M39" s="229"/>
      <c r="N39" s="229"/>
      <c r="O39" s="229"/>
      <c r="P39" s="229"/>
      <c r="Q39" s="123"/>
    </row>
    <row r="40" spans="1:17">
      <c r="A40" s="123"/>
      <c r="B40" s="10" t="s">
        <v>315</v>
      </c>
      <c r="C40" s="230">
        <f>NPV(C38,F35:G35)+E35</f>
        <v>-2590013.7829764523</v>
      </c>
      <c r="D40" s="229"/>
      <c r="F40" s="7"/>
      <c r="H40" s="273"/>
      <c r="I40" s="229"/>
      <c r="J40" s="229"/>
      <c r="K40" s="229"/>
      <c r="L40" s="229"/>
      <c r="M40" s="229"/>
      <c r="N40" s="229"/>
      <c r="O40" s="229"/>
      <c r="P40" s="229"/>
      <c r="Q40" s="123"/>
    </row>
    <row r="41" spans="1:17">
      <c r="A41" s="123"/>
      <c r="B41" s="248" t="s">
        <v>311</v>
      </c>
      <c r="C41" s="230">
        <f>NPV(C38,F35:J35)+E35</f>
        <v>1012024.3353120824</v>
      </c>
      <c r="D41" s="230"/>
      <c r="E41" s="279" t="s">
        <v>440</v>
      </c>
      <c r="F41" s="280"/>
      <c r="G41" s="283"/>
      <c r="H41" s="387" t="s">
        <v>443</v>
      </c>
      <c r="I41" s="230"/>
      <c r="J41" s="229"/>
      <c r="K41" s="229"/>
      <c r="L41" s="229"/>
      <c r="M41" s="229"/>
      <c r="N41" s="229"/>
      <c r="O41" s="229"/>
      <c r="P41" s="229"/>
      <c r="Q41" s="123"/>
    </row>
    <row r="42" spans="1:17">
      <c r="A42" s="123"/>
      <c r="B42" s="248" t="s">
        <v>312</v>
      </c>
      <c r="C42" s="230">
        <f>NPV(C38,F35:O35)+E35</f>
        <v>6668699.9176977519</v>
      </c>
      <c r="D42" s="229"/>
      <c r="E42" s="281" t="s">
        <v>444</v>
      </c>
      <c r="F42" s="281"/>
      <c r="G42" s="281"/>
      <c r="H42" s="278">
        <f>NPV(C38,F35,G35,H35,I35,(J35/365*53))+E35</f>
        <v>730.89170818403363</v>
      </c>
      <c r="I42" s="229"/>
      <c r="J42" s="229"/>
      <c r="K42" s="229"/>
      <c r="L42" s="229"/>
      <c r="M42" s="229"/>
      <c r="N42" s="229"/>
      <c r="O42" s="229"/>
      <c r="P42" s="229"/>
      <c r="Q42" s="123"/>
    </row>
    <row r="43" spans="1:17">
      <c r="A43" s="123"/>
      <c r="B43" s="229"/>
      <c r="C43" s="230"/>
      <c r="D43" s="229"/>
      <c r="H43" s="229"/>
      <c r="I43" s="229"/>
      <c r="J43" s="229"/>
      <c r="K43" s="229"/>
      <c r="L43" s="229"/>
      <c r="M43" s="229"/>
      <c r="N43" s="229"/>
      <c r="O43" s="229"/>
      <c r="P43" s="229"/>
      <c r="Q43" s="123"/>
    </row>
    <row r="44" spans="1:17">
      <c r="A44" s="123"/>
      <c r="B44" s="123"/>
      <c r="C44" s="123"/>
      <c r="D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>
      <c r="A45" s="123"/>
      <c r="B45" s="136"/>
      <c r="C45" s="244"/>
      <c r="D45" s="151"/>
      <c r="H45" s="136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>
      <c r="A46" s="123"/>
      <c r="B46" s="136"/>
      <c r="C46" s="136"/>
      <c r="D46" s="136"/>
      <c r="H46" s="136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>
      <c r="A47" s="123"/>
      <c r="B47" s="388"/>
      <c r="C47" s="388"/>
      <c r="D47" s="388"/>
      <c r="E47" s="386"/>
      <c r="F47" s="386"/>
      <c r="H47" s="136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>
      <c r="A48" s="123"/>
      <c r="B48" s="389"/>
      <c r="C48" s="390"/>
      <c r="D48" s="390"/>
      <c r="E48" s="386"/>
      <c r="F48" s="386"/>
      <c r="H48" s="136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>
      <c r="A49" s="123"/>
      <c r="B49" s="388"/>
      <c r="C49" s="388"/>
      <c r="D49" s="388"/>
      <c r="E49" s="386"/>
      <c r="F49" s="386"/>
      <c r="H49" s="136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>
      <c r="A50" s="123"/>
      <c r="B50" s="386"/>
      <c r="C50" s="388"/>
      <c r="D50" s="388"/>
      <c r="E50" s="386"/>
      <c r="F50" s="386"/>
      <c r="H50" s="136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>
      <c r="A51" s="123"/>
      <c r="B51" s="388"/>
      <c r="C51" s="388"/>
      <c r="D51" s="388"/>
      <c r="E51" s="386"/>
      <c r="F51" s="386"/>
      <c r="H51" s="136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>
      <c r="A52" s="123"/>
      <c r="B52" s="388"/>
      <c r="C52" s="388"/>
      <c r="D52" s="388"/>
      <c r="E52" s="386"/>
      <c r="F52" s="386"/>
      <c r="H52" s="136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>
      <c r="A53" s="123"/>
      <c r="B53" s="388"/>
      <c r="C53" s="394"/>
      <c r="D53" s="394"/>
      <c r="E53" s="388"/>
      <c r="F53" s="388"/>
      <c r="G53" s="136"/>
      <c r="H53" s="136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>
      <c r="A54" s="123"/>
      <c r="B54" s="136"/>
      <c r="C54" s="137"/>
      <c r="D54" s="138"/>
      <c r="E54" s="136"/>
      <c r="F54" s="136"/>
      <c r="G54" s="136"/>
      <c r="H54" s="136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>
      <c r="A55" s="123"/>
      <c r="B55" s="136"/>
      <c r="C55" s="137"/>
      <c r="D55" s="138"/>
      <c r="E55" s="136"/>
      <c r="F55" s="136"/>
      <c r="G55" s="136"/>
      <c r="H55" s="136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>
      <c r="A56" s="123"/>
      <c r="B56" s="136"/>
      <c r="C56" s="136"/>
      <c r="D56" s="136"/>
      <c r="E56" s="136"/>
      <c r="F56" s="136"/>
      <c r="G56" s="136"/>
      <c r="H56" s="136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>
      <c r="A57" s="123"/>
      <c r="B57" s="136"/>
      <c r="C57" s="395"/>
      <c r="D57" s="395"/>
      <c r="E57" s="136"/>
      <c r="F57" s="136"/>
      <c r="G57" s="136"/>
      <c r="H57" s="136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>
      <c r="A58" s="123"/>
      <c r="B58" s="136"/>
      <c r="C58" s="137"/>
      <c r="D58" s="136"/>
      <c r="E58" s="136"/>
      <c r="F58" s="136"/>
      <c r="G58" s="136"/>
      <c r="H58" s="136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7">
      <c r="A59" s="123"/>
      <c r="B59" s="136"/>
      <c r="C59" s="137"/>
      <c r="D59" s="136"/>
      <c r="E59" s="136"/>
      <c r="F59" s="136"/>
      <c r="G59" s="136"/>
      <c r="H59" s="136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1:17">
      <c r="A60" s="123"/>
      <c r="B60" s="136"/>
      <c r="C60" s="136"/>
      <c r="D60" s="136"/>
      <c r="E60" s="136"/>
      <c r="F60" s="136"/>
      <c r="G60" s="136"/>
      <c r="H60" s="136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1:17">
      <c r="B61" s="6"/>
      <c r="C61" s="6"/>
      <c r="D61" s="6"/>
      <c r="E61" s="6"/>
      <c r="F61" s="6"/>
      <c r="G61" s="6"/>
      <c r="H61" s="6"/>
    </row>
    <row r="62" spans="1:17">
      <c r="B62" s="6"/>
      <c r="C62" s="6"/>
      <c r="D62" s="6"/>
      <c r="E62" s="6"/>
      <c r="F62" s="6"/>
      <c r="G62" s="6"/>
      <c r="H62" s="6"/>
    </row>
    <row r="63" spans="1:17">
      <c r="B63" s="6"/>
      <c r="C63" s="6"/>
      <c r="D63" s="6"/>
      <c r="E63" s="6"/>
      <c r="F63" s="6"/>
      <c r="G63" s="6"/>
      <c r="H63" s="6"/>
    </row>
  </sheetData>
  <mergeCells count="2">
    <mergeCell ref="C53:D53"/>
    <mergeCell ref="C57:D5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D983C-C458-644C-A0C3-2459D7BF2856}">
  <sheetPr>
    <tabColor theme="9"/>
  </sheetPr>
  <dimension ref="A2:Q70"/>
  <sheetViews>
    <sheetView showGridLines="0" topLeftCell="A5" workbookViewId="0">
      <selection activeCell="I15" sqref="I15"/>
    </sheetView>
  </sheetViews>
  <sheetFormatPr baseColWidth="10" defaultRowHeight="16"/>
  <cols>
    <col min="2" max="2" width="13.6640625" customWidth="1"/>
    <col min="3" max="3" width="14.83203125" customWidth="1"/>
    <col min="5" max="5" width="15.5" bestFit="1" customWidth="1"/>
    <col min="6" max="6" width="16.6640625" bestFit="1" customWidth="1"/>
    <col min="7" max="7" width="17" customWidth="1"/>
    <col min="8" max="8" width="15.33203125" customWidth="1"/>
    <col min="9" max="9" width="15" bestFit="1" customWidth="1"/>
    <col min="10" max="10" width="14.5" bestFit="1" customWidth="1"/>
    <col min="11" max="11" width="15.5" bestFit="1" customWidth="1"/>
    <col min="12" max="12" width="15" bestFit="1" customWidth="1"/>
    <col min="13" max="14" width="14.83203125" bestFit="1" customWidth="1"/>
    <col min="15" max="15" width="14.5" bestFit="1" customWidth="1"/>
    <col min="16" max="16" width="14.83203125" bestFit="1" customWidth="1"/>
  </cols>
  <sheetData>
    <row r="2" spans="1:17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</row>
    <row r="3" spans="1:17">
      <c r="A3" s="123"/>
      <c r="B3" s="2" t="s">
        <v>60</v>
      </c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1:17">
      <c r="A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7">
      <c r="A5" s="123"/>
      <c r="B5" s="275" t="s">
        <v>396</v>
      </c>
      <c r="C5" s="73"/>
      <c r="D5" s="73"/>
      <c r="E5" s="73"/>
      <c r="H5" s="123"/>
      <c r="I5" s="123"/>
      <c r="J5" s="123"/>
      <c r="K5" s="123"/>
      <c r="L5" s="123"/>
      <c r="M5" s="123"/>
      <c r="N5" s="123"/>
      <c r="O5" s="123"/>
      <c r="P5" s="123"/>
      <c r="Q5" s="123"/>
    </row>
    <row r="6" spans="1:17">
      <c r="A6" s="123"/>
      <c r="B6" s="73" t="s">
        <v>360</v>
      </c>
      <c r="C6" s="73"/>
      <c r="D6" s="73"/>
      <c r="E6" s="22">
        <v>77000</v>
      </c>
      <c r="F6" s="14" t="s">
        <v>314</v>
      </c>
      <c r="G6" t="s">
        <v>451</v>
      </c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7">
      <c r="A7" s="123"/>
      <c r="B7" s="73" t="s">
        <v>58</v>
      </c>
      <c r="C7" s="73"/>
      <c r="D7" s="73"/>
      <c r="E7" s="22">
        <v>3900000</v>
      </c>
      <c r="F7" s="14" t="s">
        <v>314</v>
      </c>
      <c r="G7" t="s">
        <v>451</v>
      </c>
      <c r="H7" s="123"/>
      <c r="I7" s="123"/>
      <c r="J7" s="123"/>
      <c r="K7" s="123"/>
      <c r="L7" s="123"/>
      <c r="M7" s="124"/>
      <c r="N7" s="123"/>
      <c r="O7" s="123"/>
      <c r="P7" s="123"/>
      <c r="Q7" s="123"/>
    </row>
    <row r="8" spans="1:17">
      <c r="A8" s="123"/>
      <c r="B8" s="73" t="s">
        <v>361</v>
      </c>
      <c r="C8" s="73"/>
      <c r="D8" s="73"/>
      <c r="E8" s="276">
        <v>0.14000000000000001</v>
      </c>
      <c r="H8" s="123"/>
      <c r="I8" s="123"/>
      <c r="J8" s="123"/>
      <c r="K8" s="123"/>
      <c r="L8" s="123"/>
      <c r="M8" s="123"/>
      <c r="N8" s="123"/>
      <c r="O8" s="123"/>
      <c r="P8" s="123"/>
      <c r="Q8" s="123"/>
    </row>
    <row r="9" spans="1:17">
      <c r="A9" s="123"/>
      <c r="B9" s="73" t="s">
        <v>62</v>
      </c>
      <c r="C9" s="73"/>
      <c r="D9" s="73"/>
      <c r="E9" s="20">
        <v>40</v>
      </c>
      <c r="F9" s="14" t="s">
        <v>314</v>
      </c>
      <c r="G9" t="s">
        <v>452</v>
      </c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1:17">
      <c r="A10" s="123"/>
      <c r="B10" s="73" t="s">
        <v>384</v>
      </c>
      <c r="C10" s="73"/>
      <c r="D10" s="73"/>
      <c r="E10" s="22">
        <v>25000</v>
      </c>
      <c r="F10" s="14" t="s">
        <v>314</v>
      </c>
      <c r="G10" t="s">
        <v>453</v>
      </c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1:17">
      <c r="A11" s="123"/>
      <c r="B11" s="73"/>
      <c r="C11" s="73"/>
      <c r="D11" s="73"/>
      <c r="E11" s="7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>
      <c r="A12" s="123"/>
      <c r="B12" s="73" t="s">
        <v>2</v>
      </c>
      <c r="C12" s="73"/>
      <c r="D12" s="73"/>
      <c r="E12" s="277">
        <v>1.4999999999999999E-2</v>
      </c>
      <c r="F12" s="14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>
      <c r="A13" s="123"/>
      <c r="B13" s="73" t="s">
        <v>397</v>
      </c>
      <c r="C13" s="73"/>
      <c r="D13" s="73"/>
      <c r="E13" s="276">
        <v>0</v>
      </c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>
      <c r="A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>
      <c r="A15" s="123"/>
      <c r="B15" s="123"/>
      <c r="C15" s="123"/>
      <c r="D15" s="123"/>
      <c r="E15" s="125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317"/>
      <c r="Q16" s="123"/>
    </row>
    <row r="17" spans="1:17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317"/>
      <c r="Q17" s="123"/>
    </row>
    <row r="18" spans="1:17">
      <c r="A18" s="123"/>
      <c r="B18" s="123" t="s">
        <v>337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317"/>
      <c r="Q18" s="123"/>
    </row>
    <row r="19" spans="1:17">
      <c r="A19" s="123"/>
      <c r="B19" s="126"/>
      <c r="C19" s="126"/>
      <c r="D19" s="126"/>
      <c r="E19" s="126"/>
      <c r="F19" s="127">
        <v>2020</v>
      </c>
      <c r="G19" s="127">
        <v>2021</v>
      </c>
      <c r="H19" s="127">
        <v>2022</v>
      </c>
      <c r="I19" s="127">
        <v>2023</v>
      </c>
      <c r="J19" s="127">
        <v>2024</v>
      </c>
      <c r="K19" s="127">
        <v>2025</v>
      </c>
      <c r="L19" s="127">
        <v>2026</v>
      </c>
      <c r="M19" s="127">
        <v>2027</v>
      </c>
      <c r="N19" s="127">
        <v>2028</v>
      </c>
      <c r="O19" s="127">
        <v>2029</v>
      </c>
      <c r="P19" s="318"/>
      <c r="Q19" s="123"/>
    </row>
    <row r="20" spans="1:17">
      <c r="A20" s="123"/>
      <c r="B20" s="126"/>
      <c r="C20" s="126"/>
      <c r="D20" s="126"/>
      <c r="E20" s="127">
        <v>0</v>
      </c>
      <c r="F20" s="128">
        <v>1</v>
      </c>
      <c r="G20" s="128">
        <v>2</v>
      </c>
      <c r="H20" s="128">
        <v>3</v>
      </c>
      <c r="I20" s="128">
        <v>4</v>
      </c>
      <c r="J20" s="128">
        <v>5</v>
      </c>
      <c r="K20" s="128">
        <v>6</v>
      </c>
      <c r="L20" s="128">
        <v>7</v>
      </c>
      <c r="M20" s="128">
        <v>8</v>
      </c>
      <c r="N20" s="128">
        <v>9</v>
      </c>
      <c r="O20" s="128">
        <v>10</v>
      </c>
      <c r="P20" s="319"/>
      <c r="Q20" s="123"/>
    </row>
    <row r="21" spans="1:17">
      <c r="A21" s="123"/>
      <c r="B21" s="123" t="s">
        <v>310</v>
      </c>
      <c r="C21" s="123"/>
      <c r="D21" s="123"/>
      <c r="E21" s="129"/>
      <c r="F21" s="274">
        <f>'Kostnader Covid-lang'!C73</f>
        <v>1158216.2822703202</v>
      </c>
      <c r="G21" s="274">
        <f>'Kostnader Covid-lang'!C74</f>
        <v>757484.29424603423</v>
      </c>
      <c r="H21" s="274">
        <f>'Kostnader Covid-lang'!C75</f>
        <v>1185850.0751504158</v>
      </c>
      <c r="I21" s="274">
        <f>'Kostnader Covid-lang'!C76</f>
        <v>1534559.2288772939</v>
      </c>
      <c r="J21" s="274">
        <f>'Kostnader Covid-lang'!C77</f>
        <v>1625367.0975274211</v>
      </c>
      <c r="K21" s="274">
        <f>'Kostnader Covid-lang'!C78</f>
        <v>1721737.3649897948</v>
      </c>
      <c r="L21" s="274">
        <f>'Kostnader Covid-lang'!C79</f>
        <v>1824018.7169564189</v>
      </c>
      <c r="M21" s="274">
        <f>'Kostnader Covid-lang'!C80</f>
        <v>1932582.0213346696</v>
      </c>
      <c r="N21" s="274">
        <f>'Kostnader Covid-lang'!C81</f>
        <v>2047821.7523213541</v>
      </c>
      <c r="O21" s="274">
        <f>'Kostnader Covid-lang'!C82</f>
        <v>2170157.5064074565</v>
      </c>
      <c r="P21" s="320"/>
      <c r="Q21" s="205"/>
    </row>
    <row r="22" spans="1:17">
      <c r="A22" s="123"/>
      <c r="B22" s="123"/>
      <c r="C22" s="123"/>
      <c r="D22" s="123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321"/>
      <c r="Q22" s="123"/>
    </row>
    <row r="23" spans="1:17">
      <c r="A23" s="123"/>
      <c r="B23" s="123" t="s">
        <v>63</v>
      </c>
      <c r="C23" s="123"/>
      <c r="D23" s="123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321"/>
      <c r="Q23" s="123"/>
    </row>
    <row r="24" spans="1:17">
      <c r="A24" s="123"/>
      <c r="B24" s="130" t="s">
        <v>61</v>
      </c>
      <c r="C24" s="130"/>
      <c r="D24" s="123"/>
      <c r="E24" s="129"/>
      <c r="F24" s="129">
        <f>E10*E9*-1</f>
        <v>-1000000</v>
      </c>
      <c r="G24" s="129"/>
      <c r="H24" s="129"/>
      <c r="I24" s="129"/>
      <c r="J24" s="129"/>
      <c r="K24" s="129"/>
      <c r="L24" s="129"/>
      <c r="M24" s="129"/>
      <c r="N24" s="129"/>
      <c r="O24" s="129"/>
      <c r="P24" s="321"/>
      <c r="Q24" s="123"/>
    </row>
    <row r="25" spans="1:17">
      <c r="A25" s="123"/>
      <c r="B25" s="130" t="s">
        <v>64</v>
      </c>
      <c r="C25" s="130"/>
      <c r="D25" s="123"/>
      <c r="E25" s="129"/>
      <c r="F25" s="129">
        <f>-1*$E$6*(1+$E$12)^F20</f>
        <v>-78154.999999999985</v>
      </c>
      <c r="G25" s="129">
        <f t="shared" ref="G25:O25" si="0">-1*$E$6*(1+$E$12)^G20</f>
        <v>-79327.324999999983</v>
      </c>
      <c r="H25" s="129">
        <f t="shared" si="0"/>
        <v>-80517.234874999966</v>
      </c>
      <c r="I25" s="129">
        <f t="shared" si="0"/>
        <v>-81724.993398124963</v>
      </c>
      <c r="J25" s="129">
        <f t="shared" si="0"/>
        <v>-82950.868299096823</v>
      </c>
      <c r="K25" s="129">
        <f t="shared" si="0"/>
        <v>-84195.131323583249</v>
      </c>
      <c r="L25" s="129">
        <f t="shared" si="0"/>
        <v>-85458.058293436989</v>
      </c>
      <c r="M25" s="129">
        <f t="shared" si="0"/>
        <v>-86739.929167838534</v>
      </c>
      <c r="N25" s="129">
        <f t="shared" si="0"/>
        <v>-88041.028105356105</v>
      </c>
      <c r="O25" s="129">
        <f t="shared" si="0"/>
        <v>-89361.643526936445</v>
      </c>
      <c r="P25" s="321"/>
      <c r="Q25" s="123"/>
    </row>
    <row r="26" spans="1:17">
      <c r="A26" s="123"/>
      <c r="B26" s="130" t="s">
        <v>66</v>
      </c>
      <c r="C26" s="130"/>
      <c r="D26" s="123"/>
      <c r="E26" s="129"/>
      <c r="F26" s="129">
        <f>E33*E8</f>
        <v>-546000</v>
      </c>
      <c r="G26" s="129">
        <f>(E33-SUM(F26,))*E8</f>
        <v>-469560.00000000006</v>
      </c>
      <c r="H26" s="129">
        <f>($E$33-SUM($F$26:G26))*$E$8</f>
        <v>-403821.60000000003</v>
      </c>
      <c r="I26" s="129">
        <f>($E$33-SUM($F$26:H26))*$E$8</f>
        <v>-347286.576</v>
      </c>
      <c r="J26" s="129">
        <f>($E$33-SUM($F$26:I26))*$E$8</f>
        <v>-298666.45536000002</v>
      </c>
      <c r="K26" s="129">
        <f>($E$33-SUM($F$26:J26))*$E$8</f>
        <v>-256853.15160960003</v>
      </c>
      <c r="L26" s="129">
        <f>($E$33-SUM($F$26:K26))*$E$8</f>
        <v>-220893.710384256</v>
      </c>
      <c r="M26" s="129">
        <f>($E$33-SUM($F$26:L26))*$E$8</f>
        <v>-189968.59093046014</v>
      </c>
      <c r="N26" s="129">
        <f>($E$33-SUM($F$26:M26))*$E$8</f>
        <v>-163372.98820019574</v>
      </c>
      <c r="O26" s="129">
        <f>($E$33-SUM($F$26:N26))*$E$8</f>
        <v>-140500.76985216836</v>
      </c>
      <c r="P26" s="321"/>
      <c r="Q26" s="123"/>
    </row>
    <row r="27" spans="1:17">
      <c r="A27" s="123"/>
      <c r="B27" s="130"/>
      <c r="C27" s="123"/>
      <c r="D27" s="123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321"/>
      <c r="Q27" s="123"/>
    </row>
    <row r="28" spans="1:17">
      <c r="A28" s="123"/>
      <c r="B28" s="123" t="s">
        <v>65</v>
      </c>
      <c r="C28" s="123"/>
      <c r="D28" s="123"/>
      <c r="E28" s="129"/>
      <c r="F28" s="129">
        <f>SUM(F21:F26)</f>
        <v>-465938.71772967977</v>
      </c>
      <c r="G28" s="129">
        <f t="shared" ref="G28:O28" si="1">SUM(G21:G26)</f>
        <v>208596.96924603422</v>
      </c>
      <c r="H28" s="129">
        <f t="shared" si="1"/>
        <v>701511.24027541559</v>
      </c>
      <c r="I28" s="129">
        <f t="shared" si="1"/>
        <v>1105547.6594791687</v>
      </c>
      <c r="J28" s="129">
        <f t="shared" si="1"/>
        <v>1243749.7738683242</v>
      </c>
      <c r="K28" s="129">
        <f t="shared" si="1"/>
        <v>1380689.0820566115</v>
      </c>
      <c r="L28" s="129">
        <f t="shared" si="1"/>
        <v>1517666.9482787261</v>
      </c>
      <c r="M28" s="129">
        <f t="shared" si="1"/>
        <v>1655873.5012363708</v>
      </c>
      <c r="N28" s="129">
        <f t="shared" si="1"/>
        <v>1796407.7360158022</v>
      </c>
      <c r="O28" s="129">
        <f t="shared" si="1"/>
        <v>1940295.0930283517</v>
      </c>
      <c r="P28" s="321"/>
      <c r="Q28" s="123"/>
    </row>
    <row r="29" spans="1:17">
      <c r="A29" s="123"/>
      <c r="B29" s="130" t="s">
        <v>313</v>
      </c>
      <c r="C29" s="123"/>
      <c r="D29" s="123"/>
      <c r="E29" s="129"/>
      <c r="F29" s="129">
        <f>F28*$E$13*-1</f>
        <v>0</v>
      </c>
      <c r="G29" s="129">
        <f t="shared" ref="G29:O29" si="2">G28*$E$13*-1</f>
        <v>0</v>
      </c>
      <c r="H29" s="129">
        <f t="shared" si="2"/>
        <v>0</v>
      </c>
      <c r="I29" s="129">
        <f t="shared" si="2"/>
        <v>0</v>
      </c>
      <c r="J29" s="129">
        <f t="shared" si="2"/>
        <v>0</v>
      </c>
      <c r="K29" s="129">
        <f t="shared" si="2"/>
        <v>0</v>
      </c>
      <c r="L29" s="129">
        <f t="shared" si="2"/>
        <v>0</v>
      </c>
      <c r="M29" s="129">
        <f t="shared" si="2"/>
        <v>0</v>
      </c>
      <c r="N29" s="129">
        <f t="shared" si="2"/>
        <v>0</v>
      </c>
      <c r="O29" s="129">
        <f t="shared" si="2"/>
        <v>0</v>
      </c>
      <c r="P29" s="321"/>
      <c r="Q29" s="123"/>
    </row>
    <row r="30" spans="1:17" ht="17" thickBot="1">
      <c r="A30" s="123"/>
      <c r="B30" s="131" t="s">
        <v>4</v>
      </c>
      <c r="C30" s="131"/>
      <c r="D30" s="131"/>
      <c r="E30" s="132"/>
      <c r="F30" s="132">
        <f>SUM(F28:F29)</f>
        <v>-465938.71772967977</v>
      </c>
      <c r="G30" s="132">
        <f t="shared" ref="G30:O30" si="3">SUM(G28:G29)</f>
        <v>208596.96924603422</v>
      </c>
      <c r="H30" s="132">
        <f t="shared" si="3"/>
        <v>701511.24027541559</v>
      </c>
      <c r="I30" s="132">
        <f t="shared" si="3"/>
        <v>1105547.6594791687</v>
      </c>
      <c r="J30" s="132">
        <f t="shared" si="3"/>
        <v>1243749.7738683242</v>
      </c>
      <c r="K30" s="132">
        <f t="shared" si="3"/>
        <v>1380689.0820566115</v>
      </c>
      <c r="L30" s="132">
        <f t="shared" si="3"/>
        <v>1517666.9482787261</v>
      </c>
      <c r="M30" s="132">
        <f t="shared" si="3"/>
        <v>1655873.5012363708</v>
      </c>
      <c r="N30" s="132">
        <f t="shared" si="3"/>
        <v>1796407.7360158022</v>
      </c>
      <c r="O30" s="132">
        <f t="shared" si="3"/>
        <v>1940295.0930283517</v>
      </c>
      <c r="P30" s="321"/>
      <c r="Q30" s="123"/>
    </row>
    <row r="31" spans="1:17">
      <c r="A31" s="123"/>
      <c r="B31" s="123"/>
      <c r="C31" s="123"/>
      <c r="D31" s="123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321"/>
      <c r="Q31" s="123"/>
    </row>
    <row r="32" spans="1:17">
      <c r="A32" s="123"/>
      <c r="B32" s="123" t="s">
        <v>66</v>
      </c>
      <c r="C32" s="123"/>
      <c r="D32" s="123"/>
      <c r="E32" s="129"/>
      <c r="F32" s="129">
        <f>F26*-1</f>
        <v>546000</v>
      </c>
      <c r="G32" s="129">
        <f t="shared" ref="G32:O32" si="4">G26*-1</f>
        <v>469560.00000000006</v>
      </c>
      <c r="H32" s="129">
        <f t="shared" si="4"/>
        <v>403821.60000000003</v>
      </c>
      <c r="I32" s="129">
        <f t="shared" si="4"/>
        <v>347286.576</v>
      </c>
      <c r="J32" s="129">
        <f t="shared" si="4"/>
        <v>298666.45536000002</v>
      </c>
      <c r="K32" s="129">
        <f t="shared" si="4"/>
        <v>256853.15160960003</v>
      </c>
      <c r="L32" s="129">
        <f t="shared" si="4"/>
        <v>220893.710384256</v>
      </c>
      <c r="M32" s="129">
        <f t="shared" si="4"/>
        <v>189968.59093046014</v>
      </c>
      <c r="N32" s="129">
        <f t="shared" si="4"/>
        <v>163372.98820019574</v>
      </c>
      <c r="O32" s="129">
        <f t="shared" si="4"/>
        <v>140500.76985216836</v>
      </c>
      <c r="P32" s="321"/>
      <c r="Q32" s="123"/>
    </row>
    <row r="33" spans="1:17">
      <c r="A33" s="123"/>
      <c r="B33" s="123" t="s">
        <v>5</v>
      </c>
      <c r="C33" s="123"/>
      <c r="D33" s="123"/>
      <c r="E33" s="129">
        <f>E7*-1</f>
        <v>-3900000</v>
      </c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321"/>
      <c r="Q33" s="123"/>
    </row>
    <row r="34" spans="1:17">
      <c r="A34" s="123"/>
      <c r="B34" s="123"/>
      <c r="C34" s="123"/>
      <c r="D34" s="123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321"/>
      <c r="Q34" s="123"/>
    </row>
    <row r="35" spans="1:17" ht="17" thickBot="1">
      <c r="A35" s="123"/>
      <c r="B35" s="133" t="s">
        <v>6</v>
      </c>
      <c r="C35" s="133"/>
      <c r="D35" s="133"/>
      <c r="E35" s="134">
        <f>SUM(E30:E34)</f>
        <v>-3900000</v>
      </c>
      <c r="F35" s="134">
        <f t="shared" ref="F35:O35" si="5">SUM(F30:F34)</f>
        <v>80061.282270320226</v>
      </c>
      <c r="G35" s="134">
        <f t="shared" si="5"/>
        <v>678156.96924603428</v>
      </c>
      <c r="H35" s="134">
        <f t="shared" si="5"/>
        <v>1105332.8402754157</v>
      </c>
      <c r="I35" s="134">
        <f t="shared" si="5"/>
        <v>1452834.2354791686</v>
      </c>
      <c r="J35" s="134">
        <f t="shared" si="5"/>
        <v>1542416.2292283243</v>
      </c>
      <c r="K35" s="134">
        <f t="shared" si="5"/>
        <v>1637542.2336662116</v>
      </c>
      <c r="L35" s="134">
        <f t="shared" si="5"/>
        <v>1738560.6586629821</v>
      </c>
      <c r="M35" s="134">
        <f t="shared" si="5"/>
        <v>1845842.0921668308</v>
      </c>
      <c r="N35" s="134">
        <f t="shared" si="5"/>
        <v>1959780.7242159981</v>
      </c>
      <c r="O35" s="134">
        <f t="shared" si="5"/>
        <v>2080795.8628805201</v>
      </c>
      <c r="P35" s="251"/>
      <c r="Q35" s="123"/>
    </row>
    <row r="36" spans="1:17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317"/>
      <c r="Q36" s="123"/>
    </row>
    <row r="37" spans="1:17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317"/>
      <c r="Q37" s="123"/>
    </row>
    <row r="38" spans="1:17">
      <c r="A38" s="123"/>
      <c r="B38" s="123"/>
      <c r="C38" s="123"/>
      <c r="D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>
      <c r="A39" s="123"/>
      <c r="B39" s="248" t="s">
        <v>3</v>
      </c>
      <c r="C39" s="236">
        <v>8.3400000000000002E-2</v>
      </c>
      <c r="D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>
      <c r="A40" s="123"/>
      <c r="B40" s="248"/>
      <c r="C40" s="229"/>
      <c r="D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>
      <c r="A41" s="123"/>
      <c r="B41" s="10" t="s">
        <v>315</v>
      </c>
      <c r="C41" s="230">
        <f>NPV(C39,F35:G35)+E35</f>
        <v>-3248335.0464744982</v>
      </c>
      <c r="D41" s="123"/>
      <c r="H41" s="129"/>
      <c r="I41" s="123"/>
      <c r="J41" s="123"/>
      <c r="L41" s="129"/>
      <c r="M41" s="123"/>
      <c r="N41" s="123"/>
      <c r="O41" s="123"/>
      <c r="P41" s="123"/>
      <c r="Q41" s="123"/>
    </row>
    <row r="42" spans="1:17">
      <c r="A42" s="123"/>
      <c r="B42" s="248" t="s">
        <v>311</v>
      </c>
      <c r="C42" s="230">
        <f>NPV(C39,F35:J35)+E35</f>
        <v>-291213.17869451223</v>
      </c>
      <c r="D42" s="123"/>
      <c r="E42" s="279" t="s">
        <v>440</v>
      </c>
      <c r="F42" s="280"/>
      <c r="G42" s="283"/>
      <c r="H42" s="387" t="s">
        <v>445</v>
      </c>
      <c r="I42" s="129"/>
      <c r="J42" s="123"/>
      <c r="L42" s="129"/>
      <c r="M42" s="123"/>
      <c r="N42" s="123"/>
      <c r="O42" s="123"/>
      <c r="P42" s="123"/>
      <c r="Q42" s="123"/>
    </row>
    <row r="43" spans="1:17">
      <c r="A43" s="123"/>
      <c r="B43" s="248" t="s">
        <v>312</v>
      </c>
      <c r="C43" s="230">
        <f>NPV(C39,F35:O35)+E35</f>
        <v>4573302.4443974681</v>
      </c>
      <c r="D43" s="123"/>
      <c r="E43" s="281" t="s">
        <v>444</v>
      </c>
      <c r="F43" s="281"/>
      <c r="G43" s="281"/>
      <c r="H43" s="278">
        <f>NPV(C39,F35,G35,H35,I35,J35,(K35/365*105))+E35</f>
        <v>97.19931163219735</v>
      </c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>
      <c r="A44" s="123"/>
      <c r="B44" s="123"/>
      <c r="C44" s="129"/>
      <c r="D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>
      <c r="A45" s="123"/>
      <c r="B45" s="123"/>
      <c r="C45" s="123"/>
      <c r="D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>
      <c r="A46" s="123"/>
      <c r="B46" s="123"/>
      <c r="C46" s="123"/>
      <c r="D46" s="129"/>
      <c r="H46" s="136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>
      <c r="A47" s="388"/>
      <c r="B47" s="388"/>
      <c r="C47" s="388"/>
      <c r="D47" s="388"/>
      <c r="E47" s="386"/>
      <c r="F47" s="386"/>
      <c r="H47" s="136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>
      <c r="A48" s="388"/>
      <c r="B48" s="389"/>
      <c r="C48" s="390"/>
      <c r="D48" s="390"/>
      <c r="E48" s="386"/>
      <c r="F48" s="386"/>
      <c r="H48" s="136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>
      <c r="A49" s="388"/>
      <c r="B49" s="388"/>
      <c r="C49" s="388"/>
      <c r="D49" s="388"/>
      <c r="E49" s="386"/>
      <c r="F49" s="386"/>
      <c r="H49" s="136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>
      <c r="A50" s="388"/>
      <c r="B50" s="386"/>
      <c r="C50" s="388"/>
      <c r="D50" s="388"/>
      <c r="E50" s="386"/>
      <c r="F50" s="386"/>
      <c r="H50" s="136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>
      <c r="A51" s="388"/>
      <c r="B51" s="388"/>
      <c r="C51" s="388"/>
      <c r="D51" s="388"/>
      <c r="E51" s="386"/>
      <c r="F51" s="386"/>
      <c r="H51" s="136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>
      <c r="A52" s="388"/>
      <c r="B52" s="388"/>
      <c r="C52" s="388"/>
      <c r="D52" s="388"/>
      <c r="E52" s="388"/>
      <c r="F52" s="388"/>
      <c r="G52" s="136"/>
      <c r="H52" s="136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>
      <c r="A53" s="388"/>
      <c r="B53" s="388"/>
      <c r="C53" s="394"/>
      <c r="D53" s="394"/>
      <c r="E53" s="388"/>
      <c r="F53" s="388"/>
      <c r="G53" s="136"/>
      <c r="H53" s="136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>
      <c r="A54" s="388"/>
      <c r="B54" s="388"/>
      <c r="C54" s="391"/>
      <c r="D54" s="392"/>
      <c r="E54" s="388"/>
      <c r="F54" s="388"/>
      <c r="G54" s="136"/>
      <c r="H54" s="136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>
      <c r="A55" s="123"/>
      <c r="B55" s="123"/>
      <c r="C55" s="137"/>
      <c r="D55" s="138"/>
      <c r="E55" s="136"/>
      <c r="F55" s="136"/>
      <c r="G55" s="136"/>
      <c r="H55" s="136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>
      <c r="A56" s="123"/>
      <c r="B56" s="123"/>
      <c r="C56" s="136"/>
      <c r="D56" s="136"/>
      <c r="E56" s="136"/>
      <c r="F56" s="136"/>
      <c r="G56" s="136"/>
      <c r="H56" s="136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>
      <c r="A57" s="123"/>
      <c r="B57" s="123"/>
      <c r="C57" s="395"/>
      <c r="D57" s="395"/>
      <c r="E57" s="136"/>
      <c r="F57" s="136"/>
      <c r="G57" s="136"/>
      <c r="H57" s="136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>
      <c r="A58" s="123"/>
      <c r="B58" s="123"/>
      <c r="C58" s="137"/>
      <c r="D58" s="136"/>
      <c r="E58" s="136"/>
      <c r="F58" s="136"/>
      <c r="G58" s="136"/>
      <c r="H58" s="136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7">
      <c r="A59" s="123"/>
      <c r="B59" s="123"/>
      <c r="C59" s="137"/>
      <c r="D59" s="136"/>
      <c r="E59" s="136"/>
      <c r="F59" s="136"/>
      <c r="G59" s="136"/>
      <c r="H59" s="136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1:17">
      <c r="A60" s="123"/>
      <c r="B60" s="123"/>
      <c r="C60" s="136"/>
      <c r="D60" s="136"/>
      <c r="E60" s="136"/>
      <c r="F60" s="136"/>
      <c r="G60" s="136"/>
      <c r="H60" s="136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1:17">
      <c r="C61" s="6"/>
      <c r="D61" s="6"/>
      <c r="E61" s="6"/>
      <c r="F61" s="6"/>
      <c r="G61" s="6"/>
      <c r="H61" s="6"/>
    </row>
    <row r="62" spans="1:17">
      <c r="C62" s="6"/>
      <c r="D62" s="6"/>
      <c r="E62" s="6"/>
      <c r="F62" s="6"/>
      <c r="G62" s="6"/>
      <c r="H62" s="6"/>
    </row>
    <row r="63" spans="1:17">
      <c r="C63" s="6"/>
      <c r="D63" s="6"/>
      <c r="E63" s="6"/>
      <c r="F63" s="6"/>
      <c r="G63" s="6"/>
      <c r="H63" s="6"/>
    </row>
    <row r="64" spans="1:17">
      <c r="C64" s="6"/>
      <c r="D64" s="6"/>
      <c r="E64" s="6"/>
      <c r="F64" s="6"/>
      <c r="G64" s="6"/>
      <c r="H64" s="6"/>
    </row>
    <row r="65" spans="3:8">
      <c r="C65" s="6"/>
      <c r="D65" s="6"/>
      <c r="E65" s="6"/>
      <c r="F65" s="6"/>
      <c r="G65" s="6"/>
      <c r="H65" s="6"/>
    </row>
    <row r="66" spans="3:8">
      <c r="C66" s="6"/>
      <c r="D66" s="6"/>
      <c r="E66" s="6"/>
      <c r="F66" s="6"/>
      <c r="G66" s="6"/>
      <c r="H66" s="6"/>
    </row>
    <row r="67" spans="3:8">
      <c r="C67" s="6"/>
      <c r="D67" s="6"/>
      <c r="E67" s="6"/>
      <c r="F67" s="6"/>
      <c r="G67" s="6"/>
      <c r="H67" s="6"/>
    </row>
    <row r="68" spans="3:8">
      <c r="C68" s="6"/>
      <c r="D68" s="6"/>
      <c r="E68" s="6"/>
      <c r="F68" s="6"/>
      <c r="G68" s="6"/>
      <c r="H68" s="6"/>
    </row>
    <row r="69" spans="3:8">
      <c r="C69" s="6"/>
      <c r="D69" s="6"/>
      <c r="E69" s="6"/>
      <c r="F69" s="6"/>
      <c r="G69" s="6"/>
      <c r="H69" s="6"/>
    </row>
    <row r="70" spans="3:8">
      <c r="C70" s="6"/>
      <c r="D70" s="6"/>
      <c r="E70" s="6"/>
      <c r="F70" s="6"/>
      <c r="G70" s="6"/>
      <c r="H70" s="6"/>
    </row>
  </sheetData>
  <mergeCells count="2">
    <mergeCell ref="C53:D53"/>
    <mergeCell ref="C57:D5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B195C-1D8D-4546-A8B6-3E20607C3937}">
  <sheetPr>
    <tabColor theme="9" tint="0.79998168889431442"/>
  </sheetPr>
  <dimension ref="A1:K23"/>
  <sheetViews>
    <sheetView showGridLines="0" workbookViewId="0">
      <selection activeCell="O21" sqref="O21"/>
    </sheetView>
  </sheetViews>
  <sheetFormatPr baseColWidth="10" defaultRowHeight="16"/>
  <cols>
    <col min="4" max="4" width="15" bestFit="1" customWidth="1"/>
    <col min="5" max="6" width="16" bestFit="1" customWidth="1"/>
  </cols>
  <sheetData>
    <row r="1" spans="1:11">
      <c r="B1" t="s">
        <v>390</v>
      </c>
    </row>
    <row r="3" spans="1:11">
      <c r="B3" t="s">
        <v>29</v>
      </c>
      <c r="C3" s="4">
        <v>2.3E-2</v>
      </c>
    </row>
    <row r="4" spans="1:11">
      <c r="A4" s="123"/>
      <c r="B4" s="123"/>
      <c r="C4" s="123"/>
      <c r="D4" s="123"/>
      <c r="E4" s="123"/>
      <c r="F4" s="123"/>
      <c r="K4" t="s">
        <v>391</v>
      </c>
    </row>
    <row r="5" spans="1:11">
      <c r="A5" s="123"/>
      <c r="B5" s="55" t="s">
        <v>3</v>
      </c>
      <c r="C5" s="55"/>
      <c r="D5" s="66" t="s">
        <v>315</v>
      </c>
      <c r="E5" s="66" t="s">
        <v>311</v>
      </c>
      <c r="F5" s="66" t="s">
        <v>312</v>
      </c>
    </row>
    <row r="6" spans="1:11">
      <c r="A6" s="123"/>
      <c r="B6" s="396" t="s">
        <v>316</v>
      </c>
      <c r="C6" s="396"/>
    </row>
    <row r="7" spans="1:11">
      <c r="A7" s="123"/>
      <c r="B7" s="243">
        <v>0.05</v>
      </c>
      <c r="C7" s="53"/>
      <c r="D7" s="64">
        <v>2561681.9869961767</v>
      </c>
      <c r="E7" s="79">
        <v>13337323.028713945</v>
      </c>
      <c r="F7" s="64">
        <v>32297755.971866488</v>
      </c>
    </row>
    <row r="8" spans="1:11">
      <c r="A8" s="123"/>
      <c r="B8" s="309">
        <v>8.3400000000000002E-2</v>
      </c>
      <c r="C8" s="310"/>
      <c r="D8" s="324">
        <v>2258971.9268461242</v>
      </c>
      <c r="E8" s="325">
        <v>11766375.566362966</v>
      </c>
      <c r="F8" s="325">
        <v>26528091.725018904</v>
      </c>
    </row>
    <row r="9" spans="1:11">
      <c r="A9" s="123"/>
      <c r="B9" s="120">
        <v>0.15</v>
      </c>
      <c r="C9" s="13"/>
      <c r="D9" s="49">
        <v>1724759.4463348612</v>
      </c>
      <c r="E9" s="49">
        <v>9227909.3199847024</v>
      </c>
      <c r="F9" s="49">
        <v>18440461.005988982</v>
      </c>
    </row>
    <row r="10" spans="1:11">
      <c r="A10" s="123"/>
      <c r="B10" s="326" t="s">
        <v>403</v>
      </c>
      <c r="C10" s="327"/>
      <c r="D10" s="328">
        <v>0.47220989683684889</v>
      </c>
      <c r="E10" s="328">
        <v>0.88451576276678368</v>
      </c>
      <c r="F10" s="328">
        <v>0.93378079301606753</v>
      </c>
    </row>
    <row r="11" spans="1:11">
      <c r="A11" s="123"/>
      <c r="D11" s="47"/>
      <c r="E11" s="47"/>
      <c r="F11" s="47"/>
    </row>
    <row r="12" spans="1:11">
      <c r="A12" s="123"/>
      <c r="B12" s="396" t="s">
        <v>0</v>
      </c>
      <c r="C12" s="396"/>
      <c r="D12" s="47"/>
      <c r="E12" s="47"/>
      <c r="F12" s="47"/>
    </row>
    <row r="13" spans="1:11">
      <c r="A13" s="123"/>
      <c r="B13" s="243">
        <v>0.05</v>
      </c>
      <c r="C13" s="53"/>
      <c r="D13" s="7">
        <v>-2507773.6426966651</v>
      </c>
      <c r="E13" s="7">
        <v>1575000.6211116398</v>
      </c>
      <c r="F13" s="7">
        <v>8842292.1825072337</v>
      </c>
    </row>
    <row r="14" spans="1:11">
      <c r="A14" s="123"/>
      <c r="B14" s="309">
        <v>8.3400000000000002E-2</v>
      </c>
      <c r="C14" s="310"/>
      <c r="D14" s="311">
        <v>-2590013.7829764523</v>
      </c>
      <c r="E14" s="311">
        <v>1012024.3353120824</v>
      </c>
      <c r="F14" s="311">
        <v>6668699.9176977519</v>
      </c>
    </row>
    <row r="15" spans="1:11">
      <c r="A15" s="123"/>
      <c r="B15" s="120">
        <v>0.15</v>
      </c>
      <c r="C15" s="13"/>
      <c r="D15" s="7">
        <v>-2733318.9511123183</v>
      </c>
      <c r="E15" s="7">
        <v>109050.48094008304</v>
      </c>
      <c r="F15" s="7">
        <v>3637747.8595396169</v>
      </c>
    </row>
    <row r="16" spans="1:11">
      <c r="A16" s="123"/>
      <c r="B16" s="329" t="s">
        <v>403</v>
      </c>
      <c r="C16" s="327"/>
      <c r="D16" s="331">
        <v>-0.37971763794911728</v>
      </c>
      <c r="E16" s="331">
        <v>0.1594774419251348</v>
      </c>
      <c r="F16" s="331">
        <v>0.31039073168645093</v>
      </c>
    </row>
    <row r="17" spans="1:6">
      <c r="A17" s="123"/>
      <c r="B17" s="120"/>
      <c r="C17" s="13"/>
      <c r="D17" s="7"/>
      <c r="E17" s="7"/>
      <c r="F17" s="7"/>
    </row>
    <row r="18" spans="1:6">
      <c r="A18" s="123"/>
      <c r="B18" s="396" t="s">
        <v>7</v>
      </c>
      <c r="C18" s="396"/>
      <c r="D18" s="47"/>
      <c r="E18" s="47"/>
      <c r="F18" s="47"/>
    </row>
    <row r="19" spans="1:6">
      <c r="A19" s="123"/>
      <c r="B19" s="243">
        <v>0.05</v>
      </c>
      <c r="C19" s="53"/>
      <c r="D19" s="7">
        <v>-3208642.7976146298</v>
      </c>
      <c r="E19" s="7">
        <v>149959.06488394877</v>
      </c>
      <c r="F19" s="7">
        <v>6397539.7645633481</v>
      </c>
    </row>
    <row r="20" spans="1:6">
      <c r="B20" s="309">
        <v>8.3400000000000002E-2</v>
      </c>
      <c r="C20" s="310"/>
      <c r="D20" s="311">
        <v>-3248335.0464744982</v>
      </c>
      <c r="E20" s="311">
        <v>-291213.17869451223</v>
      </c>
      <c r="F20" s="311">
        <v>4573302.4443974681</v>
      </c>
    </row>
    <row r="21" spans="1:6">
      <c r="B21" s="120">
        <v>0.15</v>
      </c>
      <c r="D21" s="7">
        <v>-3317597.3959494121</v>
      </c>
      <c r="E21" s="7">
        <v>-993306.95646544686</v>
      </c>
      <c r="F21" s="7">
        <v>2043079.0521340072</v>
      </c>
    </row>
    <row r="22" spans="1:6">
      <c r="B22" s="329" t="s">
        <v>403</v>
      </c>
      <c r="C22" s="330"/>
      <c r="D22" s="331">
        <v>-0.57261254075135892</v>
      </c>
      <c r="E22" s="331">
        <v>6.077326878985656E-2</v>
      </c>
      <c r="F22" s="331">
        <v>0.24103192978942967</v>
      </c>
    </row>
    <row r="23" spans="1:6">
      <c r="B23" s="120"/>
      <c r="D23" s="7"/>
      <c r="E23" s="7"/>
      <c r="F23" s="7"/>
    </row>
  </sheetData>
  <mergeCells count="3">
    <mergeCell ref="B6:C6"/>
    <mergeCell ref="B12:C12"/>
    <mergeCell ref="B18:C18"/>
  </mergeCells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8BEA0-774F-3D4E-9B9F-DB0728B6943E}">
  <sheetPr>
    <tabColor theme="8"/>
  </sheetPr>
  <dimension ref="A1:AH117"/>
  <sheetViews>
    <sheetView showGridLines="0" topLeftCell="A60" zoomScaleNormal="111" workbookViewId="0">
      <selection activeCell="K25" sqref="K25"/>
    </sheetView>
  </sheetViews>
  <sheetFormatPr baseColWidth="10" defaultRowHeight="16"/>
  <cols>
    <col min="1" max="1" width="8" customWidth="1"/>
    <col min="2" max="2" width="2.83203125" customWidth="1"/>
    <col min="3" max="3" width="13.83203125" customWidth="1"/>
    <col min="4" max="4" width="13.5" customWidth="1"/>
    <col min="5" max="5" width="14.33203125" customWidth="1"/>
    <col min="6" max="6" width="14" customWidth="1"/>
    <col min="7" max="7" width="13.33203125" customWidth="1"/>
    <col min="8" max="9" width="13" customWidth="1"/>
    <col min="10" max="10" width="14.33203125" customWidth="1"/>
    <col min="11" max="11" width="14.83203125" customWidth="1"/>
    <col min="12" max="13" width="15.5" customWidth="1"/>
    <col min="14" max="14" width="16.5" customWidth="1"/>
    <col min="15" max="15" width="17" customWidth="1"/>
    <col min="16" max="16" width="14.6640625" customWidth="1"/>
    <col min="17" max="20" width="11.83203125" customWidth="1"/>
    <col min="21" max="21" width="7.6640625" customWidth="1"/>
    <col min="22" max="24" width="10.83203125" customWidth="1"/>
  </cols>
  <sheetData>
    <row r="1" spans="1:8" ht="19">
      <c r="A1" s="95" t="s">
        <v>350</v>
      </c>
      <c r="B1" s="95"/>
      <c r="C1" s="95"/>
      <c r="D1" s="11"/>
      <c r="E1" s="11"/>
      <c r="F1" s="11"/>
      <c r="G1" s="11"/>
      <c r="H1" s="11"/>
    </row>
    <row r="2" spans="1:8" ht="19">
      <c r="A2" s="95"/>
      <c r="B2" s="95"/>
      <c r="C2" s="95"/>
      <c r="D2" s="11"/>
      <c r="E2" s="11"/>
      <c r="F2" s="11"/>
      <c r="G2" s="11"/>
      <c r="H2" s="11"/>
    </row>
    <row r="3" spans="1:8">
      <c r="A3" t="s">
        <v>399</v>
      </c>
      <c r="F3" s="11"/>
      <c r="G3" s="11"/>
      <c r="H3" s="11"/>
    </row>
    <row r="4" spans="1:8">
      <c r="A4" s="96" t="s">
        <v>28</v>
      </c>
      <c r="B4" s="96"/>
      <c r="C4" s="88" t="s">
        <v>17</v>
      </c>
      <c r="D4" s="88" t="s">
        <v>338</v>
      </c>
      <c r="E4" s="88" t="s">
        <v>8</v>
      </c>
      <c r="F4" s="11"/>
      <c r="G4" s="11"/>
      <c r="H4" s="11"/>
    </row>
    <row r="5" spans="1:8">
      <c r="A5" s="115">
        <v>2020</v>
      </c>
      <c r="B5" s="115"/>
      <c r="C5" s="113">
        <v>345.25</v>
      </c>
      <c r="D5" s="113">
        <v>563.75</v>
      </c>
      <c r="E5" s="114">
        <v>615.27</v>
      </c>
      <c r="F5" s="11"/>
      <c r="G5" s="11"/>
      <c r="H5" s="11"/>
    </row>
    <row r="6" spans="1:8">
      <c r="A6" s="115">
        <v>2021</v>
      </c>
      <c r="B6" s="115"/>
      <c r="C6" s="114">
        <v>359.37224011346598</v>
      </c>
      <c r="D6" s="114">
        <v>586.80984899048894</v>
      </c>
      <c r="E6" s="114">
        <v>640.43724308359754</v>
      </c>
      <c r="F6" s="11"/>
      <c r="G6" s="11"/>
      <c r="H6" s="11"/>
    </row>
    <row r="7" spans="1:8">
      <c r="A7" s="115">
        <v>2022</v>
      </c>
      <c r="B7" s="115"/>
      <c r="C7" s="114">
        <v>371.30252074811835</v>
      </c>
      <c r="D7" s="114">
        <v>606.29050274222072</v>
      </c>
      <c r="E7" s="114">
        <v>661.69819533872487</v>
      </c>
      <c r="F7" s="11"/>
      <c r="G7" s="11"/>
      <c r="H7" s="11"/>
    </row>
    <row r="8" spans="1:8">
      <c r="A8" s="115">
        <v>2023</v>
      </c>
      <c r="B8" s="115"/>
      <c r="C8" s="114">
        <v>380.04991421723884</v>
      </c>
      <c r="D8" s="114">
        <v>620.57390047782292</v>
      </c>
      <c r="E8" s="114">
        <v>677.28692460663433</v>
      </c>
      <c r="F8" s="11"/>
      <c r="G8" s="11"/>
      <c r="H8" s="11"/>
    </row>
    <row r="9" spans="1:8" s="62" customFormat="1" ht="14">
      <c r="A9" s="115">
        <v>2024</v>
      </c>
      <c r="B9" s="115"/>
      <c r="C9" s="114">
        <v>389.61739768471574</v>
      </c>
      <c r="D9" s="114">
        <v>636.19640244680227</v>
      </c>
      <c r="E9" s="114">
        <v>694.33713620123103</v>
      </c>
    </row>
    <row r="10" spans="1:8" s="62" customFormat="1" ht="14">
      <c r="A10" s="115">
        <v>2025</v>
      </c>
      <c r="B10" s="115"/>
      <c r="C10" s="114">
        <v>399.47338180872345</v>
      </c>
      <c r="D10" s="114">
        <v>652.28998984697409</v>
      </c>
      <c r="E10" s="114">
        <v>711.90148479494053</v>
      </c>
    </row>
    <row r="11" spans="1:8" s="62" customFormat="1" ht="14">
      <c r="A11" s="115">
        <v>2026</v>
      </c>
      <c r="B11" s="115"/>
      <c r="C11" s="114">
        <v>409.31326217575213</v>
      </c>
      <c r="D11" s="114">
        <v>668.35728182934179</v>
      </c>
      <c r="E11" s="114">
        <v>729.43713488450385</v>
      </c>
    </row>
    <row r="12" spans="1:8" s="62" customFormat="1" ht="14">
      <c r="A12" s="115">
        <v>2027</v>
      </c>
      <c r="B12" s="115"/>
      <c r="C12" s="114">
        <v>418.0721124536127</v>
      </c>
      <c r="D12" s="114">
        <v>682.65938709840452</v>
      </c>
      <c r="E12" s="114">
        <v>745.04628133043946</v>
      </c>
    </row>
    <row r="13" spans="1:8" s="11" customFormat="1" ht="15">
      <c r="A13" s="115">
        <v>2028</v>
      </c>
      <c r="B13" s="115"/>
      <c r="C13" s="114">
        <v>428.10550475000326</v>
      </c>
      <c r="D13" s="114">
        <v>699.04265981988226</v>
      </c>
      <c r="E13" s="114">
        <v>762.9267890153061</v>
      </c>
    </row>
    <row r="14" spans="1:8" s="11" customFormat="1" ht="15">
      <c r="A14" s="115">
        <v>2029</v>
      </c>
      <c r="B14" s="115"/>
      <c r="C14" s="114">
        <v>438.19017767760772</v>
      </c>
      <c r="D14" s="114">
        <v>715.50966738812849</v>
      </c>
      <c r="E14" s="114">
        <v>780.89868390934578</v>
      </c>
    </row>
    <row r="15" spans="1:8" s="11" customFormat="1" ht="15">
      <c r="A15" s="115"/>
      <c r="B15" s="115"/>
      <c r="C15" s="114"/>
      <c r="D15" s="114"/>
      <c r="E15" s="114"/>
    </row>
    <row r="16" spans="1:8" s="11" customFormat="1" ht="15"/>
    <row r="17" spans="1:13" s="147" customFormat="1">
      <c r="A17" s="144" t="s">
        <v>302</v>
      </c>
      <c r="B17" s="144"/>
      <c r="C17" s="145"/>
      <c r="D17" s="145"/>
      <c r="E17" s="145"/>
      <c r="F17" s="145"/>
      <c r="G17" s="145"/>
      <c r="H17" s="145"/>
    </row>
    <row r="18" spans="1:13" s="6" customFormat="1">
      <c r="A18" s="62" t="s">
        <v>343</v>
      </c>
      <c r="B18" s="62"/>
      <c r="C18" s="107"/>
      <c r="D18" s="168">
        <f>Hovedmodell!E14</f>
        <v>2.3E-2</v>
      </c>
      <c r="E18" s="80"/>
      <c r="F18" s="80"/>
      <c r="G18" s="80"/>
      <c r="H18" s="80"/>
    </row>
    <row r="19" spans="1:13">
      <c r="A19" s="62" t="s">
        <v>2</v>
      </c>
      <c r="B19" s="62"/>
      <c r="C19" s="62"/>
      <c r="D19" s="168">
        <v>1.4999999999999999E-2</v>
      </c>
      <c r="E19" s="11"/>
      <c r="F19" s="11"/>
      <c r="G19" s="11"/>
      <c r="H19" s="11"/>
    </row>
    <row r="20" spans="1:13">
      <c r="A20" s="62" t="s">
        <v>358</v>
      </c>
      <c r="B20" s="62"/>
      <c r="C20" s="62"/>
      <c r="D20" s="163">
        <v>227</v>
      </c>
      <c r="F20" s="11" t="s">
        <v>454</v>
      </c>
      <c r="G20" s="11"/>
      <c r="H20" s="11"/>
      <c r="I20" s="101"/>
      <c r="J20" s="74"/>
    </row>
    <row r="21" spans="1:13">
      <c r="A21" s="62"/>
      <c r="B21" s="62"/>
      <c r="C21" s="62"/>
      <c r="D21" s="163"/>
      <c r="F21" s="11" t="s">
        <v>455</v>
      </c>
      <c r="G21" s="11"/>
      <c r="H21" s="11"/>
      <c r="I21" s="101"/>
      <c r="J21" s="74"/>
    </row>
    <row r="22" spans="1:13">
      <c r="A22" s="62"/>
      <c r="B22" s="62"/>
      <c r="C22" s="62"/>
      <c r="D22" s="163"/>
      <c r="E22" s="11"/>
      <c r="F22" s="11"/>
      <c r="G22" s="11"/>
      <c r="I22" s="74"/>
    </row>
    <row r="23" spans="1:13" ht="16" customHeight="1">
      <c r="A23" s="65"/>
      <c r="B23" s="65"/>
      <c r="C23" s="398" t="s">
        <v>67</v>
      </c>
      <c r="D23" s="398" t="s">
        <v>340</v>
      </c>
      <c r="E23" s="398" t="s">
        <v>341</v>
      </c>
      <c r="F23" s="399" t="s">
        <v>68</v>
      </c>
      <c r="H23" s="11"/>
    </row>
    <row r="24" spans="1:13">
      <c r="A24" s="108" t="s">
        <v>28</v>
      </c>
      <c r="B24" s="108"/>
      <c r="C24" s="398"/>
      <c r="D24" s="398"/>
      <c r="E24" s="398"/>
      <c r="F24" s="399"/>
      <c r="H24" s="62"/>
      <c r="I24" s="62"/>
    </row>
    <row r="25" spans="1:13">
      <c r="A25" s="92">
        <v>2020</v>
      </c>
      <c r="B25" s="191">
        <v>1</v>
      </c>
      <c r="C25" s="85">
        <v>70.599999999999994</v>
      </c>
      <c r="D25" s="85">
        <v>202</v>
      </c>
      <c r="E25" s="153">
        <f>D25*C25</f>
        <v>14261.199999999999</v>
      </c>
      <c r="F25" s="86">
        <f>E25*C5*(1+$D$19)^B25</f>
        <v>4997534.4894999992</v>
      </c>
      <c r="H25" s="62"/>
      <c r="I25" s="62"/>
    </row>
    <row r="26" spans="1:13">
      <c r="A26" s="92">
        <v>2021</v>
      </c>
      <c r="B26" s="191">
        <v>2</v>
      </c>
      <c r="C26" s="85">
        <v>70.599999999999994</v>
      </c>
      <c r="D26" s="153">
        <f>D20*(1+$D$18)</f>
        <v>232.22099999999998</v>
      </c>
      <c r="E26" s="153">
        <f t="shared" ref="E26:E34" si="0">D26*C26</f>
        <v>16394.802599999995</v>
      </c>
      <c r="F26" s="86">
        <f>E26*C6*(1+$D$19)^B26</f>
        <v>6069917.7079882063</v>
      </c>
      <c r="H26" s="62"/>
      <c r="I26" s="62"/>
    </row>
    <row r="27" spans="1:13">
      <c r="A27" s="92">
        <v>2022</v>
      </c>
      <c r="B27" s="191">
        <v>3</v>
      </c>
      <c r="C27" s="85">
        <v>70.599999999999994</v>
      </c>
      <c r="D27" s="153">
        <f t="shared" ref="D27:D34" si="1">D26*(1+$D$18)</f>
        <v>237.56208299999994</v>
      </c>
      <c r="E27" s="153">
        <f t="shared" si="0"/>
        <v>16771.883059799995</v>
      </c>
      <c r="F27" s="86">
        <f>E27*C7*(1+$D$19)^B27</f>
        <v>6511901.9096745458</v>
      </c>
      <c r="H27" s="62"/>
      <c r="I27" s="62"/>
    </row>
    <row r="28" spans="1:13">
      <c r="A28" s="92">
        <v>2023</v>
      </c>
      <c r="B28" s="191">
        <v>4</v>
      </c>
      <c r="C28" s="85">
        <v>70.599999999999994</v>
      </c>
      <c r="D28" s="153">
        <f t="shared" si="1"/>
        <v>243.02601090899992</v>
      </c>
      <c r="E28" s="153">
        <f t="shared" si="0"/>
        <v>17157.636370175394</v>
      </c>
      <c r="F28" s="86">
        <f>E28*C8*(1+$D$19)^B28</f>
        <v>6920895.1084559606</v>
      </c>
      <c r="H28" s="62"/>
      <c r="I28" s="62"/>
      <c r="L28" s="7"/>
    </row>
    <row r="29" spans="1:13">
      <c r="A29" s="92">
        <v>2024</v>
      </c>
      <c r="B29" s="191">
        <v>5</v>
      </c>
      <c r="C29" s="85">
        <v>70.599999999999994</v>
      </c>
      <c r="D29" s="153">
        <f t="shared" si="1"/>
        <v>248.61560915990691</v>
      </c>
      <c r="E29" s="153">
        <f t="shared" si="0"/>
        <v>17552.262006689427</v>
      </c>
      <c r="F29" s="86">
        <f>E29*C9*(1+$D$19)^B29</f>
        <v>7367186.1862007473</v>
      </c>
      <c r="H29" s="62"/>
      <c r="I29" s="62"/>
      <c r="M29" s="7"/>
    </row>
    <row r="30" spans="1:13">
      <c r="A30" s="92">
        <v>2025</v>
      </c>
      <c r="B30" s="191">
        <v>6</v>
      </c>
      <c r="C30" s="85">
        <v>70.599999999999994</v>
      </c>
      <c r="D30" s="153">
        <f t="shared" si="1"/>
        <v>254.33376817058473</v>
      </c>
      <c r="E30" s="153">
        <f t="shared" si="0"/>
        <v>17955.96403284328</v>
      </c>
      <c r="F30" s="86">
        <f>E30*C10*(1+$D$19)^B30</f>
        <v>7843191.636776818</v>
      </c>
      <c r="H30" s="62"/>
      <c r="I30" s="62"/>
      <c r="M30" s="7"/>
    </row>
    <row r="31" spans="1:13">
      <c r="A31" s="92">
        <v>2026</v>
      </c>
      <c r="B31" s="191">
        <v>7</v>
      </c>
      <c r="C31" s="85">
        <v>70.599999999999994</v>
      </c>
      <c r="D31" s="153">
        <f t="shared" si="1"/>
        <v>260.18344483850814</v>
      </c>
      <c r="E31" s="153">
        <f t="shared" si="0"/>
        <v>18368.951205598674</v>
      </c>
      <c r="F31" s="86">
        <f>E31*C11*(1+$D$19)^B31</f>
        <v>8344541.381749684</v>
      </c>
      <c r="H31" s="62"/>
      <c r="I31" s="62"/>
    </row>
    <row r="32" spans="1:13">
      <c r="A32" s="92">
        <v>2027</v>
      </c>
      <c r="B32" s="191">
        <v>8</v>
      </c>
      <c r="C32" s="85">
        <v>70.599999999999994</v>
      </c>
      <c r="D32" s="153">
        <f t="shared" si="1"/>
        <v>266.16766406979377</v>
      </c>
      <c r="E32" s="153">
        <f t="shared" si="0"/>
        <v>18791.437083327441</v>
      </c>
      <c r="F32" s="86">
        <f>E32*C12*(1+$D$19)^B32</f>
        <v>8849923.7948347535</v>
      </c>
      <c r="H32" s="62"/>
      <c r="I32" s="62"/>
    </row>
    <row r="33" spans="1:34">
      <c r="A33" s="92">
        <v>2028</v>
      </c>
      <c r="B33" s="191">
        <v>9</v>
      </c>
      <c r="C33" s="85">
        <v>70.599999999999994</v>
      </c>
      <c r="D33" s="153">
        <f t="shared" si="1"/>
        <v>272.28952034339903</v>
      </c>
      <c r="E33" s="153">
        <f t="shared" si="0"/>
        <v>19223.640136243972</v>
      </c>
      <c r="F33" s="86">
        <f>E33*C13*(1+$D$19)^B33</f>
        <v>9409809.2635670323</v>
      </c>
      <c r="H33" s="62"/>
      <c r="I33" s="62"/>
    </row>
    <row r="34" spans="1:34">
      <c r="A34" s="92">
        <v>2029</v>
      </c>
      <c r="B34" s="191">
        <v>10</v>
      </c>
      <c r="C34" s="85">
        <v>70.599999999999994</v>
      </c>
      <c r="D34" s="153">
        <f t="shared" si="1"/>
        <v>278.55217931129721</v>
      </c>
      <c r="E34" s="153">
        <f t="shared" si="0"/>
        <v>19665.783859377581</v>
      </c>
      <c r="F34" s="86">
        <f>E34*C14*(1+$D$19)^B34</f>
        <v>10000790.335599607</v>
      </c>
      <c r="H34" s="62"/>
      <c r="I34" s="62"/>
    </row>
    <row r="35" spans="1:34">
      <c r="A35" s="92"/>
      <c r="B35" s="191"/>
      <c r="C35" s="85"/>
      <c r="D35" s="153"/>
      <c r="E35" s="153"/>
      <c r="F35" s="86"/>
      <c r="H35" s="62"/>
      <c r="I35" s="62"/>
    </row>
    <row r="36" spans="1:34" ht="19">
      <c r="A36" s="95"/>
      <c r="B36" s="95"/>
      <c r="C36" s="95"/>
      <c r="D36" s="11"/>
      <c r="E36" s="11"/>
      <c r="F36" s="11"/>
      <c r="G36" s="11"/>
      <c r="H36" s="11"/>
    </row>
    <row r="37" spans="1:34">
      <c r="A37" s="11"/>
      <c r="B37" s="11"/>
      <c r="C37" s="11"/>
      <c r="D37" s="11"/>
      <c r="E37" s="11"/>
      <c r="F37" s="11"/>
      <c r="G37" s="11"/>
      <c r="W37" s="110"/>
      <c r="X37" s="64"/>
    </row>
    <row r="38" spans="1:34" s="147" customFormat="1">
      <c r="A38" s="144" t="s">
        <v>59</v>
      </c>
      <c r="B38" s="144"/>
      <c r="C38" s="146"/>
      <c r="D38" s="146"/>
      <c r="E38" s="146"/>
      <c r="F38" s="146"/>
      <c r="G38" s="150"/>
      <c r="W38" s="148"/>
      <c r="X38" s="148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</row>
    <row r="39" spans="1:34" ht="16" customHeight="1">
      <c r="A39" s="90" t="s">
        <v>343</v>
      </c>
      <c r="B39" s="90"/>
      <c r="C39" s="169"/>
      <c r="D39" s="170">
        <f>D18</f>
        <v>2.3E-2</v>
      </c>
      <c r="E39" s="171"/>
      <c r="F39" s="159"/>
      <c r="G39" s="81"/>
      <c r="W39" s="109"/>
      <c r="X39" s="109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1:34" ht="16" customHeight="1">
      <c r="A40" s="90" t="s">
        <v>308</v>
      </c>
      <c r="B40" s="90"/>
      <c r="C40" s="169"/>
      <c r="D40" s="170">
        <v>6.3E-2</v>
      </c>
      <c r="E40" s="400"/>
      <c r="F40" s="400"/>
      <c r="G40" s="81"/>
      <c r="W40" s="109"/>
      <c r="X40" s="109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1:34" ht="16" customHeight="1">
      <c r="A41" s="90" t="s">
        <v>307</v>
      </c>
      <c r="B41" s="90"/>
      <c r="C41" s="169"/>
      <c r="D41" s="170">
        <v>0.93700000000000006</v>
      </c>
      <c r="E41" s="400"/>
      <c r="F41" s="400"/>
      <c r="G41" s="81"/>
      <c r="W41" s="109"/>
      <c r="X41" s="109"/>
      <c r="Y41" s="13"/>
      <c r="Z41" s="13"/>
      <c r="AA41" s="13"/>
      <c r="AB41" s="13"/>
      <c r="AC41" s="13"/>
      <c r="AD41" s="13"/>
      <c r="AE41" s="13"/>
      <c r="AF41" s="13"/>
      <c r="AG41" s="13"/>
      <c r="AH41" s="13"/>
    </row>
    <row r="42" spans="1:34" ht="16" customHeight="1">
      <c r="A42" s="90" t="s">
        <v>2</v>
      </c>
      <c r="B42" s="90"/>
      <c r="C42" s="169"/>
      <c r="D42" s="170">
        <v>1.4999999999999999E-2</v>
      </c>
      <c r="E42" s="172"/>
      <c r="F42" s="172"/>
      <c r="G42" s="81"/>
      <c r="W42" s="109"/>
      <c r="X42" s="109"/>
      <c r="Y42" s="13"/>
      <c r="Z42" s="13"/>
      <c r="AA42" s="13"/>
      <c r="AB42" s="13"/>
      <c r="AC42" s="13"/>
      <c r="AD42" s="13"/>
      <c r="AE42" s="13"/>
      <c r="AF42" s="13"/>
      <c r="AG42" s="13"/>
      <c r="AH42" s="13"/>
    </row>
    <row r="43" spans="1:34" ht="16" customHeight="1">
      <c r="A43" s="83"/>
      <c r="B43" s="83"/>
      <c r="C43" s="156"/>
      <c r="D43" s="112"/>
      <c r="E43" s="112"/>
      <c r="F43" s="112"/>
      <c r="G43" s="81"/>
      <c r="W43" s="109"/>
      <c r="X43" s="109"/>
      <c r="Y43" s="13"/>
      <c r="Z43" s="13"/>
      <c r="AA43" s="13"/>
      <c r="AB43" s="13"/>
      <c r="AC43" s="13"/>
      <c r="AD43" s="13"/>
      <c r="AE43" s="13"/>
      <c r="AF43" s="13"/>
      <c r="AG43" s="13"/>
      <c r="AH43" s="13"/>
    </row>
    <row r="44" spans="1:34" ht="16" customHeight="1">
      <c r="A44" s="160"/>
      <c r="B44" s="160"/>
      <c r="C44" s="398" t="s">
        <v>67</v>
      </c>
      <c r="D44" s="398" t="s">
        <v>340</v>
      </c>
      <c r="E44" s="399" t="s">
        <v>347</v>
      </c>
      <c r="F44" s="399" t="s">
        <v>342</v>
      </c>
      <c r="G44" s="399" t="s">
        <v>348</v>
      </c>
      <c r="H44" s="399" t="s">
        <v>344</v>
      </c>
      <c r="I44" s="399" t="s">
        <v>349</v>
      </c>
      <c r="J44" s="399" t="s">
        <v>345</v>
      </c>
      <c r="K44" s="399" t="s">
        <v>346</v>
      </c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</row>
    <row r="45" spans="1:34">
      <c r="A45" s="108" t="s">
        <v>28</v>
      </c>
      <c r="B45" s="108"/>
      <c r="C45" s="398"/>
      <c r="D45" s="398"/>
      <c r="E45" s="399"/>
      <c r="F45" s="399"/>
      <c r="G45" s="399"/>
      <c r="H45" s="399"/>
      <c r="I45" s="399"/>
      <c r="J45" s="399"/>
      <c r="K45" s="399"/>
      <c r="W45" s="48"/>
      <c r="X45" s="48"/>
      <c r="Y45" s="48"/>
      <c r="Z45" s="48"/>
      <c r="AA45" s="48"/>
      <c r="AB45" s="48"/>
      <c r="AC45" s="48"/>
      <c r="AD45" s="48"/>
      <c r="AE45" s="13"/>
      <c r="AF45" s="13"/>
      <c r="AG45" s="13"/>
      <c r="AH45" s="13"/>
    </row>
    <row r="46" spans="1:34">
      <c r="A46" s="92">
        <v>2020</v>
      </c>
      <c r="B46" s="191">
        <v>1</v>
      </c>
      <c r="C46" s="85">
        <v>70.599999999999994</v>
      </c>
      <c r="D46" s="153">
        <f>227</f>
        <v>227</v>
      </c>
      <c r="E46" s="153">
        <f>D46*$D$40</f>
        <v>14.301</v>
      </c>
      <c r="F46" s="153">
        <f>D46*$D$41</f>
        <v>212.69900000000001</v>
      </c>
      <c r="G46" s="153">
        <f>C46*F46</f>
        <v>15016.5494</v>
      </c>
      <c r="H46" s="86">
        <f>G46*D5*(1+$D$42)^B46</f>
        <v>8592563.4201137498</v>
      </c>
      <c r="I46" s="153">
        <f>C46*E46</f>
        <v>1009.6505999999999</v>
      </c>
      <c r="J46" s="166">
        <f>I46*E5*(1+$D$42)^B46</f>
        <v>630525.84053192986</v>
      </c>
      <c r="K46" s="167">
        <f>H46+J46</f>
        <v>9223089.2606456801</v>
      </c>
      <c r="W46" s="48"/>
      <c r="X46" s="48"/>
      <c r="Y46" s="48"/>
      <c r="Z46" s="48"/>
      <c r="AA46" s="48"/>
      <c r="AB46" s="48"/>
      <c r="AC46" s="48"/>
      <c r="AD46" s="48"/>
      <c r="AE46" s="13"/>
      <c r="AF46" s="13"/>
      <c r="AG46" s="13"/>
      <c r="AH46" s="13"/>
    </row>
    <row r="47" spans="1:34" ht="16" customHeight="1">
      <c r="A47" s="92">
        <v>2021</v>
      </c>
      <c r="B47" s="192">
        <v>2</v>
      </c>
      <c r="C47" s="85">
        <v>70.599999999999994</v>
      </c>
      <c r="D47" s="153">
        <f>D46*(1+$D$39)</f>
        <v>232.22099999999998</v>
      </c>
      <c r="E47" s="153">
        <f t="shared" ref="E47:E55" si="2">D47*$D$40</f>
        <v>14.629922999999998</v>
      </c>
      <c r="F47" s="153">
        <f t="shared" ref="F47:F55" si="3">D47*$D$41</f>
        <v>217.59107699999998</v>
      </c>
      <c r="G47" s="153">
        <f t="shared" ref="G47:G55" si="4">C47*F47</f>
        <v>15361.930036199998</v>
      </c>
      <c r="H47" s="86">
        <f>G47*D6*(1+$D$42)^B47</f>
        <v>9286996.0697523914</v>
      </c>
      <c r="I47" s="153">
        <f>C47*E47</f>
        <v>1032.8725637999999</v>
      </c>
      <c r="J47" s="166">
        <f>I47*E6*(1+$D$42)^B47</f>
        <v>681483.59419613541</v>
      </c>
      <c r="K47" s="167">
        <f t="shared" ref="K47:K55" si="5">H47+J47</f>
        <v>9968479.6639485266</v>
      </c>
      <c r="O47" s="6"/>
      <c r="P47" s="6"/>
      <c r="W47" s="51"/>
      <c r="X47" s="111"/>
      <c r="Y47" s="111"/>
      <c r="Z47" s="111"/>
      <c r="AA47" s="111"/>
      <c r="AB47" s="111"/>
      <c r="AC47" s="48"/>
      <c r="AD47" s="48"/>
      <c r="AE47" s="13"/>
      <c r="AF47" s="13"/>
      <c r="AG47" s="13"/>
      <c r="AH47" s="13"/>
    </row>
    <row r="48" spans="1:34">
      <c r="A48" s="92">
        <v>2022</v>
      </c>
      <c r="B48" s="192">
        <v>3</v>
      </c>
      <c r="C48" s="85">
        <v>70.599999999999994</v>
      </c>
      <c r="D48" s="153">
        <f t="shared" ref="D48:D55" si="6">D47*(1+$D$39)</f>
        <v>237.56208299999994</v>
      </c>
      <c r="E48" s="153">
        <f t="shared" si="2"/>
        <v>14.966411228999997</v>
      </c>
      <c r="F48" s="153">
        <f t="shared" si="3"/>
        <v>222.59567177099996</v>
      </c>
      <c r="G48" s="153">
        <f t="shared" si="4"/>
        <v>15715.254427032596</v>
      </c>
      <c r="H48" s="86">
        <f>G48*D7*(1+$D$42)^B48</f>
        <v>9963233.4985649418</v>
      </c>
      <c r="I48" s="153">
        <f t="shared" ref="I48:I55" si="7">C48*E48</f>
        <v>1056.6286327673997</v>
      </c>
      <c r="J48" s="166">
        <f>I48*E7*(1+$D$42)^B48</f>
        <v>731106.17506683222</v>
      </c>
      <c r="K48" s="167">
        <f t="shared" si="5"/>
        <v>10694339.673631774</v>
      </c>
      <c r="O48" s="6"/>
      <c r="P48" s="6"/>
      <c r="W48" s="51"/>
      <c r="X48" s="111"/>
      <c r="Y48" s="111"/>
      <c r="Z48" s="111"/>
      <c r="AA48" s="111"/>
      <c r="AB48" s="111"/>
      <c r="AC48" s="48"/>
      <c r="AD48" s="48"/>
      <c r="AE48" s="13"/>
      <c r="AF48" s="13"/>
      <c r="AG48" s="13"/>
      <c r="AH48" s="13"/>
    </row>
    <row r="49" spans="1:34" ht="16" customHeight="1">
      <c r="A49" s="92">
        <v>2023</v>
      </c>
      <c r="B49" s="191">
        <v>4</v>
      </c>
      <c r="C49" s="85">
        <v>70.599999999999994</v>
      </c>
      <c r="D49" s="153">
        <f t="shared" si="6"/>
        <v>243.02601090899992</v>
      </c>
      <c r="E49" s="153">
        <f t="shared" si="2"/>
        <v>15.310638687266994</v>
      </c>
      <c r="F49" s="153">
        <f t="shared" si="3"/>
        <v>227.71537222173293</v>
      </c>
      <c r="G49" s="153">
        <f t="shared" si="4"/>
        <v>16076.705278854344</v>
      </c>
      <c r="H49" s="86">
        <f>G49*D8*(1+$D$42)^B49</f>
        <v>10588994.573486889</v>
      </c>
      <c r="I49" s="153">
        <f t="shared" si="7"/>
        <v>1080.9310913210497</v>
      </c>
      <c r="J49" s="166">
        <f>I49*E8*(1+$D$42)^B49</f>
        <v>777024.78031258786</v>
      </c>
      <c r="K49" s="167">
        <f t="shared" si="5"/>
        <v>11366019.353799477</v>
      </c>
      <c r="O49" s="397"/>
      <c r="P49" s="6"/>
      <c r="W49" s="48"/>
      <c r="X49" s="48"/>
      <c r="Y49" s="48"/>
      <c r="Z49" s="48"/>
      <c r="AA49" s="48"/>
      <c r="AB49" s="50"/>
      <c r="AC49" s="48"/>
      <c r="AD49" s="48"/>
      <c r="AE49" s="13"/>
      <c r="AF49" s="13"/>
      <c r="AG49" s="13"/>
      <c r="AH49" s="13"/>
    </row>
    <row r="50" spans="1:34" ht="16" customHeight="1">
      <c r="A50" s="92">
        <v>2024</v>
      </c>
      <c r="B50" s="192">
        <v>5</v>
      </c>
      <c r="C50" s="85">
        <v>70.599999999999994</v>
      </c>
      <c r="D50" s="153">
        <f t="shared" si="6"/>
        <v>248.61560915990691</v>
      </c>
      <c r="E50" s="153">
        <f t="shared" si="2"/>
        <v>15.662783377074135</v>
      </c>
      <c r="F50" s="153">
        <f t="shared" si="3"/>
        <v>232.95282578283278</v>
      </c>
      <c r="G50" s="153">
        <f t="shared" si="4"/>
        <v>16446.469500267991</v>
      </c>
      <c r="H50" s="86">
        <f>G50*D9*(1+$D$42)^B50</f>
        <v>11271821.538262181</v>
      </c>
      <c r="I50" s="153">
        <f t="shared" si="7"/>
        <v>1105.7925064214339</v>
      </c>
      <c r="J50" s="166">
        <f>I50*E9*(1+$D$42)^B50</f>
        <v>827130.9040445335</v>
      </c>
      <c r="K50" s="167">
        <f t="shared" si="5"/>
        <v>12098952.442306714</v>
      </c>
      <c r="O50" s="397"/>
      <c r="P50" s="6"/>
    </row>
    <row r="51" spans="1:34">
      <c r="A51" s="92">
        <v>2025</v>
      </c>
      <c r="B51" s="192">
        <v>6</v>
      </c>
      <c r="C51" s="85">
        <v>70.599999999999994</v>
      </c>
      <c r="D51" s="153">
        <f t="shared" si="6"/>
        <v>254.33376817058473</v>
      </c>
      <c r="E51" s="153">
        <f t="shared" si="2"/>
        <v>16.023027394746837</v>
      </c>
      <c r="F51" s="153">
        <f t="shared" si="3"/>
        <v>238.3107407758379</v>
      </c>
      <c r="G51" s="153">
        <f t="shared" si="4"/>
        <v>16824.738298774155</v>
      </c>
      <c r="H51" s="86">
        <f>G51*D10*(1+$D$42)^B51</f>
        <v>12000111.601052154</v>
      </c>
      <c r="I51" s="153">
        <f t="shared" si="7"/>
        <v>1131.2257340691267</v>
      </c>
      <c r="J51" s="166">
        <f>I51*E10*(1+$D$42)^B51</f>
        <v>880573.12862175051</v>
      </c>
      <c r="K51" s="167">
        <f t="shared" si="5"/>
        <v>12880684.729673903</v>
      </c>
      <c r="O51" s="78"/>
      <c r="P51" s="6"/>
    </row>
    <row r="52" spans="1:34">
      <c r="A52" s="92">
        <v>2026</v>
      </c>
      <c r="B52" s="191">
        <v>7</v>
      </c>
      <c r="C52" s="85">
        <v>70.599999999999994</v>
      </c>
      <c r="D52" s="153">
        <f t="shared" si="6"/>
        <v>260.18344483850814</v>
      </c>
      <c r="E52" s="153">
        <f t="shared" si="2"/>
        <v>16.391557024826014</v>
      </c>
      <c r="F52" s="153">
        <f t="shared" si="3"/>
        <v>243.79188781368214</v>
      </c>
      <c r="G52" s="153">
        <f t="shared" si="4"/>
        <v>17211.707279645958</v>
      </c>
      <c r="H52" s="86">
        <f>G52*D11*(1+$D$42)^B52</f>
        <v>12767178.526029883</v>
      </c>
      <c r="I52" s="153">
        <f t="shared" si="7"/>
        <v>1157.2439259527164</v>
      </c>
      <c r="J52" s="166">
        <f>I52*E11*(1+$D$42)^B52</f>
        <v>936860.81530715409</v>
      </c>
      <c r="K52" s="167">
        <f t="shared" si="5"/>
        <v>13704039.341337036</v>
      </c>
      <c r="O52" s="78"/>
      <c r="P52" s="6"/>
    </row>
    <row r="53" spans="1:34">
      <c r="A53" s="92">
        <v>2027</v>
      </c>
      <c r="B53" s="192">
        <v>8</v>
      </c>
      <c r="C53" s="85">
        <v>70.599999999999994</v>
      </c>
      <c r="D53" s="153">
        <f t="shared" si="6"/>
        <v>266.16766406979377</v>
      </c>
      <c r="E53" s="153">
        <f t="shared" si="2"/>
        <v>16.768562836397006</v>
      </c>
      <c r="F53" s="153">
        <f t="shared" si="3"/>
        <v>249.39910123339678</v>
      </c>
      <c r="G53" s="153">
        <f t="shared" si="4"/>
        <v>17607.57654707781</v>
      </c>
      <c r="H53" s="86">
        <f>G53*D12*(1+$D$42)^B53</f>
        <v>13540415.447819816</v>
      </c>
      <c r="I53" s="153">
        <f t="shared" si="7"/>
        <v>1183.8605362496285</v>
      </c>
      <c r="J53" s="166">
        <f>I53*E12*(1+$D$42)^B53</f>
        <v>993601.25889825472</v>
      </c>
      <c r="K53" s="167">
        <f t="shared" si="5"/>
        <v>14534016.70671807</v>
      </c>
      <c r="O53" s="78"/>
      <c r="P53" s="6"/>
    </row>
    <row r="54" spans="1:34">
      <c r="A54" s="92">
        <v>2028</v>
      </c>
      <c r="B54" s="192">
        <v>9</v>
      </c>
      <c r="C54" s="85">
        <v>70.599999999999994</v>
      </c>
      <c r="D54" s="153">
        <f t="shared" si="6"/>
        <v>272.28952034339903</v>
      </c>
      <c r="E54" s="153">
        <f t="shared" si="2"/>
        <v>17.154239781634139</v>
      </c>
      <c r="F54" s="153">
        <f t="shared" si="3"/>
        <v>255.13528056176492</v>
      </c>
      <c r="G54" s="153">
        <f t="shared" si="4"/>
        <v>18012.550807660602</v>
      </c>
      <c r="H54" s="86">
        <f>G54*D13*(1+$D$42)^B54</f>
        <v>14397042.242081832</v>
      </c>
      <c r="I54" s="153">
        <f t="shared" si="7"/>
        <v>1211.0893285833702</v>
      </c>
      <c r="J54" s="166">
        <f>I54*E13*(1+$D$42)^B54</f>
        <v>1056460.8856552581</v>
      </c>
      <c r="K54" s="167">
        <f t="shared" si="5"/>
        <v>15453503.12773709</v>
      </c>
      <c r="O54" s="78"/>
      <c r="P54" s="6"/>
    </row>
    <row r="55" spans="1:34">
      <c r="A55" s="92">
        <v>2029</v>
      </c>
      <c r="B55" s="191">
        <v>10</v>
      </c>
      <c r="C55" s="85">
        <v>70.599999999999994</v>
      </c>
      <c r="D55" s="153">
        <f t="shared" si="6"/>
        <v>278.55217931129721</v>
      </c>
      <c r="E55" s="153">
        <f t="shared" si="2"/>
        <v>17.548787296611724</v>
      </c>
      <c r="F55" s="153">
        <f t="shared" si="3"/>
        <v>261.00339201468552</v>
      </c>
      <c r="G55" s="153">
        <f t="shared" si="4"/>
        <v>18426.839476236797</v>
      </c>
      <c r="H55" s="86">
        <f>G55*D14*(1+$D$42)^B55</f>
        <v>15301245.421976948</v>
      </c>
      <c r="I55" s="153">
        <f t="shared" si="7"/>
        <v>1238.9443831407877</v>
      </c>
      <c r="J55" s="166">
        <f>I55*E14*(1+$D$42)^B55</f>
        <v>1122811.6871728178</v>
      </c>
      <c r="K55" s="167">
        <f t="shared" si="5"/>
        <v>16424057.109149765</v>
      </c>
      <c r="O55" s="6"/>
      <c r="P55" s="6"/>
    </row>
    <row r="56" spans="1:34">
      <c r="A56" s="92"/>
      <c r="B56" s="192"/>
      <c r="C56" s="85"/>
      <c r="D56" s="153"/>
      <c r="E56" s="153"/>
      <c r="F56" s="153"/>
      <c r="G56" s="153"/>
      <c r="H56" s="86"/>
      <c r="I56" s="153"/>
      <c r="J56" s="166"/>
      <c r="K56" s="167"/>
    </row>
    <row r="57" spans="1:34">
      <c r="A57" s="87"/>
      <c r="B57" s="87"/>
      <c r="C57" s="162"/>
      <c r="D57" s="87"/>
      <c r="E57" s="87"/>
      <c r="F57" s="87"/>
      <c r="G57" s="87"/>
      <c r="H57" s="62"/>
      <c r="I57" s="62"/>
      <c r="J57" s="62"/>
    </row>
    <row r="58" spans="1:34">
      <c r="A58" s="80"/>
      <c r="B58" s="80"/>
      <c r="C58" s="80"/>
      <c r="D58" s="80"/>
      <c r="E58" s="80"/>
      <c r="F58" s="80"/>
      <c r="G58" s="80"/>
    </row>
    <row r="59" spans="1:34" s="147" customFormat="1">
      <c r="A59" s="144" t="s">
        <v>355</v>
      </c>
      <c r="B59" s="144"/>
      <c r="L59" s="149"/>
      <c r="M59" s="149"/>
      <c r="N59" s="149"/>
      <c r="O59" s="149"/>
      <c r="P59" s="149"/>
      <c r="Q59" s="149"/>
      <c r="R59" s="149"/>
      <c r="S59" s="149"/>
      <c r="T59" s="149"/>
      <c r="U59" s="149"/>
    </row>
    <row r="60" spans="1:34">
      <c r="O60" s="13"/>
      <c r="P60" s="13"/>
      <c r="Q60" s="13"/>
      <c r="R60" s="13"/>
      <c r="S60" s="13"/>
      <c r="T60" s="13"/>
      <c r="U60" s="13"/>
    </row>
    <row r="61" spans="1:34">
      <c r="F61" s="154"/>
      <c r="G61" s="154"/>
      <c r="L61" s="154"/>
      <c r="M61" s="154"/>
      <c r="S61" s="13"/>
      <c r="T61" s="13"/>
      <c r="U61" s="13"/>
    </row>
    <row r="62" spans="1:34">
      <c r="A62" s="108"/>
      <c r="B62" s="108"/>
      <c r="C62" s="190" t="s">
        <v>309</v>
      </c>
      <c r="F62" s="154"/>
      <c r="G62" s="154"/>
      <c r="L62" s="154"/>
      <c r="M62" s="154"/>
      <c r="S62" s="13"/>
      <c r="T62" s="13"/>
      <c r="U62" s="13"/>
    </row>
    <row r="63" spans="1:34">
      <c r="A63" s="115">
        <v>2020</v>
      </c>
      <c r="B63" s="115"/>
      <c r="C63" s="188">
        <f>K46-F25</f>
        <v>4225554.7711456809</v>
      </c>
      <c r="E63" s="118"/>
      <c r="F63" s="154"/>
      <c r="G63" s="154"/>
      <c r="M63" s="118"/>
      <c r="S63" s="13"/>
      <c r="T63" s="13"/>
      <c r="U63" s="13"/>
    </row>
    <row r="64" spans="1:34">
      <c r="A64" s="115">
        <v>2021</v>
      </c>
      <c r="B64" s="115"/>
      <c r="C64" s="188">
        <f t="shared" ref="C64:C72" si="8">K47-F26</f>
        <v>3898561.9559603203</v>
      </c>
      <c r="E64" s="118"/>
      <c r="F64" s="13"/>
      <c r="G64" s="13"/>
      <c r="H64" s="13"/>
      <c r="I64" s="13"/>
      <c r="J64" s="13"/>
      <c r="K64" s="13"/>
      <c r="L64" s="13"/>
      <c r="M64" s="114"/>
      <c r="S64" s="13"/>
      <c r="T64" s="13"/>
      <c r="U64" s="13"/>
    </row>
    <row r="65" spans="1:23">
      <c r="A65" s="115">
        <v>2022</v>
      </c>
      <c r="B65" s="115"/>
      <c r="C65" s="188">
        <f t="shared" si="8"/>
        <v>4182437.7639572285</v>
      </c>
      <c r="E65" s="118"/>
      <c r="F65" s="175"/>
      <c r="G65" s="175"/>
      <c r="H65" s="175"/>
      <c r="I65" s="175"/>
      <c r="J65" s="175"/>
      <c r="K65" s="175"/>
      <c r="L65" s="175"/>
      <c r="M65" s="118"/>
      <c r="S65" s="13"/>
      <c r="T65" s="13"/>
      <c r="U65" s="13"/>
    </row>
    <row r="66" spans="1:23">
      <c r="A66" s="115">
        <v>2023</v>
      </c>
      <c r="B66" s="115"/>
      <c r="C66" s="188">
        <f t="shared" si="8"/>
        <v>4445124.2453435166</v>
      </c>
      <c r="E66" s="118"/>
      <c r="F66" s="189"/>
      <c r="G66" s="189"/>
      <c r="H66" s="189"/>
      <c r="I66" s="189"/>
      <c r="J66" s="189"/>
      <c r="K66" s="189"/>
      <c r="L66" s="189"/>
      <c r="M66" s="118"/>
      <c r="S66" s="13"/>
      <c r="T66" s="13"/>
      <c r="U66" s="13"/>
    </row>
    <row r="67" spans="1:23">
      <c r="A67" s="115">
        <v>2024</v>
      </c>
      <c r="B67" s="115"/>
      <c r="C67" s="188">
        <f t="shared" si="8"/>
        <v>4731766.2561059669</v>
      </c>
      <c r="D67" s="64"/>
      <c r="E67" s="118"/>
      <c r="F67" s="154"/>
      <c r="G67" s="154"/>
      <c r="M67" s="118"/>
      <c r="S67" s="13"/>
      <c r="T67" s="13"/>
      <c r="U67" s="13"/>
    </row>
    <row r="68" spans="1:23">
      <c r="A68" s="115">
        <v>2025</v>
      </c>
      <c r="B68" s="115"/>
      <c r="C68" s="188">
        <f t="shared" si="8"/>
        <v>5037493.0928970855</v>
      </c>
      <c r="E68" s="118"/>
      <c r="F68" s="114"/>
      <c r="G68" s="114"/>
      <c r="M68" s="118"/>
      <c r="S68" s="13"/>
      <c r="T68" s="13"/>
      <c r="U68" s="13"/>
    </row>
    <row r="69" spans="1:23">
      <c r="A69" s="115">
        <v>2026</v>
      </c>
      <c r="B69" s="115"/>
      <c r="C69" s="188">
        <f t="shared" si="8"/>
        <v>5359497.9595873524</v>
      </c>
      <c r="E69" s="118"/>
      <c r="F69" s="114"/>
      <c r="G69" s="114"/>
      <c r="M69" s="118"/>
      <c r="S69" s="13"/>
      <c r="T69" s="13"/>
      <c r="U69" s="13"/>
    </row>
    <row r="70" spans="1:23">
      <c r="A70" s="115">
        <v>2027</v>
      </c>
      <c r="B70" s="115"/>
      <c r="C70" s="188">
        <f t="shared" si="8"/>
        <v>5684092.9118833169</v>
      </c>
      <c r="E70" s="118"/>
      <c r="F70" s="114"/>
      <c r="M70" s="118"/>
      <c r="S70" s="13"/>
      <c r="T70" s="13"/>
      <c r="U70" s="13"/>
    </row>
    <row r="71" spans="1:23">
      <c r="A71" s="115">
        <v>2028</v>
      </c>
      <c r="B71" s="115"/>
      <c r="C71" s="188">
        <f t="shared" si="8"/>
        <v>6043693.8641700577</v>
      </c>
      <c r="D71" s="181"/>
      <c r="E71" s="118"/>
      <c r="F71" s="106"/>
      <c r="M71" s="176"/>
      <c r="S71" s="13"/>
      <c r="T71" s="13"/>
      <c r="U71" s="13"/>
    </row>
    <row r="72" spans="1:23">
      <c r="A72" s="115">
        <v>2029</v>
      </c>
      <c r="B72" s="115"/>
      <c r="C72" s="188">
        <f t="shared" si="8"/>
        <v>6423266.7735501584</v>
      </c>
      <c r="D72" s="175"/>
      <c r="E72" s="118"/>
      <c r="M72" s="210"/>
      <c r="S72" s="13"/>
      <c r="T72" s="13"/>
      <c r="U72" s="13"/>
    </row>
    <row r="73" spans="1:23">
      <c r="A73" s="115"/>
      <c r="B73" s="115"/>
      <c r="C73" s="188"/>
      <c r="D73" s="175"/>
      <c r="E73" s="118"/>
      <c r="M73" s="210"/>
      <c r="S73" s="13"/>
      <c r="T73" s="13"/>
      <c r="U73" s="13"/>
    </row>
    <row r="74" spans="1:23">
      <c r="M74" s="218"/>
      <c r="U74" s="13"/>
    </row>
    <row r="75" spans="1:23">
      <c r="N75" s="182"/>
    </row>
    <row r="76" spans="1:23">
      <c r="M76" s="118"/>
      <c r="N76" s="114"/>
      <c r="O76" s="118"/>
      <c r="P76" s="118"/>
      <c r="Q76" s="118"/>
      <c r="R76" s="118"/>
      <c r="S76" s="118"/>
      <c r="T76" s="118"/>
      <c r="U76" s="176"/>
      <c r="V76" s="210"/>
      <c r="W76" s="210"/>
    </row>
    <row r="77" spans="1:23">
      <c r="E77" s="182"/>
      <c r="F77" s="182"/>
      <c r="H77" s="182"/>
      <c r="I77" s="182"/>
      <c r="J77" s="182"/>
      <c r="K77" s="182"/>
      <c r="L77" s="182"/>
      <c r="M77" s="182"/>
      <c r="N77" s="182"/>
    </row>
    <row r="78" spans="1:23">
      <c r="E78" s="175"/>
      <c r="F78" s="175"/>
      <c r="H78" s="175"/>
      <c r="I78" s="175"/>
      <c r="J78" s="175"/>
      <c r="K78" s="175"/>
      <c r="L78" s="175"/>
      <c r="M78" s="175"/>
      <c r="N78" s="185"/>
    </row>
    <row r="79" spans="1:23">
      <c r="E79" s="175"/>
      <c r="F79" s="175"/>
      <c r="H79" s="175"/>
      <c r="I79" s="175"/>
      <c r="J79" s="175"/>
      <c r="K79" s="175"/>
      <c r="L79" s="175"/>
      <c r="M79" s="216"/>
      <c r="N79" s="217"/>
      <c r="O79" s="217"/>
      <c r="P79" s="217"/>
      <c r="Q79" s="217"/>
      <c r="R79" s="217"/>
      <c r="S79" s="217"/>
      <c r="T79" s="218"/>
      <c r="U79" s="219"/>
      <c r="V79" s="219"/>
      <c r="W79" s="218"/>
    </row>
    <row r="80" spans="1:23">
      <c r="A80" s="178"/>
      <c r="B80" s="178"/>
      <c r="C80" s="176"/>
      <c r="D80" s="176"/>
      <c r="E80" s="176"/>
      <c r="F80" s="176"/>
      <c r="H80" s="176"/>
      <c r="I80" s="176"/>
      <c r="J80" s="176"/>
      <c r="K80" s="176"/>
      <c r="L80" s="176"/>
      <c r="M80" s="176"/>
      <c r="N80" s="176"/>
    </row>
    <row r="81" spans="1:18">
      <c r="A81" s="187"/>
      <c r="B81" s="187"/>
      <c r="C81" s="187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</row>
    <row r="82" spans="1:18">
      <c r="A82" s="187"/>
      <c r="B82" s="187"/>
      <c r="C82" s="187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</row>
    <row r="83" spans="1:18">
      <c r="A83" s="177"/>
      <c r="B83" s="177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6"/>
    </row>
    <row r="84" spans="1:18">
      <c r="A84" s="177"/>
      <c r="B84" s="177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6"/>
      <c r="R84" s="217"/>
    </row>
    <row r="85" spans="1:18">
      <c r="A85" s="178"/>
      <c r="B85" s="178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6"/>
    </row>
    <row r="86" spans="1:18">
      <c r="A86" s="178"/>
      <c r="B86" s="178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6"/>
    </row>
    <row r="87" spans="1:18">
      <c r="A87" s="180"/>
      <c r="B87" s="180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82"/>
    </row>
    <row r="88" spans="1:18">
      <c r="A88" s="182"/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</row>
    <row r="89" spans="1:18">
      <c r="N89" s="13"/>
    </row>
    <row r="92" spans="1:18">
      <c r="C92" s="2"/>
    </row>
    <row r="96" spans="1:18" ht="19">
      <c r="A96" s="95"/>
      <c r="B96" s="95"/>
    </row>
    <row r="97" spans="4:13">
      <c r="D97" s="121"/>
      <c r="E97" s="122"/>
      <c r="F97" s="119"/>
      <c r="G97" s="119"/>
      <c r="H97" s="119"/>
      <c r="I97" s="119"/>
      <c r="J97" s="119"/>
      <c r="K97" s="119"/>
      <c r="L97" s="119"/>
      <c r="M97" s="119"/>
    </row>
    <row r="117" spans="1:2">
      <c r="A117" s="12"/>
      <c r="B117" s="12"/>
    </row>
  </sheetData>
  <mergeCells count="15">
    <mergeCell ref="O49:O50"/>
    <mergeCell ref="D23:D24"/>
    <mergeCell ref="E23:E24"/>
    <mergeCell ref="C23:C24"/>
    <mergeCell ref="F23:F24"/>
    <mergeCell ref="C44:C45"/>
    <mergeCell ref="D44:D45"/>
    <mergeCell ref="E44:E45"/>
    <mergeCell ref="F44:F45"/>
    <mergeCell ref="H44:H45"/>
    <mergeCell ref="K44:K45"/>
    <mergeCell ref="E40:F41"/>
    <mergeCell ref="G44:G45"/>
    <mergeCell ref="I44:I45"/>
    <mergeCell ref="J44:J45"/>
  </mergeCells>
  <pageMargins left="0.25" right="0.25" top="0.75" bottom="0.75" header="0.3" footer="0.3"/>
  <pageSetup paperSize="9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0D4F1-1A42-F742-A2AD-880D77791970}">
  <sheetPr>
    <tabColor theme="5"/>
  </sheetPr>
  <dimension ref="A1:W131"/>
  <sheetViews>
    <sheetView showGridLines="0" tabSelected="1" workbookViewId="0">
      <selection activeCell="E48" sqref="E48:F49"/>
    </sheetView>
  </sheetViews>
  <sheetFormatPr baseColWidth="10" defaultRowHeight="16"/>
  <cols>
    <col min="1" max="1" width="10" customWidth="1"/>
    <col min="2" max="2" width="2.6640625" customWidth="1"/>
    <col min="3" max="3" width="13.83203125" customWidth="1"/>
    <col min="4" max="4" width="12" customWidth="1"/>
    <col min="5" max="5" width="11.83203125" customWidth="1"/>
    <col min="6" max="6" width="14" customWidth="1"/>
    <col min="7" max="7" width="12.6640625" customWidth="1"/>
    <col min="8" max="8" width="12" customWidth="1"/>
    <col min="9" max="9" width="12.1640625" customWidth="1"/>
    <col min="10" max="10" width="14.33203125" customWidth="1"/>
    <col min="11" max="11" width="14" customWidth="1"/>
    <col min="12" max="12" width="12.5" customWidth="1"/>
    <col min="13" max="13" width="12.33203125" customWidth="1"/>
    <col min="14" max="24" width="10.83203125" customWidth="1"/>
  </cols>
  <sheetData>
    <row r="1" spans="1:22" ht="19">
      <c r="A1" s="95" t="s">
        <v>333</v>
      </c>
      <c r="B1" s="95"/>
      <c r="C1" s="95"/>
      <c r="D1" s="11"/>
      <c r="E1" s="11"/>
      <c r="F1" s="11"/>
      <c r="G1" s="11"/>
      <c r="H1" s="11"/>
    </row>
    <row r="2" spans="1:22" s="11" customFormat="1" ht="15"/>
    <row r="3" spans="1:22" s="11" customFormat="1" ht="15">
      <c r="A3" s="11" t="s">
        <v>330</v>
      </c>
    </row>
    <row r="4" spans="1:22" s="11" customFormat="1" ht="15">
      <c r="A4" s="11" t="s">
        <v>334</v>
      </c>
    </row>
    <row r="5" spans="1:22" s="11" customFormat="1" ht="15">
      <c r="A5" s="11" t="s">
        <v>359</v>
      </c>
    </row>
    <row r="6" spans="1:22" s="11" customFormat="1" ht="15">
      <c r="A6" s="11" t="s">
        <v>392</v>
      </c>
    </row>
    <row r="7" spans="1:22" s="11" customFormat="1" ht="15">
      <c r="A7" s="11" t="s">
        <v>393</v>
      </c>
    </row>
    <row r="8" spans="1:22" s="11" customFormat="1" ht="15">
      <c r="A8" s="11" t="s">
        <v>331</v>
      </c>
    </row>
    <row r="9" spans="1:22" s="11" customFormat="1" ht="15">
      <c r="A9" s="11" t="s">
        <v>332</v>
      </c>
    </row>
    <row r="10" spans="1:22" s="11" customFormat="1" ht="15"/>
    <row r="11" spans="1:22" s="11" customFormat="1" ht="15"/>
    <row r="12" spans="1:22" s="11" customFormat="1">
      <c r="A12" t="s">
        <v>398</v>
      </c>
      <c r="B12"/>
    </row>
    <row r="13" spans="1:22" s="11" customFormat="1" ht="15">
      <c r="A13" s="96" t="s">
        <v>28</v>
      </c>
      <c r="B13" s="96"/>
      <c r="C13" s="88" t="s">
        <v>17</v>
      </c>
      <c r="D13" s="88" t="s">
        <v>338</v>
      </c>
      <c r="E13" s="88" t="s">
        <v>8</v>
      </c>
    </row>
    <row r="14" spans="1:22" s="11" customFormat="1" ht="15">
      <c r="A14" s="115">
        <v>2020</v>
      </c>
      <c r="B14" s="115"/>
      <c r="C14" s="93">
        <v>184.67</v>
      </c>
      <c r="D14" s="93">
        <v>257.42</v>
      </c>
      <c r="E14" s="93">
        <v>316.38</v>
      </c>
    </row>
    <row r="15" spans="1:22" s="11" customFormat="1" ht="15">
      <c r="A15" s="115">
        <v>2021</v>
      </c>
      <c r="B15" s="115"/>
      <c r="C15" s="93">
        <v>223.83090294117648</v>
      </c>
      <c r="D15" s="93">
        <v>312.00818235294122</v>
      </c>
      <c r="E15" s="93">
        <v>383.47117058823534</v>
      </c>
    </row>
    <row r="16" spans="1:22" s="11" customFormat="1" ht="15">
      <c r="A16" s="115">
        <v>2022</v>
      </c>
      <c r="B16" s="115"/>
      <c r="C16" s="93">
        <v>229.59454869191177</v>
      </c>
      <c r="D16" s="93">
        <v>320.04239304852945</v>
      </c>
      <c r="E16" s="93">
        <v>393.34555323088239</v>
      </c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</row>
    <row r="17" spans="1:22" s="11" customFormat="1" ht="15">
      <c r="A17" s="115">
        <v>2023</v>
      </c>
      <c r="B17" s="115"/>
      <c r="C17" s="93">
        <v>235.50660832072847</v>
      </c>
      <c r="D17" s="93">
        <v>328.28348466952906</v>
      </c>
      <c r="E17" s="93">
        <v>403.47420122657758</v>
      </c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</row>
    <row r="18" spans="1:22" s="11" customFormat="1" ht="15">
      <c r="A18" s="115">
        <v>2024</v>
      </c>
      <c r="B18" s="115"/>
      <c r="C18" s="93">
        <v>241.57090348498721</v>
      </c>
      <c r="D18" s="93">
        <v>336.73678439976942</v>
      </c>
      <c r="E18" s="93">
        <v>413.86366190816193</v>
      </c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</row>
    <row r="19" spans="1:22" s="11" customFormat="1" ht="15">
      <c r="A19" s="115">
        <v>2025</v>
      </c>
      <c r="B19" s="115"/>
      <c r="C19" s="93">
        <v>247.79135424972563</v>
      </c>
      <c r="D19" s="93">
        <v>345.40775659806349</v>
      </c>
      <c r="E19" s="93">
        <v>424.52065120229707</v>
      </c>
    </row>
    <row r="20" spans="1:22" s="11" customFormat="1" ht="15">
      <c r="A20" s="115">
        <v>2026</v>
      </c>
      <c r="B20" s="115"/>
      <c r="C20" s="93">
        <v>254.17198162165604</v>
      </c>
      <c r="D20" s="93">
        <v>354.3020063304636</v>
      </c>
      <c r="E20" s="93">
        <v>435.45205797075619</v>
      </c>
    </row>
    <row r="21" spans="1:22" s="11" customFormat="1" ht="15">
      <c r="A21" s="115">
        <v>2027</v>
      </c>
      <c r="B21" s="115"/>
      <c r="C21" s="93">
        <v>260.71691014841366</v>
      </c>
      <c r="D21" s="93">
        <v>363.42528299347299</v>
      </c>
      <c r="E21" s="93">
        <v>446.66494846350315</v>
      </c>
    </row>
    <row r="22" spans="1:22" s="11" customFormat="1" ht="15">
      <c r="A22" s="115">
        <v>2028</v>
      </c>
      <c r="B22" s="115"/>
      <c r="C22" s="93">
        <v>267.43037058473527</v>
      </c>
      <c r="D22" s="93">
        <v>372.78348403055492</v>
      </c>
      <c r="E22" s="93">
        <v>458.16657088643831</v>
      </c>
    </row>
    <row r="23" spans="1:22" s="11" customFormat="1" ht="15">
      <c r="A23" s="115">
        <v>2029</v>
      </c>
      <c r="B23" s="115"/>
      <c r="C23" s="93">
        <v>274.31670262729222</v>
      </c>
      <c r="D23" s="93">
        <v>382.38265874434171</v>
      </c>
      <c r="E23" s="93">
        <v>469.96436008676409</v>
      </c>
    </row>
    <row r="24" spans="1:22" s="11" customFormat="1" ht="15">
      <c r="A24" s="115"/>
      <c r="B24" s="115"/>
      <c r="C24" s="93"/>
      <c r="D24" s="93"/>
      <c r="E24" s="93"/>
    </row>
    <row r="25" spans="1:22" s="11" customFormat="1" ht="15"/>
    <row r="26" spans="1:22" s="147" customFormat="1">
      <c r="A26" s="144" t="s">
        <v>302</v>
      </c>
      <c r="B26" s="144"/>
      <c r="C26" s="145"/>
      <c r="D26" s="145"/>
      <c r="E26" s="145"/>
      <c r="F26" s="145"/>
      <c r="G26" s="145"/>
    </row>
    <row r="27" spans="1:22" s="6" customFormat="1">
      <c r="A27" s="87"/>
      <c r="B27" s="87"/>
      <c r="C27" s="80"/>
      <c r="D27" s="80"/>
      <c r="E27" s="80"/>
      <c r="F27" s="80"/>
      <c r="G27" s="80"/>
    </row>
    <row r="28" spans="1:22" s="6" customFormat="1">
      <c r="A28" s="87" t="s">
        <v>351</v>
      </c>
      <c r="B28" s="87"/>
      <c r="C28" s="80"/>
      <c r="D28" s="152">
        <f>Hovedmodell!E14</f>
        <v>2.3E-2</v>
      </c>
      <c r="E28" s="80"/>
      <c r="F28" s="80"/>
      <c r="G28" s="80"/>
    </row>
    <row r="29" spans="1:22" s="6" customFormat="1">
      <c r="A29" s="87" t="s">
        <v>352</v>
      </c>
      <c r="B29" s="87"/>
      <c r="C29" s="80"/>
      <c r="D29" s="152">
        <v>1.4999999999999999E-2</v>
      </c>
      <c r="E29" s="80"/>
      <c r="F29" s="80"/>
      <c r="G29" s="80"/>
    </row>
    <row r="30" spans="1:22" s="6" customFormat="1">
      <c r="A30" s="87"/>
      <c r="B30" s="87"/>
      <c r="C30" s="80"/>
      <c r="D30" s="194"/>
      <c r="E30" s="80"/>
      <c r="F30" s="80"/>
      <c r="G30" s="80"/>
    </row>
    <row r="31" spans="1:22" s="6" customFormat="1" ht="16" customHeight="1">
      <c r="A31" s="65"/>
      <c r="B31" s="65"/>
      <c r="C31" s="398" t="s">
        <v>67</v>
      </c>
      <c r="D31" s="398" t="s">
        <v>340</v>
      </c>
      <c r="E31" s="398" t="s">
        <v>341</v>
      </c>
      <c r="F31" s="399" t="s">
        <v>68</v>
      </c>
    </row>
    <row r="32" spans="1:22" s="6" customFormat="1">
      <c r="A32" s="108" t="s">
        <v>28</v>
      </c>
      <c r="B32" s="108"/>
      <c r="C32" s="398"/>
      <c r="D32" s="398"/>
      <c r="E32" s="398"/>
      <c r="F32" s="399"/>
    </row>
    <row r="33" spans="1:11" s="6" customFormat="1">
      <c r="A33" s="115">
        <v>2020</v>
      </c>
      <c r="B33" s="195">
        <v>1</v>
      </c>
      <c r="C33" s="91">
        <v>70.599999999999994</v>
      </c>
      <c r="D33" s="164">
        <f>151-25</f>
        <v>126</v>
      </c>
      <c r="E33" s="165">
        <f>D33*C33</f>
        <v>8895.5999999999985</v>
      </c>
      <c r="F33" s="205">
        <f t="shared" ref="F33:F42" si="0">E33*C14*(1+$D$29)^B33</f>
        <v>1667391.7087799995</v>
      </c>
      <c r="G33" s="80"/>
    </row>
    <row r="34" spans="1:11" s="6" customFormat="1">
      <c r="A34" s="115">
        <v>2021</v>
      </c>
      <c r="B34" s="195">
        <v>2</v>
      </c>
      <c r="C34" s="91">
        <v>70.599999999999994</v>
      </c>
      <c r="D34" s="164">
        <v>227</v>
      </c>
      <c r="E34" s="165">
        <f t="shared" ref="E34:E42" si="1">D34*C34</f>
        <v>16026.199999999999</v>
      </c>
      <c r="F34" s="205">
        <f t="shared" si="0"/>
        <v>3695580.6919511189</v>
      </c>
      <c r="G34" s="80"/>
    </row>
    <row r="35" spans="1:11" s="6" customFormat="1">
      <c r="A35" s="115">
        <v>2022</v>
      </c>
      <c r="B35" s="195">
        <v>3</v>
      </c>
      <c r="C35" s="91">
        <v>70.599999999999994</v>
      </c>
      <c r="D35" s="165">
        <f>D34*(1+$D$28)</f>
        <v>232.22099999999998</v>
      </c>
      <c r="E35" s="165">
        <f t="shared" si="1"/>
        <v>16394.802599999995</v>
      </c>
      <c r="F35" s="205">
        <f t="shared" si="0"/>
        <v>3936097.8927237708</v>
      </c>
      <c r="G35" s="80"/>
    </row>
    <row r="36" spans="1:11" s="6" customFormat="1">
      <c r="A36" s="115">
        <v>2023</v>
      </c>
      <c r="B36" s="195">
        <v>4</v>
      </c>
      <c r="C36" s="91">
        <v>70.599999999999994</v>
      </c>
      <c r="D36" s="165">
        <f t="shared" ref="D36:D42" si="2">D35*(1+$D$28)</f>
        <v>237.56208299999994</v>
      </c>
      <c r="E36" s="165">
        <f t="shared" si="1"/>
        <v>16771.883059799995</v>
      </c>
      <c r="F36" s="205">
        <f t="shared" si="0"/>
        <v>4192268.5262555843</v>
      </c>
      <c r="G36" s="80"/>
    </row>
    <row r="37" spans="1:11" s="6" customFormat="1">
      <c r="A37" s="115">
        <v>2024</v>
      </c>
      <c r="B37" s="195">
        <v>5</v>
      </c>
      <c r="C37" s="91">
        <v>70.599999999999994</v>
      </c>
      <c r="D37" s="165">
        <f t="shared" si="2"/>
        <v>243.02601090899992</v>
      </c>
      <c r="E37" s="165">
        <f t="shared" si="1"/>
        <v>17157.636370175394</v>
      </c>
      <c r="F37" s="205">
        <f t="shared" si="0"/>
        <v>4465111.3552643964</v>
      </c>
      <c r="G37" s="80"/>
    </row>
    <row r="38" spans="1:11" s="6" customFormat="1">
      <c r="A38" s="115">
        <v>2025</v>
      </c>
      <c r="B38" s="195">
        <v>6</v>
      </c>
      <c r="C38" s="91">
        <v>70.599999999999994</v>
      </c>
      <c r="D38" s="165">
        <f t="shared" si="2"/>
        <v>248.61560915990691</v>
      </c>
      <c r="E38" s="165">
        <f t="shared" si="1"/>
        <v>17552.262006689427</v>
      </c>
      <c r="F38" s="205">
        <f t="shared" si="0"/>
        <v>4755711.4459741954</v>
      </c>
      <c r="G38" s="80"/>
    </row>
    <row r="39" spans="1:11" s="6" customFormat="1">
      <c r="A39" s="115">
        <v>2026</v>
      </c>
      <c r="B39" s="195">
        <v>7</v>
      </c>
      <c r="C39" s="91">
        <v>70.599999999999994</v>
      </c>
      <c r="D39" s="165">
        <f t="shared" si="2"/>
        <v>254.33376817058473</v>
      </c>
      <c r="E39" s="165">
        <f t="shared" si="1"/>
        <v>17955.96403284328</v>
      </c>
      <c r="F39" s="205">
        <f t="shared" si="0"/>
        <v>5065224.4833053527</v>
      </c>
      <c r="G39" s="80"/>
    </row>
    <row r="40" spans="1:11" s="6" customFormat="1">
      <c r="A40" s="115">
        <v>2027</v>
      </c>
      <c r="B40" s="195">
        <v>8</v>
      </c>
      <c r="C40" s="91">
        <v>70.599999999999994</v>
      </c>
      <c r="D40" s="165">
        <f t="shared" si="2"/>
        <v>260.18344483850814</v>
      </c>
      <c r="E40" s="165">
        <f t="shared" si="1"/>
        <v>18368.951205598674</v>
      </c>
      <c r="F40" s="205">
        <f t="shared" si="0"/>
        <v>5394881.366907726</v>
      </c>
      <c r="G40" s="80"/>
    </row>
    <row r="41" spans="1:11" s="6" customFormat="1">
      <c r="A41" s="115">
        <v>2028</v>
      </c>
      <c r="B41" s="195">
        <v>9</v>
      </c>
      <c r="C41" s="91">
        <v>70.599999999999994</v>
      </c>
      <c r="D41" s="165">
        <f t="shared" si="2"/>
        <v>266.16766406979377</v>
      </c>
      <c r="E41" s="165">
        <f t="shared" si="1"/>
        <v>18791.437083327441</v>
      </c>
      <c r="F41" s="205">
        <f t="shared" si="0"/>
        <v>5745993.1063145362</v>
      </c>
      <c r="G41" s="80"/>
    </row>
    <row r="42" spans="1:11" s="6" customFormat="1">
      <c r="A42" s="115">
        <v>2029</v>
      </c>
      <c r="B42" s="195">
        <v>10</v>
      </c>
      <c r="C42" s="91">
        <v>70.599999999999994</v>
      </c>
      <c r="D42" s="165">
        <f t="shared" si="2"/>
        <v>272.28952034339903</v>
      </c>
      <c r="E42" s="165">
        <f t="shared" si="1"/>
        <v>19223.640136243972</v>
      </c>
      <c r="F42" s="205">
        <f t="shared" si="0"/>
        <v>6119956.0346845528</v>
      </c>
      <c r="G42" s="80"/>
    </row>
    <row r="43" spans="1:11" s="6" customFormat="1">
      <c r="A43" s="115"/>
      <c r="B43" s="195"/>
      <c r="C43" s="91"/>
      <c r="D43" s="165"/>
      <c r="E43" s="165"/>
      <c r="F43" s="205"/>
      <c r="G43" s="80"/>
    </row>
    <row r="44" spans="1:11" s="6" customFormat="1">
      <c r="A44" s="87"/>
      <c r="B44" s="87"/>
      <c r="C44" s="80"/>
      <c r="D44" s="194"/>
      <c r="E44" s="80"/>
      <c r="F44" s="80"/>
      <c r="G44" s="80"/>
    </row>
    <row r="45" spans="1:11" s="6" customFormat="1">
      <c r="A45" s="87"/>
      <c r="B45" s="87"/>
      <c r="C45" s="80"/>
      <c r="D45" s="194"/>
      <c r="E45" s="80"/>
      <c r="F45" s="80"/>
      <c r="G45" s="80"/>
    </row>
    <row r="46" spans="1:11" s="147" customFormat="1">
      <c r="A46" s="144" t="s">
        <v>353</v>
      </c>
      <c r="B46" s="193"/>
      <c r="C46" s="145"/>
      <c r="D46" s="197"/>
      <c r="E46" s="145"/>
      <c r="F46" s="145"/>
      <c r="G46" s="145"/>
    </row>
    <row r="47" spans="1:11" s="6" customFormat="1">
      <c r="A47" s="90" t="s">
        <v>343</v>
      </c>
      <c r="B47" s="90"/>
      <c r="C47" s="169"/>
      <c r="D47" s="170">
        <f>D28</f>
        <v>2.3E-2</v>
      </c>
      <c r="E47" s="171"/>
      <c r="F47" s="159"/>
      <c r="G47" s="81"/>
      <c r="H47"/>
      <c r="I47"/>
      <c r="J47"/>
      <c r="K47"/>
    </row>
    <row r="48" spans="1:11" s="6" customFormat="1">
      <c r="A48" s="90" t="s">
        <v>308</v>
      </c>
      <c r="B48" s="90"/>
      <c r="C48" s="169"/>
      <c r="D48" s="170">
        <v>6.3E-2</v>
      </c>
      <c r="E48" s="400"/>
      <c r="F48" s="400"/>
      <c r="G48" s="81"/>
      <c r="H48"/>
      <c r="I48"/>
      <c r="J48"/>
      <c r="K48"/>
    </row>
    <row r="49" spans="1:11" s="6" customFormat="1">
      <c r="A49" s="90" t="s">
        <v>307</v>
      </c>
      <c r="B49" s="90"/>
      <c r="C49" s="169"/>
      <c r="D49" s="170">
        <v>0.93700000000000006</v>
      </c>
      <c r="E49" s="400"/>
      <c r="F49" s="400"/>
      <c r="G49" s="81"/>
      <c r="H49"/>
      <c r="I49"/>
      <c r="J49"/>
      <c r="K49"/>
    </row>
    <row r="50" spans="1:11" s="6" customFormat="1">
      <c r="A50" s="90" t="s">
        <v>2</v>
      </c>
      <c r="B50" s="90"/>
      <c r="C50" s="169"/>
      <c r="D50" s="170">
        <v>1.4999999999999999E-2</v>
      </c>
      <c r="E50" s="172"/>
      <c r="F50" s="172"/>
      <c r="G50" s="81"/>
      <c r="H50"/>
      <c r="I50"/>
      <c r="J50"/>
      <c r="K50"/>
    </row>
    <row r="51" spans="1:11" s="6" customFormat="1">
      <c r="A51" s="83"/>
      <c r="B51" s="83"/>
      <c r="C51" s="156"/>
      <c r="D51" s="112"/>
      <c r="E51" s="112"/>
      <c r="F51" s="112"/>
      <c r="G51" s="81"/>
      <c r="H51"/>
      <c r="I51"/>
      <c r="J51"/>
      <c r="K51"/>
    </row>
    <row r="52" spans="1:11" s="6" customFormat="1">
      <c r="A52" s="160"/>
      <c r="B52" s="160"/>
      <c r="C52" s="398" t="s">
        <v>67</v>
      </c>
      <c r="D52" s="398" t="s">
        <v>340</v>
      </c>
      <c r="E52" s="399" t="s">
        <v>347</v>
      </c>
      <c r="F52" s="399" t="s">
        <v>342</v>
      </c>
      <c r="G52" s="399" t="s">
        <v>348</v>
      </c>
      <c r="H52" s="399" t="s">
        <v>344</v>
      </c>
      <c r="I52" s="399" t="s">
        <v>349</v>
      </c>
      <c r="J52" s="399" t="s">
        <v>345</v>
      </c>
      <c r="K52" s="399" t="s">
        <v>346</v>
      </c>
    </row>
    <row r="53" spans="1:11" s="6" customFormat="1">
      <c r="A53" s="108" t="s">
        <v>28</v>
      </c>
      <c r="B53" s="108"/>
      <c r="C53" s="398"/>
      <c r="D53" s="398"/>
      <c r="E53" s="399"/>
      <c r="F53" s="399"/>
      <c r="G53" s="399"/>
      <c r="H53" s="399"/>
      <c r="I53" s="399"/>
      <c r="J53" s="399"/>
      <c r="K53" s="399"/>
    </row>
    <row r="54" spans="1:11" s="6" customFormat="1">
      <c r="A54" s="92">
        <v>2020</v>
      </c>
      <c r="B54" s="191">
        <v>1</v>
      </c>
      <c r="C54" s="85">
        <v>70.599999999999994</v>
      </c>
      <c r="D54" s="153">
        <v>151</v>
      </c>
      <c r="E54" s="153">
        <f>D54*$D$48</f>
        <v>9.5129999999999999</v>
      </c>
      <c r="F54" s="153">
        <f>D54*$D$49</f>
        <v>141.48699999999999</v>
      </c>
      <c r="G54" s="153">
        <f>F54*C54</f>
        <v>9988.9821999999986</v>
      </c>
      <c r="H54" s="86">
        <f>G54*D14*(1+$D$50)^B54</f>
        <v>2609934.2548928596</v>
      </c>
      <c r="I54" s="153">
        <f>E54*C54</f>
        <v>671.61779999999999</v>
      </c>
      <c r="J54" s="166">
        <f>I54*E14*(1+$D$50)^B54</f>
        <v>215673.73615745999</v>
      </c>
      <c r="K54" s="167">
        <f>J54+H54</f>
        <v>2825607.9910503197</v>
      </c>
    </row>
    <row r="55" spans="1:11" s="6" customFormat="1">
      <c r="A55" s="92">
        <v>2021</v>
      </c>
      <c r="B55" s="192">
        <v>2</v>
      </c>
      <c r="C55" s="85">
        <v>70.599999999999994</v>
      </c>
      <c r="D55" s="153">
        <f>227</f>
        <v>227</v>
      </c>
      <c r="E55" s="153">
        <f t="shared" ref="E55:E63" si="3">D55*$D$48</f>
        <v>14.301</v>
      </c>
      <c r="F55" s="153">
        <f t="shared" ref="F55:F63" si="4">D55*$D$49</f>
        <v>212.69900000000001</v>
      </c>
      <c r="G55" s="153">
        <f t="shared" ref="G55:G63" si="5">F55*C55</f>
        <v>15016.5494</v>
      </c>
      <c r="H55" s="86">
        <f t="shared" ref="H55:H63" si="6">G55*D15*(1+$D$50)^B55</f>
        <v>4826899.0614261515</v>
      </c>
      <c r="I55" s="153">
        <f t="shared" ref="I55:I63" si="7">E55*C55</f>
        <v>1009.6505999999999</v>
      </c>
      <c r="J55" s="166">
        <f t="shared" ref="J55:J63" si="8">I55*E15*(1+$D$50)^B55</f>
        <v>398874.16806805757</v>
      </c>
      <c r="K55" s="167">
        <f t="shared" ref="K55:K63" si="9">J55+H55</f>
        <v>5225773.2294942094</v>
      </c>
    </row>
    <row r="56" spans="1:11" s="6" customFormat="1">
      <c r="A56" s="92">
        <v>2022</v>
      </c>
      <c r="B56" s="192">
        <v>3</v>
      </c>
      <c r="C56" s="85">
        <v>70.599999999999994</v>
      </c>
      <c r="D56" s="153">
        <f>D55*(1+$D$47)</f>
        <v>232.22099999999998</v>
      </c>
      <c r="E56" s="153">
        <f t="shared" si="3"/>
        <v>14.629922999999998</v>
      </c>
      <c r="F56" s="153">
        <f t="shared" si="4"/>
        <v>217.59107699999998</v>
      </c>
      <c r="G56" s="153">
        <f t="shared" si="5"/>
        <v>15361.930036199998</v>
      </c>
      <c r="H56" s="86">
        <f t="shared" si="6"/>
        <v>5141045.1584644029</v>
      </c>
      <c r="I56" s="153">
        <f t="shared" si="7"/>
        <v>1032.8725637999999</v>
      </c>
      <c r="J56" s="166">
        <f t="shared" si="8"/>
        <v>424833.84974222479</v>
      </c>
      <c r="K56" s="167">
        <f t="shared" si="9"/>
        <v>5565879.0082066273</v>
      </c>
    </row>
    <row r="57" spans="1:11" s="6" customFormat="1">
      <c r="A57" s="92">
        <v>2023</v>
      </c>
      <c r="B57" s="191">
        <v>4</v>
      </c>
      <c r="C57" s="85">
        <v>70.599999999999994</v>
      </c>
      <c r="D57" s="153">
        <f t="shared" ref="D57:D63" si="10">D56*(1+$D$47)</f>
        <v>237.56208299999994</v>
      </c>
      <c r="E57" s="153">
        <f t="shared" si="3"/>
        <v>14.966411228999997</v>
      </c>
      <c r="F57" s="153">
        <f t="shared" si="4"/>
        <v>222.59567177099996</v>
      </c>
      <c r="G57" s="153">
        <f t="shared" si="5"/>
        <v>15715.254427032596</v>
      </c>
      <c r="H57" s="86">
        <f t="shared" si="6"/>
        <v>5475636.632343661</v>
      </c>
      <c r="I57" s="153">
        <f t="shared" si="7"/>
        <v>1056.6286327673997</v>
      </c>
      <c r="J57" s="166">
        <f t="shared" si="8"/>
        <v>452483.04938113794</v>
      </c>
      <c r="K57" s="167">
        <f t="shared" si="9"/>
        <v>5928119.6817247989</v>
      </c>
    </row>
    <row r="58" spans="1:11" s="6" customFormat="1">
      <c r="A58" s="92">
        <v>2024</v>
      </c>
      <c r="B58" s="192">
        <v>5</v>
      </c>
      <c r="C58" s="85">
        <v>70.599999999999994</v>
      </c>
      <c r="D58" s="153">
        <f t="shared" si="10"/>
        <v>243.02601090899992</v>
      </c>
      <c r="E58" s="153">
        <f t="shared" si="3"/>
        <v>15.310638687266994</v>
      </c>
      <c r="F58" s="153">
        <f t="shared" si="4"/>
        <v>227.71537222173293</v>
      </c>
      <c r="G58" s="153">
        <f t="shared" si="5"/>
        <v>16076.705278854344</v>
      </c>
      <c r="H58" s="86">
        <f t="shared" si="6"/>
        <v>5832004.1169254072</v>
      </c>
      <c r="I58" s="153">
        <f t="shared" si="7"/>
        <v>1080.9310913210497</v>
      </c>
      <c r="J58" s="166">
        <f t="shared" si="8"/>
        <v>481931.72484133119</v>
      </c>
      <c r="K58" s="167">
        <f t="shared" si="9"/>
        <v>6313935.8417667383</v>
      </c>
    </row>
    <row r="59" spans="1:11" s="6" customFormat="1">
      <c r="A59" s="92">
        <v>2025</v>
      </c>
      <c r="B59" s="192">
        <v>6</v>
      </c>
      <c r="C59" s="85">
        <v>70.599999999999994</v>
      </c>
      <c r="D59" s="153">
        <f t="shared" si="10"/>
        <v>248.61560915990691</v>
      </c>
      <c r="E59" s="153">
        <f t="shared" si="3"/>
        <v>15.662783377074135</v>
      </c>
      <c r="F59" s="153">
        <f t="shared" si="4"/>
        <v>232.95282578283278</v>
      </c>
      <c r="G59" s="153">
        <f t="shared" si="5"/>
        <v>16446.469500267991</v>
      </c>
      <c r="H59" s="86">
        <f t="shared" si="6"/>
        <v>6211564.8468947243</v>
      </c>
      <c r="I59" s="153">
        <f t="shared" si="7"/>
        <v>1105.7925064214339</v>
      </c>
      <c r="J59" s="166">
        <f t="shared" si="8"/>
        <v>513296.99029875401</v>
      </c>
      <c r="K59" s="167">
        <f t="shared" si="9"/>
        <v>6724861.8371934779</v>
      </c>
    </row>
    <row r="60" spans="1:11" s="6" customFormat="1">
      <c r="A60" s="92">
        <v>2026</v>
      </c>
      <c r="B60" s="191">
        <v>7</v>
      </c>
      <c r="C60" s="85">
        <v>70.599999999999994</v>
      </c>
      <c r="D60" s="153">
        <f t="shared" si="10"/>
        <v>254.33376817058473</v>
      </c>
      <c r="E60" s="153">
        <f t="shared" si="3"/>
        <v>16.023027394746837</v>
      </c>
      <c r="F60" s="153">
        <f t="shared" si="4"/>
        <v>238.3107407758379</v>
      </c>
      <c r="G60" s="153">
        <f t="shared" si="5"/>
        <v>16824.738298774155</v>
      </c>
      <c r="H60" s="86">
        <f t="shared" si="6"/>
        <v>6615828.2939483356</v>
      </c>
      <c r="I60" s="153">
        <f t="shared" si="7"/>
        <v>1131.2257340691267</v>
      </c>
      <c r="J60" s="166">
        <f t="shared" si="8"/>
        <v>546703.58199909725</v>
      </c>
      <c r="K60" s="167">
        <f t="shared" si="9"/>
        <v>7162531.8759474326</v>
      </c>
    </row>
    <row r="61" spans="1:11" s="6" customFormat="1">
      <c r="A61" s="92">
        <v>2027</v>
      </c>
      <c r="B61" s="192">
        <v>8</v>
      </c>
      <c r="C61" s="85">
        <v>70.599999999999994</v>
      </c>
      <c r="D61" s="153">
        <f t="shared" si="10"/>
        <v>260.18344483850814</v>
      </c>
      <c r="E61" s="153">
        <f t="shared" si="3"/>
        <v>16.391557024826014</v>
      </c>
      <c r="F61" s="153">
        <f t="shared" si="4"/>
        <v>243.79188781368214</v>
      </c>
      <c r="G61" s="153">
        <f t="shared" si="5"/>
        <v>17211.707279645958</v>
      </c>
      <c r="H61" s="86">
        <f t="shared" si="6"/>
        <v>7046402.1697991854</v>
      </c>
      <c r="I61" s="153">
        <f t="shared" si="7"/>
        <v>1157.2439259527164</v>
      </c>
      <c r="J61" s="166">
        <f t="shared" si="8"/>
        <v>582284.35432026198</v>
      </c>
      <c r="K61" s="167">
        <f t="shared" si="9"/>
        <v>7628686.524119447</v>
      </c>
    </row>
    <row r="62" spans="1:11" s="6" customFormat="1">
      <c r="A62" s="92">
        <v>2028</v>
      </c>
      <c r="B62" s="192">
        <v>9</v>
      </c>
      <c r="C62" s="85">
        <v>70.599999999999994</v>
      </c>
      <c r="D62" s="153">
        <f t="shared" si="10"/>
        <v>266.16766406979377</v>
      </c>
      <c r="E62" s="153">
        <f t="shared" si="3"/>
        <v>16.768562836397006</v>
      </c>
      <c r="F62" s="153">
        <f t="shared" si="4"/>
        <v>249.39910123339678</v>
      </c>
      <c r="G62" s="153">
        <f t="shared" si="5"/>
        <v>17607.57654707781</v>
      </c>
      <c r="H62" s="86">
        <f t="shared" si="6"/>
        <v>7504998.8198708864</v>
      </c>
      <c r="I62" s="153">
        <f t="shared" si="7"/>
        <v>1183.8605362496285</v>
      </c>
      <c r="J62" s="166">
        <f t="shared" si="8"/>
        <v>620180.80811975396</v>
      </c>
      <c r="K62" s="167">
        <f t="shared" si="9"/>
        <v>8125179.6279906407</v>
      </c>
    </row>
    <row r="63" spans="1:11" s="6" customFormat="1">
      <c r="A63" s="92">
        <v>2029</v>
      </c>
      <c r="B63" s="191">
        <v>10</v>
      </c>
      <c r="C63" s="85">
        <v>70.599999999999994</v>
      </c>
      <c r="D63" s="153">
        <f t="shared" si="10"/>
        <v>272.28952034339903</v>
      </c>
      <c r="E63" s="153">
        <f t="shared" si="3"/>
        <v>17.154239781634139</v>
      </c>
      <c r="F63" s="153">
        <f t="shared" si="4"/>
        <v>255.13528056176492</v>
      </c>
      <c r="G63" s="153">
        <f t="shared" si="5"/>
        <v>18012.550807660602</v>
      </c>
      <c r="H63" s="86">
        <f t="shared" si="6"/>
        <v>7993442.0331090204</v>
      </c>
      <c r="I63" s="153">
        <f t="shared" si="7"/>
        <v>1211.0893285833702</v>
      </c>
      <c r="J63" s="166">
        <f t="shared" si="8"/>
        <v>660543.65346818883</v>
      </c>
      <c r="K63" s="167">
        <f t="shared" si="9"/>
        <v>8653985.6865772083</v>
      </c>
    </row>
    <row r="64" spans="1:11" s="6" customFormat="1">
      <c r="A64" s="92"/>
      <c r="B64" s="192"/>
      <c r="C64" s="85"/>
      <c r="D64" s="153"/>
      <c r="E64" s="153"/>
      <c r="F64" s="153"/>
      <c r="G64" s="153"/>
      <c r="H64" s="86"/>
      <c r="I64" s="153"/>
      <c r="J64" s="166"/>
      <c r="K64" s="167"/>
    </row>
    <row r="65" spans="1:16" s="6" customFormat="1">
      <c r="A65" s="92"/>
      <c r="B65" s="192"/>
      <c r="C65" s="85"/>
      <c r="D65" s="153"/>
      <c r="E65" s="153"/>
      <c r="F65" s="153"/>
      <c r="G65" s="153"/>
      <c r="H65" s="86"/>
      <c r="I65" s="153"/>
      <c r="J65" s="166"/>
      <c r="K65" s="167"/>
    </row>
    <row r="66" spans="1:16" s="6" customFormat="1">
      <c r="A66" s="92"/>
      <c r="B66" s="192"/>
      <c r="C66" s="85"/>
      <c r="D66" s="153"/>
      <c r="E66" s="153"/>
      <c r="F66" s="153"/>
      <c r="G66" s="153"/>
      <c r="H66" s="86"/>
      <c r="I66" s="153"/>
      <c r="J66" s="166"/>
      <c r="K66" s="167"/>
    </row>
    <row r="67" spans="1:16" s="147" customFormat="1">
      <c r="A67" s="204" t="s">
        <v>354</v>
      </c>
      <c r="B67" s="198"/>
      <c r="C67" s="199"/>
      <c r="D67" s="200"/>
      <c r="E67" s="200"/>
      <c r="F67" s="200"/>
      <c r="G67" s="200"/>
      <c r="H67" s="201"/>
      <c r="I67" s="200"/>
      <c r="J67" s="202"/>
      <c r="K67" s="203"/>
    </row>
    <row r="68" spans="1:16" s="6" customFormat="1">
      <c r="A68" s="87"/>
      <c r="B68" s="87"/>
      <c r="C68" s="80"/>
      <c r="D68" s="80"/>
      <c r="E68" s="80"/>
      <c r="F68" s="80"/>
      <c r="G68" s="80"/>
    </row>
    <row r="69" spans="1:16">
      <c r="A69" s="108"/>
      <c r="B69" s="108"/>
      <c r="C69" s="190" t="s">
        <v>309</v>
      </c>
      <c r="D69" s="80"/>
      <c r="E69" s="80"/>
      <c r="F69" s="80"/>
      <c r="G69" s="80"/>
      <c r="H69" s="6"/>
      <c r="I69" s="6"/>
      <c r="J69" s="6"/>
      <c r="K69" s="6"/>
      <c r="L69" s="6"/>
      <c r="M69" s="6"/>
      <c r="N69" s="6"/>
      <c r="O69" s="6"/>
      <c r="P69" s="6"/>
    </row>
    <row r="70" spans="1:16">
      <c r="A70" s="115">
        <v>2020</v>
      </c>
      <c r="B70" s="115"/>
      <c r="C70" s="188">
        <f>K54-F33</f>
        <v>1158216.2822703202</v>
      </c>
      <c r="D70" s="401"/>
      <c r="E70" s="401"/>
      <c r="F70" s="401"/>
      <c r="G70" s="80"/>
      <c r="H70" s="6"/>
      <c r="I70" s="6"/>
      <c r="J70" s="6"/>
      <c r="K70" s="6"/>
      <c r="L70" s="6"/>
      <c r="M70" s="220"/>
      <c r="N70" s="6"/>
      <c r="O70" s="6"/>
      <c r="P70" s="6"/>
    </row>
    <row r="71" spans="1:16">
      <c r="A71" s="115">
        <v>2021</v>
      </c>
      <c r="B71" s="115"/>
      <c r="C71" s="188">
        <f t="shared" ref="C71:C79" si="11">K55-F34</f>
        <v>1530192.5375430905</v>
      </c>
      <c r="D71" s="401"/>
      <c r="E71" s="401"/>
      <c r="F71" s="401"/>
      <c r="G71" s="80"/>
      <c r="H71" s="6"/>
      <c r="I71" s="6"/>
      <c r="J71" s="6"/>
      <c r="K71" s="6"/>
      <c r="L71" s="6"/>
      <c r="M71" s="220"/>
      <c r="N71" s="6"/>
      <c r="O71" s="6"/>
      <c r="P71" s="6"/>
    </row>
    <row r="72" spans="1:16">
      <c r="A72" s="115">
        <v>2022</v>
      </c>
      <c r="B72" s="115"/>
      <c r="C72" s="188">
        <f t="shared" si="11"/>
        <v>1629781.1154828565</v>
      </c>
      <c r="D72" s="84"/>
      <c r="E72" s="84"/>
      <c r="F72" s="155"/>
      <c r="G72" s="80"/>
      <c r="H72" s="6"/>
      <c r="I72" s="6"/>
      <c r="J72" s="6"/>
      <c r="K72" s="6"/>
      <c r="L72" s="6"/>
      <c r="M72" s="220"/>
      <c r="N72" s="6"/>
      <c r="O72" s="6"/>
      <c r="P72" s="6"/>
    </row>
    <row r="73" spans="1:16">
      <c r="A73" s="115">
        <v>2023</v>
      </c>
      <c r="B73" s="115"/>
      <c r="C73" s="188">
        <f t="shared" si="11"/>
        <v>1735851.1554692145</v>
      </c>
      <c r="D73" s="84"/>
      <c r="E73" s="84"/>
      <c r="F73" s="155"/>
      <c r="G73" s="80"/>
      <c r="H73" s="6"/>
      <c r="I73" s="6"/>
      <c r="J73" s="6"/>
      <c r="K73" s="6"/>
      <c r="L73" s="6"/>
      <c r="M73" s="220"/>
      <c r="N73" s="6"/>
      <c r="O73" s="6"/>
      <c r="P73" s="6"/>
    </row>
    <row r="74" spans="1:16">
      <c r="A74" s="115">
        <v>2024</v>
      </c>
      <c r="B74" s="115"/>
      <c r="C74" s="188">
        <f t="shared" si="11"/>
        <v>1848824.4865023419</v>
      </c>
      <c r="D74" s="80"/>
      <c r="E74" s="80"/>
      <c r="F74" s="80"/>
      <c r="G74" s="80"/>
      <c r="H74" s="6"/>
      <c r="I74" s="6"/>
      <c r="J74" s="6"/>
      <c r="K74" s="6"/>
      <c r="L74" s="6"/>
      <c r="M74" s="220"/>
      <c r="N74" s="6"/>
      <c r="O74" s="6"/>
      <c r="P74" s="6"/>
    </row>
    <row r="75" spans="1:16">
      <c r="A75" s="115">
        <v>2025</v>
      </c>
      <c r="B75" s="115"/>
      <c r="C75" s="188">
        <f t="shared" si="11"/>
        <v>1969150.3912192825</v>
      </c>
      <c r="D75" s="401"/>
      <c r="E75" s="401"/>
      <c r="F75" s="401"/>
      <c r="G75" s="81"/>
      <c r="H75" s="6"/>
      <c r="I75" s="6"/>
      <c r="J75" s="6"/>
      <c r="K75" s="6"/>
      <c r="L75" s="6"/>
      <c r="M75" s="220"/>
      <c r="N75" s="6"/>
      <c r="O75" s="6"/>
      <c r="P75" s="6"/>
    </row>
    <row r="76" spans="1:16">
      <c r="A76" s="115">
        <v>2026</v>
      </c>
      <c r="B76" s="115"/>
      <c r="C76" s="188">
        <f t="shared" si="11"/>
        <v>2097307.3926420799</v>
      </c>
      <c r="D76" s="401"/>
      <c r="E76" s="401"/>
      <c r="F76" s="401"/>
      <c r="G76" s="81"/>
      <c r="H76" s="6"/>
      <c r="I76" s="6"/>
      <c r="J76" s="6"/>
      <c r="K76" s="6"/>
      <c r="L76" s="6"/>
      <c r="M76" s="220"/>
      <c r="N76" s="6"/>
      <c r="O76" s="6"/>
      <c r="P76" s="6"/>
    </row>
    <row r="77" spans="1:16">
      <c r="A77" s="115">
        <v>2027</v>
      </c>
      <c r="B77" s="115"/>
      <c r="C77" s="188">
        <f t="shared" si="11"/>
        <v>2233805.1572117209</v>
      </c>
      <c r="D77" s="84"/>
      <c r="E77" s="84"/>
      <c r="F77" s="155"/>
      <c r="G77" s="196"/>
      <c r="H77" s="6"/>
      <c r="I77" s="6"/>
      <c r="J77" s="6"/>
      <c r="K77" s="6"/>
      <c r="L77" s="6"/>
      <c r="M77" s="220"/>
      <c r="N77" s="6"/>
      <c r="O77" s="6"/>
      <c r="P77" s="6"/>
    </row>
    <row r="78" spans="1:16">
      <c r="A78" s="115">
        <v>2028</v>
      </c>
      <c r="B78" s="115"/>
      <c r="C78" s="188">
        <f t="shared" si="11"/>
        <v>2379186.5216761045</v>
      </c>
      <c r="D78" s="84"/>
      <c r="E78" s="84"/>
      <c r="F78" s="84"/>
      <c r="G78" s="155"/>
      <c r="H78" s="44"/>
      <c r="I78" s="6"/>
      <c r="J78" s="6"/>
      <c r="K78" s="6"/>
      <c r="L78" s="6"/>
      <c r="M78" s="220"/>
      <c r="N78" s="6"/>
      <c r="O78" s="6"/>
      <c r="P78" s="6"/>
    </row>
    <row r="79" spans="1:16">
      <c r="A79" s="115">
        <v>2029</v>
      </c>
      <c r="B79" s="115"/>
      <c r="C79" s="188">
        <f t="shared" si="11"/>
        <v>2534029.6518926555</v>
      </c>
      <c r="D79" s="84"/>
      <c r="E79" s="84"/>
      <c r="F79" s="84"/>
      <c r="G79" s="155"/>
      <c r="H79" s="44"/>
      <c r="I79" s="6"/>
      <c r="J79" s="6"/>
      <c r="K79" s="6"/>
      <c r="L79" s="6"/>
      <c r="M79" s="220"/>
      <c r="N79" s="6"/>
      <c r="O79" s="6"/>
      <c r="P79" s="6"/>
    </row>
    <row r="80" spans="1:16">
      <c r="A80" s="115"/>
      <c r="B80" s="115"/>
      <c r="C80" s="188"/>
      <c r="D80" s="84"/>
      <c r="E80" s="84"/>
      <c r="F80" s="84"/>
      <c r="G80" s="155"/>
      <c r="H80" s="44"/>
      <c r="I80" s="6"/>
      <c r="J80" s="48"/>
      <c r="K80" s="6"/>
      <c r="L80" s="6"/>
      <c r="M80" s="220"/>
      <c r="N80" s="6"/>
      <c r="O80" s="6"/>
      <c r="P80" s="6"/>
    </row>
    <row r="81" spans="1:23">
      <c r="A81" s="401"/>
      <c r="B81" s="81"/>
      <c r="C81" s="402"/>
      <c r="D81" s="401"/>
      <c r="E81" s="401"/>
      <c r="F81" s="401"/>
      <c r="G81" s="401"/>
      <c r="H81" s="44"/>
      <c r="I81" s="6"/>
      <c r="J81" s="42"/>
      <c r="K81" s="397"/>
      <c r="L81" s="397"/>
      <c r="M81" s="397"/>
      <c r="N81" s="397"/>
      <c r="O81" s="397"/>
      <c r="P81" s="6"/>
    </row>
    <row r="82" spans="1:23">
      <c r="A82" s="401"/>
      <c r="B82" s="81"/>
      <c r="C82" s="402"/>
      <c r="D82" s="401"/>
      <c r="E82" s="401"/>
      <c r="F82" s="81"/>
      <c r="G82" s="112"/>
      <c r="H82" s="44"/>
      <c r="I82" s="6"/>
      <c r="J82" s="42"/>
      <c r="K82" s="397"/>
      <c r="L82" s="397"/>
      <c r="M82" s="397"/>
      <c r="N82" s="397"/>
      <c r="O82" s="397"/>
      <c r="P82" s="6"/>
    </row>
    <row r="83" spans="1:23" ht="16" customHeight="1">
      <c r="A83" s="84"/>
      <c r="B83" s="84"/>
      <c r="C83" s="84"/>
      <c r="D83" s="84"/>
      <c r="E83" s="84"/>
      <c r="F83" s="155"/>
      <c r="G83" s="155"/>
      <c r="H83" s="44"/>
      <c r="I83" s="6"/>
      <c r="J83" s="6"/>
      <c r="K83" s="6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</row>
    <row r="84" spans="1:23">
      <c r="A84" s="80"/>
      <c r="B84" s="80"/>
      <c r="C84" s="80"/>
      <c r="D84" s="80"/>
      <c r="E84" s="80"/>
      <c r="F84" s="80"/>
      <c r="G84" s="80"/>
      <c r="H84" s="44"/>
      <c r="I84" s="6"/>
      <c r="J84" s="6"/>
      <c r="K84" s="6"/>
      <c r="L84" s="6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</row>
    <row r="85" spans="1:23">
      <c r="A85" s="80"/>
      <c r="B85" s="80"/>
      <c r="C85" s="84"/>
      <c r="D85" s="84"/>
      <c r="E85" s="84"/>
      <c r="F85" s="84"/>
      <c r="G85" s="155"/>
      <c r="H85" s="44"/>
      <c r="I85" s="6"/>
      <c r="J85" s="6"/>
      <c r="K85" s="6"/>
      <c r="L85" s="6"/>
      <c r="M85" s="6"/>
      <c r="N85" s="6"/>
      <c r="O85" s="6"/>
      <c r="P85" s="6"/>
    </row>
    <row r="86" spans="1:23">
      <c r="A86" s="83"/>
      <c r="B86" s="83"/>
      <c r="C86" s="84"/>
      <c r="D86" s="84"/>
      <c r="E86" s="84"/>
      <c r="F86" s="84"/>
      <c r="G86" s="155"/>
      <c r="H86" s="44"/>
      <c r="I86" s="6"/>
      <c r="J86" s="48"/>
      <c r="K86" s="6"/>
      <c r="L86" s="6"/>
      <c r="M86" s="6"/>
      <c r="N86" s="6"/>
      <c r="O86" s="6"/>
      <c r="P86" s="6"/>
    </row>
    <row r="87" spans="1:23">
      <c r="A87" s="401"/>
      <c r="B87" s="81"/>
      <c r="C87" s="402"/>
      <c r="D87" s="401"/>
      <c r="E87" s="401"/>
      <c r="F87" s="401"/>
      <c r="G87" s="401"/>
      <c r="H87" s="112"/>
      <c r="I87" s="6"/>
      <c r="J87" s="42"/>
      <c r="K87" s="397"/>
      <c r="L87" s="397"/>
      <c r="M87" s="397"/>
      <c r="N87" s="397"/>
      <c r="O87" s="397"/>
      <c r="P87" s="6"/>
    </row>
    <row r="88" spans="1:23">
      <c r="A88" s="401"/>
      <c r="B88" s="81"/>
      <c r="C88" s="402"/>
      <c r="D88" s="401"/>
      <c r="E88" s="401"/>
      <c r="F88" s="81"/>
      <c r="G88" s="112"/>
      <c r="H88" s="112"/>
      <c r="I88" s="6"/>
      <c r="J88" s="42"/>
      <c r="K88" s="397"/>
      <c r="L88" s="397"/>
      <c r="M88" s="397"/>
      <c r="N88" s="397"/>
      <c r="O88" s="397"/>
      <c r="P88" s="6"/>
    </row>
    <row r="89" spans="1:23">
      <c r="A89" s="84"/>
      <c r="B89" s="84"/>
      <c r="C89" s="84"/>
      <c r="D89" s="84"/>
      <c r="E89" s="84"/>
      <c r="F89" s="155"/>
      <c r="G89" s="155"/>
      <c r="H89" s="6"/>
      <c r="I89" s="6"/>
      <c r="J89" s="6"/>
      <c r="K89" s="6"/>
      <c r="L89" s="158"/>
      <c r="M89" s="78"/>
      <c r="N89" s="158"/>
      <c r="O89" s="78"/>
      <c r="P89" s="6"/>
    </row>
    <row r="90" spans="1:23">
      <c r="A90" s="80"/>
      <c r="B90" s="80"/>
      <c r="C90" s="80"/>
      <c r="D90" s="80"/>
      <c r="E90" s="80"/>
      <c r="F90" s="80"/>
      <c r="G90" s="80"/>
      <c r="H90" s="6"/>
    </row>
    <row r="91" spans="1:23">
      <c r="A91" s="80"/>
      <c r="B91" s="80"/>
      <c r="C91" s="80"/>
      <c r="D91" s="80"/>
      <c r="E91" s="80"/>
      <c r="F91" s="80"/>
      <c r="G91" s="80"/>
      <c r="H91" s="6"/>
    </row>
    <row r="92" spans="1:23">
      <c r="A92" s="186"/>
      <c r="B92" s="186"/>
      <c r="C92" s="186"/>
      <c r="D92" s="186"/>
      <c r="E92" s="186"/>
      <c r="F92" s="186"/>
      <c r="G92" s="186"/>
      <c r="H92" s="186"/>
      <c r="I92" s="186"/>
      <c r="J92" s="182"/>
      <c r="K92" s="182"/>
      <c r="L92" s="182"/>
      <c r="M92" s="182"/>
      <c r="N92" s="182"/>
      <c r="O92" s="13"/>
      <c r="P92" s="13"/>
    </row>
    <row r="93" spans="1:23">
      <c r="A93" s="186"/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3"/>
      <c r="P93" s="13"/>
    </row>
    <row r="94" spans="1:23">
      <c r="A94" s="173"/>
      <c r="B94" s="173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186"/>
      <c r="O94" s="13"/>
      <c r="P94" s="13"/>
    </row>
    <row r="95" spans="1:23">
      <c r="A95" s="177"/>
      <c r="B95" s="177"/>
      <c r="C95" s="208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186"/>
      <c r="O95" s="13"/>
    </row>
    <row r="96" spans="1:23">
      <c r="A96" s="177"/>
      <c r="B96" s="177"/>
      <c r="C96" s="208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186"/>
      <c r="O96" s="13"/>
    </row>
    <row r="97" spans="1:15">
      <c r="A97" s="177"/>
      <c r="B97" s="177"/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186"/>
      <c r="O97" s="13"/>
    </row>
    <row r="98" spans="1:15">
      <c r="A98" s="210"/>
      <c r="B98" s="210"/>
      <c r="C98" s="211"/>
      <c r="D98" s="212"/>
      <c r="E98" s="212"/>
      <c r="F98" s="212"/>
      <c r="G98" s="212"/>
      <c r="H98" s="212"/>
      <c r="I98" s="212"/>
      <c r="J98" s="212"/>
      <c r="K98" s="212"/>
      <c r="L98" s="212"/>
      <c r="M98" s="212"/>
      <c r="N98" s="186"/>
      <c r="O98" s="13"/>
    </row>
    <row r="99" spans="1:15">
      <c r="A99" s="213"/>
      <c r="B99" s="213"/>
      <c r="C99" s="213"/>
      <c r="D99" s="213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3"/>
    </row>
    <row r="100" spans="1:15">
      <c r="A100" s="214"/>
      <c r="B100" s="214"/>
      <c r="C100" s="214"/>
      <c r="D100" s="213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3"/>
    </row>
    <row r="101" spans="1:15" ht="19">
      <c r="A101" s="215"/>
      <c r="B101" s="215"/>
      <c r="C101" s="214"/>
      <c r="D101" s="213"/>
      <c r="E101" s="186"/>
      <c r="F101" s="186"/>
      <c r="G101" s="186"/>
      <c r="H101" s="186"/>
      <c r="I101" s="186"/>
      <c r="J101" s="186"/>
      <c r="K101" s="182"/>
      <c r="L101" s="182"/>
      <c r="M101" s="182"/>
      <c r="N101" s="182"/>
      <c r="O101" s="13"/>
    </row>
    <row r="102" spans="1:15">
      <c r="A102" s="181"/>
      <c r="B102" s="181"/>
      <c r="C102" s="181"/>
      <c r="D102" s="181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</row>
    <row r="103" spans="1:15">
      <c r="A103" s="183"/>
      <c r="B103" s="183"/>
      <c r="C103" s="184"/>
      <c r="D103" s="181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</row>
    <row r="104" spans="1:15">
      <c r="A104" s="173"/>
      <c r="B104" s="173"/>
      <c r="C104" s="181"/>
      <c r="D104" s="181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</row>
    <row r="105" spans="1:15">
      <c r="A105" s="177"/>
      <c r="B105" s="177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85"/>
    </row>
    <row r="106" spans="1:15">
      <c r="A106" s="186"/>
      <c r="B106" s="186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85"/>
    </row>
    <row r="107" spans="1:15">
      <c r="A107" s="178"/>
      <c r="B107" s="178"/>
      <c r="C107" s="176"/>
      <c r="D107" s="176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</row>
    <row r="108" spans="1:15">
      <c r="A108" s="187"/>
      <c r="B108" s="187"/>
      <c r="C108" s="187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</row>
    <row r="109" spans="1:15">
      <c r="A109" s="187"/>
      <c r="B109" s="187"/>
      <c r="C109" s="187"/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</row>
    <row r="110" spans="1:15">
      <c r="A110" s="177"/>
      <c r="B110" s="177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6"/>
    </row>
    <row r="111" spans="1:15">
      <c r="A111" s="177"/>
      <c r="B111" s="177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6"/>
    </row>
    <row r="112" spans="1:15">
      <c r="A112" s="178"/>
      <c r="B112" s="178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6"/>
    </row>
    <row r="113" spans="1:14">
      <c r="A113" s="178"/>
      <c r="B113" s="178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6"/>
    </row>
    <row r="114" spans="1:14">
      <c r="A114" s="180"/>
      <c r="B114" s="180"/>
      <c r="C114" s="176"/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82"/>
    </row>
    <row r="115" spans="1:14">
      <c r="A115" s="182"/>
      <c r="B115" s="182"/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</row>
    <row r="116" spans="1:14">
      <c r="A116" s="187"/>
      <c r="B116" s="187"/>
      <c r="C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</row>
    <row r="117" spans="1:14">
      <c r="A117" s="177"/>
      <c r="B117" s="177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86"/>
    </row>
    <row r="118" spans="1:14">
      <c r="A118" s="186"/>
      <c r="B118" s="186"/>
      <c r="C118" s="189"/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  <c r="N118" s="186"/>
    </row>
    <row r="119" spans="1:14">
      <c r="A119" s="186"/>
      <c r="B119" s="186"/>
      <c r="C119" s="186"/>
      <c r="D119" s="186"/>
      <c r="E119" s="186"/>
      <c r="F119" s="186"/>
      <c r="G119" s="186"/>
      <c r="H119" s="186"/>
      <c r="I119" s="186"/>
      <c r="J119" s="186"/>
      <c r="K119" s="186"/>
      <c r="L119" s="186"/>
      <c r="M119" s="186"/>
      <c r="N119" s="186"/>
    </row>
    <row r="120" spans="1:14">
      <c r="A120" s="186"/>
      <c r="B120" s="186"/>
      <c r="C120" s="186"/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186"/>
    </row>
    <row r="122" spans="1:14" ht="19">
      <c r="A122" s="95"/>
      <c r="B122" s="95"/>
    </row>
    <row r="123" spans="1:14">
      <c r="D123" s="121"/>
      <c r="E123" s="122"/>
      <c r="F123" s="119"/>
      <c r="G123" s="119"/>
      <c r="H123" s="119"/>
      <c r="I123" s="119"/>
    </row>
    <row r="130" spans="1:2">
      <c r="A130" t="s">
        <v>318</v>
      </c>
    </row>
    <row r="131" spans="1:2">
      <c r="A131" s="12" t="s">
        <v>317</v>
      </c>
      <c r="B131" s="12"/>
    </row>
  </sheetData>
  <mergeCells count="40">
    <mergeCell ref="C31:C32"/>
    <mergeCell ref="E48:F49"/>
    <mergeCell ref="C52:C53"/>
    <mergeCell ref="D52:D53"/>
    <mergeCell ref="E52:E53"/>
    <mergeCell ref="F52:F53"/>
    <mergeCell ref="D31:D32"/>
    <mergeCell ref="E31:E32"/>
    <mergeCell ref="L81:L82"/>
    <mergeCell ref="M81:M82"/>
    <mergeCell ref="N81:N82"/>
    <mergeCell ref="O81:O82"/>
    <mergeCell ref="F31:F32"/>
    <mergeCell ref="G52:G53"/>
    <mergeCell ref="H52:H53"/>
    <mergeCell ref="K81:K82"/>
    <mergeCell ref="I52:I53"/>
    <mergeCell ref="J52:J53"/>
    <mergeCell ref="K52:K53"/>
    <mergeCell ref="A81:A82"/>
    <mergeCell ref="C81:C82"/>
    <mergeCell ref="D81:D82"/>
    <mergeCell ref="E81:E82"/>
    <mergeCell ref="F81:G81"/>
    <mergeCell ref="K87:K88"/>
    <mergeCell ref="L87:L88"/>
    <mergeCell ref="M87:M88"/>
    <mergeCell ref="N87:N88"/>
    <mergeCell ref="O87:O88"/>
    <mergeCell ref="D70:D71"/>
    <mergeCell ref="E70:E71"/>
    <mergeCell ref="F70:F71"/>
    <mergeCell ref="D75:D76"/>
    <mergeCell ref="E75:E76"/>
    <mergeCell ref="F75:F76"/>
    <mergeCell ref="A87:A88"/>
    <mergeCell ref="C87:C88"/>
    <mergeCell ref="D87:D88"/>
    <mergeCell ref="E87:E88"/>
    <mergeCell ref="F87:G87"/>
  </mergeCells>
  <hyperlinks>
    <hyperlink ref="A131" r:id="rId1" xr:uid="{5985F6A5-3169-A24C-9863-932AA8FFA1DC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E8799-0C80-E844-BBAC-D07544FAE3E8}">
  <sheetPr>
    <tabColor theme="9"/>
  </sheetPr>
  <dimension ref="A1:W86"/>
  <sheetViews>
    <sheetView showGridLines="0" topLeftCell="A59" workbookViewId="0">
      <selection activeCell="E51" sqref="E51:F52"/>
    </sheetView>
  </sheetViews>
  <sheetFormatPr baseColWidth="10" defaultRowHeight="16"/>
  <cols>
    <col min="1" max="1" width="12.83203125" customWidth="1"/>
    <col min="2" max="2" width="12" customWidth="1"/>
    <col min="3" max="3" width="13.6640625" customWidth="1"/>
    <col min="4" max="4" width="12.1640625" customWidth="1"/>
    <col min="5" max="5" width="13" customWidth="1"/>
    <col min="6" max="6" width="13.1640625" customWidth="1"/>
    <col min="7" max="7" width="11.5" customWidth="1"/>
    <col min="8" max="8" width="11.83203125" customWidth="1"/>
    <col min="9" max="9" width="14" customWidth="1"/>
    <col min="10" max="10" width="12.1640625" customWidth="1"/>
    <col min="11" max="11" width="13.33203125" customWidth="1"/>
    <col min="12" max="12" width="11.6640625" customWidth="1"/>
    <col min="13" max="13" width="13.83203125" customWidth="1"/>
    <col min="14" max="23" width="10.83203125" customWidth="1"/>
  </cols>
  <sheetData>
    <row r="1" spans="1:23" ht="19">
      <c r="A1" s="95" t="s">
        <v>333</v>
      </c>
      <c r="B1" s="95"/>
      <c r="C1" s="95"/>
      <c r="D1" s="11"/>
      <c r="E1" s="11"/>
      <c r="F1" s="11"/>
      <c r="G1" s="11"/>
      <c r="H1" s="11"/>
    </row>
    <row r="2" spans="1:2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23">
      <c r="A3" s="11" t="s">
        <v>425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23">
      <c r="A4" s="11" t="s">
        <v>426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23">
      <c r="A5" s="11" t="s">
        <v>427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23">
      <c r="A6" s="11" t="s">
        <v>428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23">
      <c r="A7" s="11" t="s">
        <v>429</v>
      </c>
      <c r="B7" s="11"/>
      <c r="C7" s="11"/>
      <c r="D7" s="11"/>
      <c r="E7" s="11"/>
      <c r="F7" s="11"/>
      <c r="G7" s="11"/>
      <c r="H7" s="11"/>
      <c r="I7" s="11"/>
      <c r="J7" s="80"/>
      <c r="K7" s="80"/>
      <c r="L7" s="80"/>
      <c r="M7" s="80"/>
      <c r="N7" s="80"/>
      <c r="O7" s="80"/>
      <c r="P7" s="6"/>
      <c r="Q7" s="6"/>
      <c r="R7" s="6"/>
      <c r="S7" s="6"/>
      <c r="T7" s="6"/>
      <c r="U7" s="6"/>
      <c r="V7" s="6"/>
      <c r="W7" s="6"/>
    </row>
    <row r="8" spans="1:23">
      <c r="A8" s="11"/>
      <c r="B8" s="11"/>
      <c r="C8" s="11"/>
      <c r="D8" s="11"/>
      <c r="E8" s="11"/>
      <c r="F8" s="11"/>
      <c r="G8" s="11"/>
      <c r="H8" s="11"/>
      <c r="I8" s="11"/>
      <c r="J8" s="80"/>
      <c r="K8" s="80"/>
      <c r="L8" s="80"/>
      <c r="M8" s="80"/>
      <c r="N8" s="80"/>
      <c r="O8" s="6"/>
      <c r="P8" s="6"/>
      <c r="Q8" s="6"/>
      <c r="R8" s="6"/>
      <c r="S8" s="6"/>
      <c r="T8" s="6"/>
      <c r="U8" s="6"/>
      <c r="V8" s="6"/>
      <c r="W8" s="6"/>
    </row>
    <row r="9" spans="1:23">
      <c r="A9" s="11"/>
      <c r="B9" s="11"/>
      <c r="C9" s="11"/>
      <c r="D9" s="11"/>
      <c r="E9" s="11"/>
      <c r="F9" s="11"/>
      <c r="G9" s="11"/>
      <c r="H9" s="11"/>
      <c r="I9" s="11"/>
      <c r="J9" s="80"/>
      <c r="K9" s="80"/>
      <c r="L9" s="80"/>
      <c r="M9" s="80"/>
      <c r="N9" s="80"/>
      <c r="O9" s="6"/>
      <c r="P9" s="6"/>
      <c r="Q9" s="6"/>
      <c r="R9" s="6"/>
      <c r="S9" s="6"/>
      <c r="T9" s="6"/>
      <c r="U9" s="6"/>
      <c r="V9" s="6"/>
      <c r="W9" s="6"/>
    </row>
    <row r="10" spans="1:23">
      <c r="A10" t="s">
        <v>400</v>
      </c>
      <c r="C10" s="11"/>
      <c r="D10" s="11"/>
      <c r="E10" s="11"/>
      <c r="F10" s="11"/>
      <c r="G10" s="11"/>
      <c r="H10" s="11"/>
      <c r="I10" s="11"/>
      <c r="J10" s="80"/>
      <c r="K10" s="80"/>
      <c r="L10" s="80"/>
      <c r="M10" s="80"/>
      <c r="N10" s="80"/>
      <c r="O10" s="6"/>
      <c r="P10" s="6"/>
      <c r="Q10" s="6"/>
      <c r="R10" s="6"/>
      <c r="S10" s="6"/>
      <c r="T10" s="6"/>
      <c r="U10" s="6"/>
      <c r="V10" s="6"/>
      <c r="W10" s="6"/>
    </row>
    <row r="11" spans="1:23" ht="16" customHeight="1">
      <c r="A11" s="96" t="s">
        <v>28</v>
      </c>
      <c r="B11" s="96"/>
      <c r="C11" s="88" t="s">
        <v>17</v>
      </c>
      <c r="D11" s="88" t="s">
        <v>338</v>
      </c>
      <c r="E11" s="88" t="s">
        <v>8</v>
      </c>
      <c r="F11" s="11"/>
      <c r="G11" s="11"/>
      <c r="H11" s="11"/>
      <c r="I11" s="11"/>
      <c r="J11" s="80"/>
      <c r="K11" s="80"/>
      <c r="L11" s="80"/>
      <c r="M11" s="80"/>
      <c r="N11" s="80"/>
      <c r="O11" s="6"/>
      <c r="P11" s="6"/>
      <c r="Q11" s="6"/>
      <c r="R11" s="6"/>
      <c r="S11" s="6"/>
      <c r="T11" s="6"/>
      <c r="U11" s="6"/>
      <c r="V11" s="6"/>
      <c r="W11" s="6"/>
    </row>
    <row r="12" spans="1:23">
      <c r="A12" s="115">
        <v>2020</v>
      </c>
      <c r="B12" s="115"/>
      <c r="C12" s="205">
        <v>184.67</v>
      </c>
      <c r="D12" s="205">
        <v>257.42</v>
      </c>
      <c r="E12" s="205">
        <v>316.38</v>
      </c>
      <c r="F12" s="11"/>
      <c r="G12" s="11"/>
      <c r="H12" s="11"/>
      <c r="I12" s="11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6"/>
      <c r="W12" s="6"/>
    </row>
    <row r="13" spans="1:23">
      <c r="A13" s="115">
        <v>2021</v>
      </c>
      <c r="B13" s="115"/>
      <c r="C13" s="205">
        <v>184.67</v>
      </c>
      <c r="D13" s="205">
        <v>257.42</v>
      </c>
      <c r="E13" s="205">
        <v>316.38</v>
      </c>
      <c r="F13" s="11"/>
      <c r="G13" s="11"/>
      <c r="H13" s="11"/>
      <c r="I13" s="11"/>
      <c r="J13" s="87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6"/>
      <c r="W13" s="6"/>
    </row>
    <row r="14" spans="1:23">
      <c r="A14" s="115">
        <v>2022</v>
      </c>
      <c r="B14" s="115"/>
      <c r="C14" s="205">
        <v>223.83090294117648</v>
      </c>
      <c r="D14" s="205">
        <v>312.00818235294122</v>
      </c>
      <c r="E14" s="205">
        <v>383.47117058823534</v>
      </c>
      <c r="F14" s="11"/>
      <c r="G14" s="11"/>
      <c r="H14" s="11"/>
      <c r="I14" s="11"/>
      <c r="J14" s="87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6"/>
      <c r="W14" s="6"/>
    </row>
    <row r="15" spans="1:23">
      <c r="A15" s="115">
        <v>2023</v>
      </c>
      <c r="B15" s="115"/>
      <c r="C15" s="205">
        <v>229.59454869191177</v>
      </c>
      <c r="D15" s="205">
        <v>320.04239304852945</v>
      </c>
      <c r="E15" s="205">
        <v>393.34555323088239</v>
      </c>
      <c r="F15" s="11"/>
      <c r="G15" s="11"/>
      <c r="H15" s="11"/>
      <c r="I15" s="11"/>
      <c r="J15" s="87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6"/>
      <c r="W15" s="6"/>
    </row>
    <row r="16" spans="1:23" ht="16" customHeight="1">
      <c r="A16" s="115">
        <v>2024</v>
      </c>
      <c r="B16" s="115"/>
      <c r="C16" s="205">
        <v>235.50660832072847</v>
      </c>
      <c r="D16" s="205">
        <v>328.28348466952906</v>
      </c>
      <c r="E16" s="205">
        <v>403.47420122657758</v>
      </c>
      <c r="F16" s="11"/>
      <c r="G16" s="11"/>
      <c r="H16" s="11"/>
      <c r="I16" s="11"/>
      <c r="J16" s="80"/>
      <c r="K16" s="80"/>
      <c r="L16" s="80"/>
      <c r="M16" s="80"/>
      <c r="N16" s="80"/>
      <c r="O16" s="6"/>
      <c r="P16" s="6"/>
      <c r="Q16" s="6"/>
      <c r="R16" s="6"/>
      <c r="S16" s="6"/>
      <c r="T16" s="6"/>
      <c r="U16" s="6"/>
      <c r="V16" s="6"/>
      <c r="W16" s="6"/>
    </row>
    <row r="17" spans="1:23">
      <c r="A17" s="115">
        <v>2025</v>
      </c>
      <c r="B17" s="115"/>
      <c r="C17" s="205">
        <v>241.57090348498721</v>
      </c>
      <c r="D17" s="205">
        <v>336.73678439976942</v>
      </c>
      <c r="E17" s="205">
        <v>413.86366190816193</v>
      </c>
      <c r="F17" s="11"/>
      <c r="G17" s="11"/>
      <c r="H17" s="11"/>
      <c r="I17" s="11"/>
      <c r="J17" s="80"/>
      <c r="K17" s="80"/>
      <c r="L17" s="80"/>
      <c r="M17" s="80"/>
      <c r="N17" s="80"/>
      <c r="O17" s="6"/>
      <c r="P17" s="6"/>
      <c r="Q17" s="6"/>
      <c r="R17" s="6"/>
      <c r="S17" s="6"/>
      <c r="T17" s="6"/>
      <c r="U17" s="6"/>
      <c r="V17" s="6"/>
      <c r="W17" s="6"/>
    </row>
    <row r="18" spans="1:23">
      <c r="A18" s="115">
        <v>2026</v>
      </c>
      <c r="B18" s="115"/>
      <c r="C18" s="205">
        <v>247.79135424972563</v>
      </c>
      <c r="D18" s="205">
        <v>345.40775659806349</v>
      </c>
      <c r="E18" s="205">
        <v>424.52065120229707</v>
      </c>
      <c r="F18" s="11"/>
      <c r="G18" s="11"/>
      <c r="H18" s="11"/>
      <c r="I18" s="11"/>
      <c r="J18" s="11"/>
      <c r="K18" s="11"/>
      <c r="L18" s="11"/>
      <c r="M18" s="11"/>
      <c r="N18" s="11"/>
    </row>
    <row r="19" spans="1:23">
      <c r="A19" s="115">
        <v>2027</v>
      </c>
      <c r="B19" s="115"/>
      <c r="C19" s="205">
        <v>254.17198162165604</v>
      </c>
      <c r="D19" s="205">
        <v>354.3020063304636</v>
      </c>
      <c r="E19" s="205">
        <v>435.45205797075619</v>
      </c>
      <c r="F19" s="11"/>
      <c r="G19" s="11"/>
      <c r="H19" s="11"/>
      <c r="I19" s="11"/>
      <c r="J19" s="11"/>
      <c r="K19" s="11"/>
      <c r="L19" s="11"/>
      <c r="M19" s="11"/>
      <c r="N19" s="11"/>
    </row>
    <row r="20" spans="1:23">
      <c r="A20" s="115">
        <v>2028</v>
      </c>
      <c r="B20" s="115"/>
      <c r="C20" s="205">
        <v>260.71691014841366</v>
      </c>
      <c r="D20" s="205">
        <v>363.42528299347299</v>
      </c>
      <c r="E20" s="205">
        <v>446.66494846350315</v>
      </c>
      <c r="F20" s="11"/>
      <c r="G20" s="11"/>
      <c r="H20" s="11"/>
      <c r="I20" s="11"/>
      <c r="J20" s="11"/>
      <c r="K20" s="11"/>
      <c r="L20" s="11"/>
      <c r="M20" s="11"/>
      <c r="N20" s="11"/>
    </row>
    <row r="21" spans="1:23">
      <c r="A21" s="115">
        <v>2029</v>
      </c>
      <c r="B21" s="115"/>
      <c r="C21" s="205">
        <v>267.43037058473527</v>
      </c>
      <c r="D21" s="205">
        <v>372.78348403055492</v>
      </c>
      <c r="E21" s="205">
        <v>458.16657088643831</v>
      </c>
      <c r="F21" s="11"/>
      <c r="G21" s="11"/>
      <c r="H21" s="11"/>
      <c r="I21" s="11"/>
      <c r="J21" s="11"/>
      <c r="K21" s="11"/>
      <c r="L21" s="11"/>
      <c r="M21" s="11"/>
      <c r="N21" s="11"/>
    </row>
    <row r="22" spans="1:23" ht="16" customHeight="1">
      <c r="A22" s="115"/>
      <c r="B22" s="115"/>
      <c r="C22" s="205"/>
      <c r="D22" s="205"/>
      <c r="E22" s="205"/>
      <c r="F22" s="11"/>
      <c r="G22" s="11"/>
      <c r="H22" s="11"/>
      <c r="I22" s="11"/>
      <c r="J22" s="11"/>
      <c r="K22" s="11"/>
      <c r="L22" s="11"/>
      <c r="M22" s="11"/>
      <c r="N22" s="11"/>
    </row>
    <row r="23" spans="1:2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23" s="147" customFormat="1">
      <c r="A24" s="144" t="s">
        <v>302</v>
      </c>
      <c r="B24" s="144"/>
      <c r="C24" s="145"/>
      <c r="D24" s="145"/>
      <c r="E24" s="145"/>
      <c r="F24" s="145"/>
      <c r="G24" s="145"/>
    </row>
    <row r="25" spans="1:23">
      <c r="A25" s="87"/>
      <c r="B25" s="87"/>
      <c r="C25" s="80"/>
      <c r="D25" s="80"/>
      <c r="E25" s="80"/>
      <c r="F25" s="80"/>
      <c r="G25" s="80"/>
      <c r="H25" s="6"/>
      <c r="I25" s="6"/>
      <c r="J25" s="6"/>
      <c r="K25" s="6"/>
      <c r="L25" s="6"/>
      <c r="M25" s="6"/>
      <c r="N25" s="6"/>
    </row>
    <row r="26" spans="1:23">
      <c r="A26" s="87" t="s">
        <v>389</v>
      </c>
      <c r="B26" s="87"/>
      <c r="C26" s="80"/>
      <c r="D26" s="152">
        <f>D50</f>
        <v>2.3E-2</v>
      </c>
      <c r="E26" s="80"/>
      <c r="F26" s="80"/>
      <c r="G26" s="80"/>
      <c r="H26" s="6"/>
      <c r="I26" s="6"/>
      <c r="J26" s="6"/>
      <c r="K26" s="6"/>
      <c r="L26" s="6"/>
      <c r="M26" s="6"/>
      <c r="N26" s="6"/>
    </row>
    <row r="27" spans="1:23">
      <c r="A27" s="87" t="s">
        <v>352</v>
      </c>
      <c r="B27" s="87"/>
      <c r="C27" s="80"/>
      <c r="D27" s="221">
        <v>1.4999999999999999E-2</v>
      </c>
      <c r="E27" s="80"/>
      <c r="F27" s="80"/>
      <c r="G27" s="80"/>
      <c r="H27" s="6"/>
      <c r="I27" s="6"/>
      <c r="J27" s="6"/>
      <c r="K27" s="6"/>
      <c r="L27" s="6"/>
      <c r="M27" s="6"/>
      <c r="N27" s="6"/>
    </row>
    <row r="28" spans="1:23">
      <c r="A28" s="87" t="s">
        <v>370</v>
      </c>
      <c r="B28" s="87"/>
      <c r="C28" s="80"/>
      <c r="D28" s="242"/>
      <c r="E28" s="80"/>
      <c r="F28" s="80"/>
      <c r="G28" s="80"/>
      <c r="H28" s="6"/>
      <c r="I28" s="6"/>
      <c r="J28" s="6"/>
      <c r="K28" s="6"/>
      <c r="L28" s="6"/>
      <c r="M28" s="6"/>
      <c r="N28" s="6"/>
    </row>
    <row r="29" spans="1:23">
      <c r="A29" s="87" t="s">
        <v>394</v>
      </c>
      <c r="B29" s="87"/>
      <c r="C29" s="80"/>
      <c r="D29" s="194"/>
      <c r="E29" s="80"/>
      <c r="F29" s="80"/>
      <c r="G29" s="80"/>
      <c r="H29" s="6"/>
      <c r="I29" s="6"/>
      <c r="J29" s="6"/>
      <c r="K29" s="6"/>
      <c r="L29" s="6"/>
      <c r="M29" s="6"/>
      <c r="N29" s="6"/>
    </row>
    <row r="30" spans="1:23">
      <c r="A30" s="87" t="s">
        <v>372</v>
      </c>
      <c r="B30" s="87"/>
      <c r="C30" s="80"/>
      <c r="D30" s="194"/>
      <c r="E30" s="80"/>
      <c r="F30" s="80"/>
      <c r="G30" s="80"/>
      <c r="H30" s="6"/>
      <c r="I30" s="6"/>
      <c r="J30" s="6"/>
      <c r="K30" s="6"/>
      <c r="L30" s="6"/>
      <c r="M30" s="6"/>
      <c r="N30" s="6"/>
    </row>
    <row r="31" spans="1:23">
      <c r="A31" s="87" t="s">
        <v>373</v>
      </c>
      <c r="B31" s="87"/>
      <c r="C31" s="80"/>
      <c r="D31" s="194"/>
      <c r="E31" s="80"/>
      <c r="F31" s="80"/>
      <c r="G31" s="80"/>
      <c r="H31" s="6"/>
      <c r="I31" s="6"/>
      <c r="J31" s="6"/>
      <c r="K31" s="6"/>
      <c r="L31" s="6"/>
      <c r="M31" s="6"/>
      <c r="N31" s="6"/>
    </row>
    <row r="32" spans="1:23">
      <c r="A32" s="87" t="s">
        <v>371</v>
      </c>
      <c r="B32" s="87"/>
      <c r="C32" s="80"/>
      <c r="D32" s="194"/>
      <c r="E32" s="80"/>
      <c r="F32" s="80"/>
      <c r="G32" s="80"/>
      <c r="H32" s="6"/>
      <c r="I32" s="6"/>
      <c r="J32" s="6"/>
      <c r="K32" s="6"/>
      <c r="L32" s="6"/>
      <c r="M32" s="6"/>
      <c r="N32" s="6"/>
    </row>
    <row r="33" spans="1:14" ht="16" customHeight="1">
      <c r="A33" s="87"/>
      <c r="B33" s="87"/>
      <c r="C33" s="80"/>
      <c r="D33" s="194"/>
      <c r="E33" s="80"/>
      <c r="F33" s="80"/>
      <c r="G33" s="80"/>
      <c r="H33" s="6"/>
      <c r="I33" s="6"/>
      <c r="J33" s="6"/>
      <c r="K33" s="6"/>
      <c r="L33" s="6"/>
      <c r="M33" s="6"/>
      <c r="N33" s="6"/>
    </row>
    <row r="34" spans="1:14">
      <c r="A34" s="65"/>
      <c r="B34" s="65"/>
      <c r="C34" s="398" t="s">
        <v>67</v>
      </c>
      <c r="D34" s="398" t="s">
        <v>340</v>
      </c>
      <c r="E34" s="398" t="s">
        <v>341</v>
      </c>
      <c r="F34" s="399" t="s">
        <v>68</v>
      </c>
      <c r="G34" s="6"/>
      <c r="H34" s="6"/>
      <c r="I34" s="6"/>
      <c r="J34" s="6"/>
      <c r="K34" s="6"/>
      <c r="L34" s="6"/>
      <c r="M34" s="6"/>
      <c r="N34" s="6"/>
    </row>
    <row r="35" spans="1:14">
      <c r="A35" s="108" t="s">
        <v>28</v>
      </c>
      <c r="B35" s="108"/>
      <c r="C35" s="398"/>
      <c r="D35" s="398"/>
      <c r="E35" s="398"/>
      <c r="F35" s="399"/>
      <c r="G35" s="6"/>
      <c r="H35" s="6"/>
      <c r="I35" s="6"/>
      <c r="J35" s="6"/>
      <c r="K35" s="6"/>
      <c r="L35" s="6"/>
      <c r="M35" s="6"/>
      <c r="N35" s="6"/>
    </row>
    <row r="36" spans="1:14">
      <c r="A36" s="115">
        <v>2020</v>
      </c>
      <c r="B36" s="195">
        <v>1</v>
      </c>
      <c r="C36" s="91">
        <v>70.599999999999994</v>
      </c>
      <c r="D36" s="164">
        <v>126</v>
      </c>
      <c r="E36" s="165">
        <f>D36*C36</f>
        <v>8895.5999999999985</v>
      </c>
      <c r="F36" s="205">
        <f>E36*C12*(1+$D$27)^B36</f>
        <v>1667391.7087799995</v>
      </c>
      <c r="G36" s="80"/>
      <c r="H36" s="6"/>
      <c r="I36" s="6"/>
      <c r="J36" s="6"/>
      <c r="K36" s="6"/>
      <c r="L36" s="6"/>
      <c r="M36" s="6"/>
      <c r="N36" s="6"/>
    </row>
    <row r="37" spans="1:14">
      <c r="A37" s="115">
        <v>2021</v>
      </c>
      <c r="B37" s="195">
        <v>2</v>
      </c>
      <c r="C37" s="91">
        <v>70.599999999999994</v>
      </c>
      <c r="D37" s="165">
        <f>227*0.6</f>
        <v>136.19999999999999</v>
      </c>
      <c r="E37" s="165">
        <f t="shared" ref="E37:E45" si="0">D37*C37</f>
        <v>9615.7199999999975</v>
      </c>
      <c r="F37" s="205">
        <f t="shared" ref="F37:F45" si="1">E37*C13*(1+$D$27)^B37</f>
        <v>1829406.6031497889</v>
      </c>
      <c r="G37" s="80"/>
      <c r="H37" s="6"/>
      <c r="I37" s="6"/>
      <c r="J37" s="6"/>
      <c r="K37" s="6"/>
      <c r="L37" s="6"/>
      <c r="M37" s="6"/>
      <c r="N37" s="6"/>
    </row>
    <row r="38" spans="1:14">
      <c r="A38" s="115">
        <v>2022</v>
      </c>
      <c r="B38" s="195">
        <v>3</v>
      </c>
      <c r="C38" s="91">
        <v>70.599999999999994</v>
      </c>
      <c r="D38" s="165">
        <f>227*0.8</f>
        <v>181.60000000000002</v>
      </c>
      <c r="E38" s="165">
        <f t="shared" si="0"/>
        <v>12820.960000000001</v>
      </c>
      <c r="F38" s="205">
        <f t="shared" si="1"/>
        <v>3000811.5218643085</v>
      </c>
      <c r="G38" s="80"/>
      <c r="H38" s="6"/>
      <c r="I38" s="6"/>
      <c r="J38" s="6"/>
      <c r="K38" s="6"/>
      <c r="L38" s="6"/>
      <c r="M38" s="6"/>
      <c r="N38" s="6"/>
    </row>
    <row r="39" spans="1:14" ht="16" customHeight="1">
      <c r="A39" s="115">
        <v>2023</v>
      </c>
      <c r="B39" s="195">
        <v>4</v>
      </c>
      <c r="C39" s="91">
        <v>70.599999999999994</v>
      </c>
      <c r="D39" s="165">
        <v>227</v>
      </c>
      <c r="E39" s="165">
        <f t="shared" si="0"/>
        <v>16026.199999999999</v>
      </c>
      <c r="F39" s="205">
        <f t="shared" si="1"/>
        <v>3905317.0685382476</v>
      </c>
      <c r="G39" s="80"/>
      <c r="H39" s="6"/>
      <c r="I39" s="6"/>
      <c r="J39" s="6"/>
      <c r="K39" s="6"/>
      <c r="L39" s="6"/>
      <c r="M39" s="6"/>
      <c r="N39" s="6"/>
    </row>
    <row r="40" spans="1:14">
      <c r="A40" s="115">
        <v>2024</v>
      </c>
      <c r="B40" s="195">
        <v>5</v>
      </c>
      <c r="C40" s="91">
        <v>70.599999999999994</v>
      </c>
      <c r="D40" s="165">
        <f t="shared" ref="D40:D45" si="2">D39*(1+$D$26)</f>
        <v>232.22099999999998</v>
      </c>
      <c r="E40" s="165">
        <f t="shared" si="0"/>
        <v>16394.802599999995</v>
      </c>
      <c r="F40" s="205">
        <f t="shared" si="1"/>
        <v>4159484.412658277</v>
      </c>
      <c r="G40" s="80"/>
      <c r="H40" s="6"/>
      <c r="I40" s="6"/>
      <c r="J40" s="6"/>
      <c r="K40" s="6"/>
      <c r="L40" s="6"/>
      <c r="M40" s="6"/>
      <c r="N40" s="6"/>
    </row>
    <row r="41" spans="1:14">
      <c r="A41" s="115">
        <v>2025</v>
      </c>
      <c r="B41" s="195">
        <v>6</v>
      </c>
      <c r="C41" s="91">
        <v>70.599999999999994</v>
      </c>
      <c r="D41" s="165">
        <f t="shared" si="2"/>
        <v>237.56208299999994</v>
      </c>
      <c r="E41" s="165">
        <f t="shared" si="0"/>
        <v>16771.883059799995</v>
      </c>
      <c r="F41" s="205">
        <f t="shared" si="1"/>
        <v>4430193.5734050451</v>
      </c>
      <c r="G41" s="80"/>
      <c r="H41" s="6"/>
      <c r="I41" s="6"/>
      <c r="J41" s="6"/>
      <c r="K41" s="6"/>
      <c r="L41" s="6"/>
      <c r="M41" s="6"/>
      <c r="N41" s="6"/>
    </row>
    <row r="42" spans="1:14">
      <c r="A42" s="115">
        <v>2026</v>
      </c>
      <c r="B42" s="195">
        <v>7</v>
      </c>
      <c r="C42" s="91">
        <v>70.599999999999994</v>
      </c>
      <c r="D42" s="165">
        <f t="shared" si="2"/>
        <v>243.02601090899992</v>
      </c>
      <c r="E42" s="165">
        <f t="shared" si="0"/>
        <v>17157.636370175394</v>
      </c>
      <c r="F42" s="205">
        <f t="shared" si="1"/>
        <v>4718521.1316361763</v>
      </c>
      <c r="G42" s="80"/>
      <c r="H42" s="6"/>
      <c r="I42" s="6"/>
      <c r="J42" s="6"/>
      <c r="K42" s="6"/>
      <c r="L42" s="6"/>
      <c r="M42" s="6"/>
      <c r="N42" s="6"/>
    </row>
    <row r="43" spans="1:14">
      <c r="A43" s="115">
        <v>2027</v>
      </c>
      <c r="B43" s="195">
        <v>8</v>
      </c>
      <c r="C43" s="91">
        <v>70.599999999999994</v>
      </c>
      <c r="D43" s="165">
        <f t="shared" si="2"/>
        <v>248.61560915990691</v>
      </c>
      <c r="E43" s="165">
        <f t="shared" si="0"/>
        <v>17552.262006689427</v>
      </c>
      <c r="F43" s="205">
        <f t="shared" si="1"/>
        <v>5025613.7346578036</v>
      </c>
      <c r="G43" s="80"/>
      <c r="H43" s="6"/>
      <c r="I43" s="6"/>
      <c r="J43" s="6"/>
      <c r="K43" s="6"/>
      <c r="L43" s="6"/>
      <c r="M43" s="6"/>
      <c r="N43" s="6"/>
    </row>
    <row r="44" spans="1:14">
      <c r="A44" s="115">
        <v>2028</v>
      </c>
      <c r="B44" s="195">
        <v>9</v>
      </c>
      <c r="C44" s="91">
        <v>70.599999999999994</v>
      </c>
      <c r="D44" s="165">
        <f t="shared" si="2"/>
        <v>254.33376817058473</v>
      </c>
      <c r="E44" s="165">
        <f t="shared" si="0"/>
        <v>17955.96403284328</v>
      </c>
      <c r="F44" s="205">
        <f t="shared" si="1"/>
        <v>5352692.6563160717</v>
      </c>
      <c r="G44" s="80"/>
      <c r="H44" s="6"/>
      <c r="I44" s="6"/>
      <c r="J44" s="6"/>
      <c r="K44" s="6"/>
      <c r="L44" s="6"/>
      <c r="M44" s="6"/>
      <c r="N44" s="6"/>
    </row>
    <row r="45" spans="1:14" ht="16" customHeight="1">
      <c r="A45" s="115">
        <v>2029</v>
      </c>
      <c r="B45" s="195">
        <v>10</v>
      </c>
      <c r="C45" s="91">
        <v>70.599999999999994</v>
      </c>
      <c r="D45" s="165">
        <f t="shared" si="2"/>
        <v>260.18344483850814</v>
      </c>
      <c r="E45" s="165">
        <f t="shared" si="0"/>
        <v>18368.951205598674</v>
      </c>
      <c r="F45" s="205">
        <f t="shared" si="1"/>
        <v>5701058.6538702389</v>
      </c>
      <c r="G45" s="80"/>
      <c r="H45" s="6"/>
      <c r="I45" s="6"/>
      <c r="J45" s="6"/>
      <c r="K45" s="6"/>
      <c r="L45" s="6"/>
      <c r="M45" s="6"/>
      <c r="N45" s="6"/>
    </row>
    <row r="46" spans="1:14">
      <c r="A46" s="115"/>
      <c r="B46" s="195"/>
      <c r="C46" s="91"/>
      <c r="D46" s="165"/>
      <c r="E46" s="165"/>
      <c r="F46" s="205"/>
      <c r="G46" s="80"/>
      <c r="H46" s="6"/>
      <c r="I46" s="6"/>
      <c r="J46" s="6"/>
      <c r="K46" s="6"/>
      <c r="L46" s="6"/>
      <c r="M46" s="6"/>
      <c r="N46" s="6"/>
    </row>
    <row r="47" spans="1:14">
      <c r="A47" s="87"/>
      <c r="B47" s="87"/>
      <c r="C47" s="80"/>
      <c r="D47" s="194"/>
      <c r="E47" s="80"/>
      <c r="F47" s="80"/>
      <c r="G47" s="80"/>
      <c r="H47" s="6"/>
      <c r="I47" s="6"/>
      <c r="J47" s="6"/>
      <c r="K47" s="6"/>
      <c r="L47" s="6"/>
      <c r="M47" s="6"/>
      <c r="N47" s="6"/>
    </row>
    <row r="48" spans="1:14">
      <c r="A48" s="87"/>
      <c r="B48" s="87"/>
      <c r="C48" s="80"/>
      <c r="D48" s="194"/>
      <c r="E48" s="80"/>
      <c r="F48" s="80"/>
      <c r="G48" s="80"/>
      <c r="H48" s="6"/>
      <c r="I48" s="6"/>
      <c r="J48" s="6"/>
      <c r="K48" s="6"/>
      <c r="L48" s="6"/>
      <c r="M48" s="6"/>
      <c r="N48" s="6"/>
    </row>
    <row r="49" spans="1:15" s="147" customFormat="1">
      <c r="A49" s="144" t="s">
        <v>353</v>
      </c>
      <c r="B49" s="193"/>
      <c r="C49" s="145"/>
      <c r="D49" s="197"/>
      <c r="E49" s="145"/>
      <c r="F49" s="145"/>
      <c r="G49" s="145"/>
    </row>
    <row r="50" spans="1:15">
      <c r="A50" s="90" t="s">
        <v>343</v>
      </c>
      <c r="B50" s="90"/>
      <c r="C50" s="169"/>
      <c r="D50" s="170">
        <f>Hovedmodell!E14</f>
        <v>2.3E-2</v>
      </c>
      <c r="E50" s="171"/>
      <c r="F50" s="159"/>
      <c r="G50" s="81"/>
      <c r="L50" s="6"/>
      <c r="M50" s="6"/>
      <c r="N50" s="6"/>
      <c r="O50" s="13"/>
    </row>
    <row r="51" spans="1:15">
      <c r="A51" s="90" t="s">
        <v>308</v>
      </c>
      <c r="B51" s="90"/>
      <c r="C51" s="169"/>
      <c r="D51" s="170">
        <v>6.3E-2</v>
      </c>
      <c r="E51" s="400"/>
      <c r="F51" s="400"/>
      <c r="G51" s="81"/>
      <c r="L51" s="6"/>
      <c r="M51" s="6"/>
      <c r="N51" s="6"/>
      <c r="O51" s="13"/>
    </row>
    <row r="52" spans="1:15">
      <c r="A52" s="90" t="s">
        <v>307</v>
      </c>
      <c r="B52" s="90"/>
      <c r="C52" s="169"/>
      <c r="D52" s="170">
        <v>0.93700000000000006</v>
      </c>
      <c r="E52" s="400"/>
      <c r="F52" s="400"/>
      <c r="G52" s="81"/>
      <c r="L52" s="6"/>
      <c r="M52" s="6"/>
      <c r="N52" s="6"/>
      <c r="O52" s="13"/>
    </row>
    <row r="53" spans="1:15">
      <c r="A53" s="90" t="s">
        <v>2</v>
      </c>
      <c r="B53" s="90"/>
      <c r="C53" s="169"/>
      <c r="D53" s="170">
        <v>0.02</v>
      </c>
      <c r="E53" s="172"/>
      <c r="F53" s="172"/>
      <c r="G53" s="81"/>
      <c r="L53" s="6"/>
      <c r="M53" s="6"/>
      <c r="N53" s="6"/>
      <c r="O53" s="13"/>
    </row>
    <row r="54" spans="1:15">
      <c r="A54" s="83"/>
      <c r="B54" s="83"/>
      <c r="C54" s="156"/>
      <c r="D54" s="112"/>
      <c r="E54" s="112"/>
      <c r="F54" s="112"/>
      <c r="G54" s="81"/>
      <c r="L54" s="6"/>
      <c r="M54" s="6"/>
      <c r="N54" s="6"/>
      <c r="O54" s="13"/>
    </row>
    <row r="55" spans="1:15">
      <c r="A55" s="160"/>
      <c r="B55" s="160"/>
      <c r="C55" s="398" t="s">
        <v>67</v>
      </c>
      <c r="D55" s="398" t="s">
        <v>340</v>
      </c>
      <c r="E55" s="399" t="s">
        <v>347</v>
      </c>
      <c r="F55" s="399" t="s">
        <v>342</v>
      </c>
      <c r="G55" s="399" t="s">
        <v>348</v>
      </c>
      <c r="H55" s="399" t="s">
        <v>344</v>
      </c>
      <c r="I55" s="399" t="s">
        <v>349</v>
      </c>
      <c r="J55" s="399" t="s">
        <v>345</v>
      </c>
      <c r="K55" s="399" t="s">
        <v>346</v>
      </c>
      <c r="L55" s="6"/>
      <c r="M55" s="6"/>
      <c r="N55" s="6"/>
      <c r="O55" s="13"/>
    </row>
    <row r="56" spans="1:15">
      <c r="A56" s="108" t="s">
        <v>28</v>
      </c>
      <c r="B56" s="108"/>
      <c r="C56" s="398"/>
      <c r="D56" s="398"/>
      <c r="E56" s="399"/>
      <c r="F56" s="399"/>
      <c r="G56" s="399"/>
      <c r="H56" s="399"/>
      <c r="I56" s="399"/>
      <c r="J56" s="399"/>
      <c r="K56" s="399"/>
      <c r="L56" s="6"/>
      <c r="M56" s="6"/>
      <c r="N56" s="6"/>
      <c r="O56" s="13"/>
    </row>
    <row r="57" spans="1:15">
      <c r="A57" s="92">
        <v>2020</v>
      </c>
      <c r="B57" s="191">
        <v>1</v>
      </c>
      <c r="C57" s="85">
        <v>70.599999999999994</v>
      </c>
      <c r="D57" s="153">
        <v>151</v>
      </c>
      <c r="E57" s="153">
        <f>D57*$D$51</f>
        <v>9.5129999999999999</v>
      </c>
      <c r="F57" s="153">
        <f>D57*$D$52</f>
        <v>141.48699999999999</v>
      </c>
      <c r="G57" s="153">
        <f>F57*C57</f>
        <v>9988.9821999999986</v>
      </c>
      <c r="H57" s="86">
        <f>G57*D12*(1+$D$27)^B57</f>
        <v>2609934.2548928596</v>
      </c>
      <c r="I57" s="153">
        <f>C57*E57</f>
        <v>671.61779999999999</v>
      </c>
      <c r="J57" s="166">
        <f>I57*$E$12*(1+$D$27)^B57</f>
        <v>215673.73615745999</v>
      </c>
      <c r="K57" s="167">
        <f>H57+J57</f>
        <v>2825607.9910503197</v>
      </c>
      <c r="L57" s="6"/>
      <c r="M57" s="6"/>
      <c r="N57" s="6"/>
      <c r="O57" s="13"/>
    </row>
    <row r="58" spans="1:15">
      <c r="A58" s="92">
        <v>2021</v>
      </c>
      <c r="B58" s="192">
        <v>2</v>
      </c>
      <c r="C58" s="85">
        <v>70.599999999999994</v>
      </c>
      <c r="D58" s="153">
        <f>227*0.6</f>
        <v>136.19999999999999</v>
      </c>
      <c r="E58" s="153">
        <f t="shared" ref="E58:E66" si="3">D58*$D$51</f>
        <v>8.5805999999999987</v>
      </c>
      <c r="F58" s="153">
        <f t="shared" ref="F58:F66" si="4">D58*$D$52</f>
        <v>127.6194</v>
      </c>
      <c r="G58" s="153">
        <f t="shared" ref="G58:G66" si="5">F58*C58</f>
        <v>9009.9296399999985</v>
      </c>
      <c r="H58" s="86">
        <f t="shared" ref="H58:H66" si="6">G58*D13*(1+$D$27)^B58</f>
        <v>2389438.0211864472</v>
      </c>
      <c r="I58" s="153">
        <f t="shared" ref="I58:I66" si="7">C58*E58</f>
        <v>605.79035999999985</v>
      </c>
      <c r="J58" s="166">
        <f t="shared" ref="J58:J66" si="8">I58*$E$12*(1+$D$27)^B58</f>
        <v>197452.87620937568</v>
      </c>
      <c r="K58" s="167">
        <f t="shared" ref="K58:K66" si="9">H58+J58</f>
        <v>2586890.8973958232</v>
      </c>
      <c r="L58" s="6"/>
      <c r="M58" s="6"/>
      <c r="N58" s="6"/>
      <c r="O58" s="13"/>
    </row>
    <row r="59" spans="1:15">
      <c r="A59" s="92">
        <v>2022</v>
      </c>
      <c r="B59" s="192">
        <v>3</v>
      </c>
      <c r="C59" s="85">
        <v>70.599999999999994</v>
      </c>
      <c r="D59" s="153">
        <f>227*0.8</f>
        <v>181.60000000000002</v>
      </c>
      <c r="E59" s="153">
        <f t="shared" si="3"/>
        <v>11.440800000000001</v>
      </c>
      <c r="F59" s="153">
        <f t="shared" si="4"/>
        <v>170.15920000000003</v>
      </c>
      <c r="G59" s="153">
        <f t="shared" si="5"/>
        <v>12013.239520000001</v>
      </c>
      <c r="H59" s="86">
        <f t="shared" si="6"/>
        <v>3919442.0378780356</v>
      </c>
      <c r="I59" s="153">
        <f t="shared" si="7"/>
        <v>807.72048000000007</v>
      </c>
      <c r="J59" s="166">
        <f t="shared" si="8"/>
        <v>267219.55913668848</v>
      </c>
      <c r="K59" s="167">
        <f t="shared" si="9"/>
        <v>4186661.5970147243</v>
      </c>
      <c r="L59" s="6"/>
      <c r="M59" s="6"/>
      <c r="N59" s="6"/>
    </row>
    <row r="60" spans="1:15">
      <c r="A60" s="92">
        <v>2023</v>
      </c>
      <c r="B60" s="191">
        <v>4</v>
      </c>
      <c r="C60" s="85">
        <v>70.599999999999994</v>
      </c>
      <c r="D60" s="153">
        <f>227</f>
        <v>227</v>
      </c>
      <c r="E60" s="153">
        <f t="shared" si="3"/>
        <v>14.301</v>
      </c>
      <c r="F60" s="153">
        <f t="shared" si="4"/>
        <v>212.69900000000001</v>
      </c>
      <c r="G60" s="153">
        <f t="shared" si="5"/>
        <v>15016.5494</v>
      </c>
      <c r="H60" s="86">
        <f t="shared" si="6"/>
        <v>5100841.4817608679</v>
      </c>
      <c r="I60" s="153">
        <f t="shared" si="7"/>
        <v>1009.6505999999999</v>
      </c>
      <c r="J60" s="166">
        <f t="shared" si="8"/>
        <v>339034.81565467338</v>
      </c>
      <c r="K60" s="167">
        <f t="shared" si="9"/>
        <v>5439876.2974155415</v>
      </c>
      <c r="L60" s="6"/>
      <c r="M60" s="6"/>
      <c r="N60" s="6"/>
    </row>
    <row r="61" spans="1:15">
      <c r="A61" s="92">
        <v>2024</v>
      </c>
      <c r="B61" s="192">
        <v>5</v>
      </c>
      <c r="C61" s="85">
        <v>70.599999999999994</v>
      </c>
      <c r="D61" s="153">
        <f>D60*(1+$D$50)</f>
        <v>232.22099999999998</v>
      </c>
      <c r="E61" s="153">
        <f t="shared" si="3"/>
        <v>14.629922999999998</v>
      </c>
      <c r="F61" s="153">
        <f t="shared" si="4"/>
        <v>217.59107699999998</v>
      </c>
      <c r="G61" s="153">
        <f t="shared" si="5"/>
        <v>15361.930036199998</v>
      </c>
      <c r="H61" s="86">
        <f t="shared" si="6"/>
        <v>5432816.4045247464</v>
      </c>
      <c r="I61" s="153">
        <f t="shared" si="7"/>
        <v>1032.8725637999999</v>
      </c>
      <c r="J61" s="166">
        <f t="shared" si="8"/>
        <v>352035.10566095181</v>
      </c>
      <c r="K61" s="167">
        <f t="shared" si="9"/>
        <v>5784851.510185698</v>
      </c>
      <c r="L61" s="6"/>
      <c r="M61" s="6"/>
      <c r="N61" s="6"/>
      <c r="O61" s="74"/>
    </row>
    <row r="62" spans="1:15">
      <c r="A62" s="92">
        <v>2025</v>
      </c>
      <c r="B62" s="192">
        <v>6</v>
      </c>
      <c r="C62" s="85">
        <v>70.599999999999994</v>
      </c>
      <c r="D62" s="153">
        <f t="shared" ref="D62:D66" si="10">D61*(1+$D$50)</f>
        <v>237.56208299999994</v>
      </c>
      <c r="E62" s="153">
        <f t="shared" si="3"/>
        <v>14.966411228999997</v>
      </c>
      <c r="F62" s="153">
        <f t="shared" si="4"/>
        <v>222.59567177099996</v>
      </c>
      <c r="G62" s="153">
        <f t="shared" si="5"/>
        <v>15715.254427032596</v>
      </c>
      <c r="H62" s="86">
        <f t="shared" si="6"/>
        <v>5786397.0466073193</v>
      </c>
      <c r="I62" s="153">
        <f t="shared" si="7"/>
        <v>1056.6286327673997</v>
      </c>
      <c r="J62" s="166">
        <f t="shared" si="8"/>
        <v>365533.89178752084</v>
      </c>
      <c r="K62" s="167">
        <f t="shared" si="9"/>
        <v>6151930.9383948399</v>
      </c>
      <c r="L62" s="6"/>
      <c r="M62" s="6"/>
      <c r="N62" s="6"/>
    </row>
    <row r="63" spans="1:15">
      <c r="A63" s="92">
        <v>2026</v>
      </c>
      <c r="B63" s="191">
        <v>7</v>
      </c>
      <c r="C63" s="85">
        <v>70.599999999999994</v>
      </c>
      <c r="D63" s="153">
        <f t="shared" si="10"/>
        <v>243.02601090899992</v>
      </c>
      <c r="E63" s="153">
        <f t="shared" si="3"/>
        <v>15.310638687266994</v>
      </c>
      <c r="F63" s="153">
        <f t="shared" si="4"/>
        <v>227.71537222173293</v>
      </c>
      <c r="G63" s="153">
        <f t="shared" si="5"/>
        <v>16076.705278854344</v>
      </c>
      <c r="H63" s="86">
        <f t="shared" si="6"/>
        <v>6162989.5597244818</v>
      </c>
      <c r="I63" s="153">
        <f t="shared" si="7"/>
        <v>1080.9310913210497</v>
      </c>
      <c r="J63" s="166">
        <f t="shared" si="8"/>
        <v>379550.28886811325</v>
      </c>
      <c r="K63" s="167">
        <f t="shared" si="9"/>
        <v>6542539.8485925952</v>
      </c>
      <c r="L63" s="6"/>
      <c r="M63" s="6"/>
      <c r="N63" s="6"/>
    </row>
    <row r="64" spans="1:15">
      <c r="A64" s="92">
        <v>2027</v>
      </c>
      <c r="B64" s="192">
        <v>8</v>
      </c>
      <c r="C64" s="85">
        <v>70.599999999999994</v>
      </c>
      <c r="D64" s="153">
        <f t="shared" si="10"/>
        <v>248.61560915990691</v>
      </c>
      <c r="E64" s="153">
        <f t="shared" si="3"/>
        <v>15.662783377074135</v>
      </c>
      <c r="F64" s="153">
        <f t="shared" si="4"/>
        <v>232.95282578283278</v>
      </c>
      <c r="G64" s="153">
        <f t="shared" si="5"/>
        <v>16446.469500267991</v>
      </c>
      <c r="H64" s="86">
        <f t="shared" si="6"/>
        <v>6564091.6112977117</v>
      </c>
      <c r="I64" s="153">
        <f t="shared" si="7"/>
        <v>1105.7925064214339</v>
      </c>
      <c r="J64" s="166">
        <f t="shared" si="8"/>
        <v>394104.14469476102</v>
      </c>
      <c r="K64" s="167">
        <f t="shared" si="9"/>
        <v>6958195.7559924731</v>
      </c>
      <c r="L64" s="6"/>
      <c r="M64" s="6"/>
      <c r="N64" s="6"/>
    </row>
    <row r="65" spans="1:14">
      <c r="A65" s="92">
        <v>2028</v>
      </c>
      <c r="B65" s="192">
        <v>9</v>
      </c>
      <c r="C65" s="85">
        <v>70.599999999999994</v>
      </c>
      <c r="D65" s="153">
        <f t="shared" si="10"/>
        <v>254.33376817058473</v>
      </c>
      <c r="E65" s="153">
        <f t="shared" si="3"/>
        <v>16.023027394746837</v>
      </c>
      <c r="F65" s="153">
        <f t="shared" si="4"/>
        <v>238.3107407758379</v>
      </c>
      <c r="G65" s="153">
        <f t="shared" si="5"/>
        <v>16824.738298774155</v>
      </c>
      <c r="H65" s="86">
        <f t="shared" si="6"/>
        <v>6991298.3405143442</v>
      </c>
      <c r="I65" s="153">
        <f t="shared" si="7"/>
        <v>1131.2257340691267</v>
      </c>
      <c r="J65" s="166">
        <f t="shared" si="8"/>
        <v>409216.06812308147</v>
      </c>
      <c r="K65" s="167">
        <f t="shared" si="9"/>
        <v>7400514.4086374259</v>
      </c>
      <c r="L65" s="6"/>
      <c r="M65" s="6"/>
      <c r="N65" s="6"/>
    </row>
    <row r="66" spans="1:14">
      <c r="A66" s="92">
        <v>2029</v>
      </c>
      <c r="B66" s="191">
        <v>10</v>
      </c>
      <c r="C66" s="85">
        <v>70.599999999999994</v>
      </c>
      <c r="D66" s="153">
        <f t="shared" si="10"/>
        <v>260.18344483850814</v>
      </c>
      <c r="E66" s="153">
        <f t="shared" si="3"/>
        <v>16.391557024826014</v>
      </c>
      <c r="F66" s="153">
        <f t="shared" si="4"/>
        <v>243.79188781368214</v>
      </c>
      <c r="G66" s="153">
        <f t="shared" si="5"/>
        <v>17211.707279645958</v>
      </c>
      <c r="H66" s="86">
        <f t="shared" si="6"/>
        <v>7446308.7020224342</v>
      </c>
      <c r="I66" s="153">
        <f t="shared" si="7"/>
        <v>1157.2439259527164</v>
      </c>
      <c r="J66" s="166">
        <f t="shared" si="8"/>
        <v>424907.45825526089</v>
      </c>
      <c r="K66" s="167">
        <f t="shared" si="9"/>
        <v>7871216.1602776954</v>
      </c>
      <c r="L66" s="6"/>
      <c r="M66" s="6"/>
      <c r="N66" s="6"/>
    </row>
    <row r="67" spans="1:14">
      <c r="A67" s="92"/>
      <c r="B67" s="192"/>
      <c r="C67" s="85"/>
      <c r="D67" s="153"/>
      <c r="E67" s="153"/>
      <c r="F67" s="153"/>
      <c r="G67" s="153"/>
      <c r="H67" s="86"/>
      <c r="I67" s="153"/>
      <c r="J67" s="166"/>
      <c r="K67" s="167"/>
      <c r="L67" s="6"/>
      <c r="M67" s="6"/>
      <c r="N67" s="6"/>
    </row>
    <row r="68" spans="1:14">
      <c r="A68" s="92"/>
      <c r="B68" s="192"/>
      <c r="C68" s="85"/>
      <c r="D68" s="153"/>
      <c r="E68" s="153"/>
      <c r="F68" s="153"/>
      <c r="G68" s="153"/>
      <c r="H68" s="86"/>
      <c r="I68" s="153"/>
      <c r="J68" s="166"/>
      <c r="K68" s="167"/>
      <c r="L68" s="6"/>
      <c r="M68" s="6"/>
      <c r="N68" s="6"/>
    </row>
    <row r="69" spans="1:14">
      <c r="A69" s="92"/>
      <c r="B69" s="192"/>
      <c r="C69" s="85"/>
      <c r="D69" s="153"/>
      <c r="E69" s="153"/>
      <c r="F69" s="153"/>
      <c r="G69" s="153"/>
      <c r="H69" s="86"/>
      <c r="I69" s="153"/>
      <c r="J69" s="166"/>
      <c r="K69" s="167"/>
      <c r="L69" s="6"/>
      <c r="M69" s="6"/>
      <c r="N69" s="6"/>
    </row>
    <row r="70" spans="1:14" s="147" customFormat="1">
      <c r="A70" s="204" t="s">
        <v>354</v>
      </c>
      <c r="B70" s="198"/>
      <c r="C70" s="199"/>
      <c r="D70" s="200"/>
      <c r="E70" s="200"/>
      <c r="F70" s="200"/>
      <c r="G70" s="200"/>
      <c r="H70" s="201"/>
      <c r="I70" s="200"/>
      <c r="J70" s="202"/>
      <c r="K70" s="203"/>
    </row>
    <row r="71" spans="1:14">
      <c r="A71" s="87"/>
      <c r="B71" s="87"/>
      <c r="C71" s="80"/>
      <c r="D71" s="80"/>
      <c r="E71" s="80"/>
      <c r="F71" s="80"/>
      <c r="G71" s="80"/>
      <c r="H71" s="6"/>
      <c r="I71" s="6"/>
      <c r="J71" s="6"/>
      <c r="K71" s="6"/>
      <c r="L71" s="6"/>
      <c r="M71" s="6"/>
      <c r="N71" s="6"/>
    </row>
    <row r="72" spans="1:14">
      <c r="A72" s="108"/>
      <c r="B72" s="108"/>
      <c r="C72" s="190" t="s">
        <v>309</v>
      </c>
      <c r="D72" s="80"/>
      <c r="E72" s="80"/>
      <c r="F72" s="80"/>
      <c r="G72" s="80"/>
      <c r="H72" s="6"/>
      <c r="I72" s="6"/>
      <c r="J72" s="6"/>
      <c r="K72" s="6"/>
      <c r="L72" s="6"/>
      <c r="M72" s="205"/>
      <c r="N72" s="6"/>
    </row>
    <row r="73" spans="1:14">
      <c r="A73" s="115">
        <v>2020</v>
      </c>
      <c r="B73" s="115"/>
      <c r="C73" s="188">
        <f>K57-F36</f>
        <v>1158216.2822703202</v>
      </c>
      <c r="D73" s="401"/>
      <c r="E73" s="401"/>
      <c r="F73" s="401"/>
      <c r="G73" s="80"/>
      <c r="H73" s="6"/>
      <c r="I73" s="6"/>
      <c r="J73" s="6"/>
      <c r="K73" s="6"/>
      <c r="L73" s="6"/>
      <c r="M73" s="205"/>
      <c r="N73" s="6"/>
    </row>
    <row r="74" spans="1:14">
      <c r="A74" s="115">
        <v>2021</v>
      </c>
      <c r="B74" s="115"/>
      <c r="C74" s="188">
        <f t="shared" ref="C74:C82" si="11">K58-F37</f>
        <v>757484.29424603423</v>
      </c>
      <c r="D74" s="401"/>
      <c r="E74" s="401"/>
      <c r="F74" s="401"/>
      <c r="G74" s="80"/>
      <c r="H74" s="6"/>
      <c r="I74" s="6"/>
      <c r="J74" s="6"/>
      <c r="K74" s="6"/>
      <c r="L74" s="6"/>
      <c r="M74" s="205"/>
      <c r="N74" s="6"/>
    </row>
    <row r="75" spans="1:14">
      <c r="A75" s="115">
        <v>2022</v>
      </c>
      <c r="B75" s="115"/>
      <c r="C75" s="188">
        <f t="shared" si="11"/>
        <v>1185850.0751504158</v>
      </c>
      <c r="D75" s="84"/>
      <c r="E75" s="84"/>
      <c r="F75" s="155"/>
      <c r="G75" s="80"/>
      <c r="H75" s="6"/>
      <c r="I75" s="6"/>
      <c r="J75" s="6"/>
      <c r="K75" s="6"/>
      <c r="L75" s="6"/>
      <c r="M75" s="205"/>
      <c r="N75" s="6"/>
    </row>
    <row r="76" spans="1:14">
      <c r="A76" s="115">
        <v>2023</v>
      </c>
      <c r="B76" s="115"/>
      <c r="C76" s="188">
        <f t="shared" si="11"/>
        <v>1534559.2288772939</v>
      </c>
      <c r="D76" s="84"/>
      <c r="E76" s="84"/>
      <c r="F76" s="155"/>
      <c r="G76" s="80"/>
      <c r="H76" s="6"/>
      <c r="I76" s="6"/>
      <c r="J76" s="6"/>
      <c r="K76" s="6"/>
      <c r="L76" s="6"/>
      <c r="M76" s="205"/>
      <c r="N76" s="6"/>
    </row>
    <row r="77" spans="1:14">
      <c r="A77" s="115">
        <v>2024</v>
      </c>
      <c r="B77" s="115"/>
      <c r="C77" s="188">
        <f t="shared" si="11"/>
        <v>1625367.0975274211</v>
      </c>
      <c r="D77" s="80"/>
      <c r="E77" s="80"/>
      <c r="F77" s="80"/>
      <c r="G77" s="80"/>
      <c r="H77" s="6"/>
      <c r="I77" s="6"/>
      <c r="J77" s="6"/>
      <c r="K77" s="6"/>
      <c r="L77" s="6"/>
      <c r="M77" s="205"/>
      <c r="N77" s="6"/>
    </row>
    <row r="78" spans="1:14">
      <c r="A78" s="115">
        <v>2025</v>
      </c>
      <c r="B78" s="115"/>
      <c r="C78" s="188">
        <f t="shared" si="11"/>
        <v>1721737.3649897948</v>
      </c>
      <c r="D78" s="401"/>
      <c r="E78" s="401"/>
      <c r="F78" s="401"/>
      <c r="G78" s="81"/>
      <c r="H78" s="6"/>
      <c r="I78" s="6"/>
      <c r="J78" s="6"/>
      <c r="K78" s="6"/>
      <c r="L78" s="6"/>
      <c r="M78" s="205"/>
      <c r="N78" s="6"/>
    </row>
    <row r="79" spans="1:14">
      <c r="A79" s="115">
        <v>2026</v>
      </c>
      <c r="B79" s="115"/>
      <c r="C79" s="188">
        <f t="shared" si="11"/>
        <v>1824018.7169564189</v>
      </c>
      <c r="D79" s="401"/>
      <c r="E79" s="401"/>
      <c r="F79" s="401"/>
      <c r="G79" s="81"/>
      <c r="H79" s="6"/>
      <c r="I79" s="6"/>
      <c r="J79" s="6"/>
      <c r="K79" s="6"/>
      <c r="L79" s="6"/>
      <c r="M79" s="205"/>
      <c r="N79" s="6"/>
    </row>
    <row r="80" spans="1:14">
      <c r="A80" s="115">
        <v>2027</v>
      </c>
      <c r="B80" s="115"/>
      <c r="C80" s="188">
        <f t="shared" si="11"/>
        <v>1932582.0213346696</v>
      </c>
      <c r="D80" s="84"/>
      <c r="E80" s="84"/>
      <c r="F80" s="155"/>
      <c r="G80" s="196"/>
      <c r="H80" s="6"/>
      <c r="I80" s="6"/>
      <c r="J80" s="6"/>
      <c r="K80" s="6"/>
      <c r="L80" s="6"/>
      <c r="M80" s="205"/>
      <c r="N80" s="6"/>
    </row>
    <row r="81" spans="1:23">
      <c r="A81" s="115">
        <v>2028</v>
      </c>
      <c r="B81" s="115"/>
      <c r="C81" s="188">
        <f t="shared" si="11"/>
        <v>2047821.7523213541</v>
      </c>
      <c r="D81" s="84"/>
      <c r="E81" s="84"/>
      <c r="F81" s="84"/>
      <c r="G81" s="155"/>
      <c r="H81" s="44"/>
      <c r="I81" s="6"/>
      <c r="J81" s="6"/>
      <c r="K81" s="6"/>
      <c r="L81" s="6"/>
      <c r="M81" s="205"/>
      <c r="N81" s="6"/>
    </row>
    <row r="82" spans="1:23">
      <c r="A82" s="115">
        <v>2029</v>
      </c>
      <c r="B82" s="115"/>
      <c r="C82" s="188">
        <f t="shared" si="11"/>
        <v>2170157.5064074565</v>
      </c>
      <c r="D82" s="84"/>
      <c r="E82" s="84"/>
      <c r="F82" s="84"/>
      <c r="G82" s="155"/>
      <c r="H82" s="44"/>
      <c r="I82" s="6"/>
      <c r="J82" s="6"/>
      <c r="K82" s="6"/>
      <c r="L82" s="6"/>
      <c r="M82" s="205"/>
      <c r="N82" s="6"/>
    </row>
    <row r="83" spans="1:23">
      <c r="A83" s="115"/>
      <c r="B83" s="115"/>
      <c r="C83" s="188"/>
      <c r="D83" s="84"/>
      <c r="E83" s="84"/>
      <c r="F83" s="84"/>
      <c r="G83" s="155"/>
      <c r="H83" s="44"/>
      <c r="I83" s="6"/>
      <c r="J83" s="48"/>
      <c r="K83" s="6"/>
      <c r="L83" s="6"/>
      <c r="M83" s="6"/>
      <c r="N83" s="6"/>
    </row>
    <row r="84" spans="1:23">
      <c r="A84" s="401"/>
      <c r="B84" s="81"/>
      <c r="C84" s="402"/>
      <c r="D84" s="401"/>
      <c r="E84" s="401"/>
      <c r="F84" s="401"/>
      <c r="G84" s="401"/>
      <c r="H84" s="44"/>
      <c r="I84" s="6"/>
      <c r="J84" s="42"/>
      <c r="K84" s="397"/>
      <c r="L84" s="397"/>
      <c r="M84" s="397"/>
      <c r="N84" s="397"/>
    </row>
    <row r="85" spans="1:23">
      <c r="A85" s="401"/>
      <c r="B85" s="81"/>
      <c r="C85" s="402"/>
      <c r="D85" s="401"/>
      <c r="E85" s="401"/>
      <c r="F85" s="81"/>
      <c r="G85" s="112"/>
      <c r="H85" s="44"/>
      <c r="I85" s="6"/>
      <c r="J85" s="42"/>
      <c r="K85" s="397"/>
      <c r="L85" s="397"/>
      <c r="M85" s="397"/>
      <c r="N85" s="397"/>
    </row>
    <row r="86" spans="1:23"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</row>
  </sheetData>
  <mergeCells count="29">
    <mergeCell ref="K84:K85"/>
    <mergeCell ref="L84:L85"/>
    <mergeCell ref="M84:M85"/>
    <mergeCell ref="N84:N85"/>
    <mergeCell ref="D78:D79"/>
    <mergeCell ref="E78:E79"/>
    <mergeCell ref="F78:F79"/>
    <mergeCell ref="A84:A85"/>
    <mergeCell ref="C84:C85"/>
    <mergeCell ref="D84:D85"/>
    <mergeCell ref="E84:E85"/>
    <mergeCell ref="F84:G84"/>
    <mergeCell ref="I55:I56"/>
    <mergeCell ref="J55:J56"/>
    <mergeCell ref="K55:K56"/>
    <mergeCell ref="D73:D74"/>
    <mergeCell ref="E73:E74"/>
    <mergeCell ref="F73:F74"/>
    <mergeCell ref="G55:G56"/>
    <mergeCell ref="C55:C56"/>
    <mergeCell ref="D55:D56"/>
    <mergeCell ref="E55:E56"/>
    <mergeCell ref="F55:F56"/>
    <mergeCell ref="H55:H56"/>
    <mergeCell ref="C34:C35"/>
    <mergeCell ref="D34:D35"/>
    <mergeCell ref="E34:E35"/>
    <mergeCell ref="F34:F35"/>
    <mergeCell ref="E51:F5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F982A-7775-2E45-9B45-18AC5FDA1ACC}">
  <sheetPr>
    <tabColor rgb="FFC00000"/>
  </sheetPr>
  <dimension ref="A1:V96"/>
  <sheetViews>
    <sheetView showGridLines="0" zoomScale="97" zoomScaleNormal="100" workbookViewId="0">
      <selection activeCell="E10" sqref="E10"/>
    </sheetView>
  </sheetViews>
  <sheetFormatPr baseColWidth="10" defaultRowHeight="16"/>
  <cols>
    <col min="4" max="6" width="8.5" customWidth="1"/>
    <col min="7" max="7" width="7.83203125" customWidth="1"/>
    <col min="8" max="8" width="9.33203125" customWidth="1"/>
    <col min="9" max="9" width="6.6640625" customWidth="1"/>
    <col min="10" max="10" width="7.1640625" customWidth="1"/>
    <col min="11" max="21" width="6.6640625" customWidth="1"/>
  </cols>
  <sheetData>
    <row r="1" spans="1:15" s="295" customFormat="1" ht="19">
      <c r="B1" s="294" t="s">
        <v>319</v>
      </c>
    </row>
    <row r="2" spans="1:15" s="73" customFormat="1" ht="19">
      <c r="A2" s="293"/>
      <c r="B2" s="238" t="s">
        <v>303</v>
      </c>
    </row>
    <row r="3" spans="1:15">
      <c r="A3" s="293"/>
    </row>
    <row r="4" spans="1:15">
      <c r="A4" s="293"/>
      <c r="B4" s="62" t="s">
        <v>27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5">
      <c r="A5" s="293"/>
      <c r="B5" s="287" t="s">
        <v>28</v>
      </c>
      <c r="C5" s="288">
        <v>2020</v>
      </c>
      <c r="D5" s="288">
        <v>2021</v>
      </c>
      <c r="E5" s="288">
        <v>2022</v>
      </c>
      <c r="F5" s="288">
        <v>2023</v>
      </c>
      <c r="G5" s="288">
        <v>2024</v>
      </c>
      <c r="H5" s="288">
        <v>2025</v>
      </c>
      <c r="I5" s="288">
        <v>2026</v>
      </c>
      <c r="J5" s="288">
        <v>2027</v>
      </c>
      <c r="K5" s="288">
        <v>2028</v>
      </c>
      <c r="L5" s="288">
        <v>2029</v>
      </c>
      <c r="M5" s="288">
        <v>2030</v>
      </c>
    </row>
    <row r="6" spans="1:15">
      <c r="A6" s="293"/>
      <c r="B6" s="116" t="s">
        <v>26</v>
      </c>
      <c r="C6" s="103">
        <v>59.93</v>
      </c>
      <c r="D6" s="104">
        <v>64.69</v>
      </c>
      <c r="E6" s="104">
        <v>68.86</v>
      </c>
      <c r="F6" s="104">
        <v>72.010000000000005</v>
      </c>
      <c r="G6" s="104">
        <v>75.53</v>
      </c>
      <c r="H6" s="104">
        <v>79.239999999999995</v>
      </c>
      <c r="I6" s="104">
        <v>83.03</v>
      </c>
      <c r="J6" s="104">
        <v>86.48</v>
      </c>
      <c r="K6" s="104">
        <v>90.51</v>
      </c>
      <c r="L6" s="104">
        <v>94.65</v>
      </c>
      <c r="M6" s="104">
        <v>98.29</v>
      </c>
    </row>
    <row r="7" spans="1:15">
      <c r="A7" s="293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5">
      <c r="A8" s="293"/>
      <c r="B8" s="62" t="s">
        <v>29</v>
      </c>
      <c r="C8" s="62"/>
      <c r="D8" s="102">
        <f>D6/C6-1</f>
        <v>7.9425996996495885E-2</v>
      </c>
      <c r="E8" s="102">
        <f t="shared" ref="E8:L8" si="0">E6/D6-1</f>
        <v>6.4461276858865491E-2</v>
      </c>
      <c r="F8" s="102">
        <f t="shared" si="0"/>
        <v>4.5744989834446859E-2</v>
      </c>
      <c r="G8" s="102">
        <f t="shared" si="0"/>
        <v>4.8882099708373872E-2</v>
      </c>
      <c r="H8" s="102">
        <f t="shared" si="0"/>
        <v>4.9119555143651406E-2</v>
      </c>
      <c r="I8" s="102">
        <f t="shared" si="0"/>
        <v>4.7829379101463898E-2</v>
      </c>
      <c r="J8" s="102">
        <f t="shared" si="0"/>
        <v>4.1551246537396169E-2</v>
      </c>
      <c r="K8" s="102">
        <f t="shared" si="0"/>
        <v>4.6600370027752192E-2</v>
      </c>
      <c r="L8" s="102">
        <f t="shared" si="0"/>
        <v>4.5740802121312596E-2</v>
      </c>
      <c r="M8" s="102">
        <f>M6/L6-1</f>
        <v>3.8457474907554134E-2</v>
      </c>
      <c r="O8" s="3"/>
    </row>
    <row r="9" spans="1:15">
      <c r="A9" s="293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</row>
    <row r="10" spans="1:15">
      <c r="A10" s="293"/>
    </row>
    <row r="11" spans="1:15">
      <c r="A11" s="293"/>
      <c r="B11" t="s">
        <v>16</v>
      </c>
      <c r="C11" s="432" t="s">
        <v>448</v>
      </c>
      <c r="G11" s="51"/>
      <c r="H11" s="52"/>
    </row>
    <row r="12" spans="1:15">
      <c r="A12" s="293"/>
      <c r="G12" s="13"/>
      <c r="H12" s="47"/>
    </row>
    <row r="13" spans="1:15" s="73" customFormat="1" ht="19">
      <c r="A13" s="293"/>
      <c r="B13" s="238" t="s">
        <v>304</v>
      </c>
      <c r="G13" s="240"/>
      <c r="H13" s="241"/>
    </row>
    <row r="14" spans="1:15">
      <c r="A14" s="293"/>
      <c r="B14" t="s">
        <v>305</v>
      </c>
      <c r="G14" s="13"/>
      <c r="H14" s="47"/>
    </row>
    <row r="15" spans="1:15">
      <c r="A15" s="293"/>
      <c r="B15" t="s">
        <v>306</v>
      </c>
      <c r="G15" s="13"/>
      <c r="H15" s="47"/>
    </row>
    <row r="16" spans="1:15">
      <c r="A16" s="293"/>
      <c r="G16" s="13"/>
      <c r="H16" s="47"/>
    </row>
    <row r="17" spans="1:22">
      <c r="A17" s="293"/>
      <c r="B17" s="62" t="s">
        <v>18</v>
      </c>
      <c r="G17" s="13"/>
      <c r="H17" s="47"/>
    </row>
    <row r="18" spans="1:22">
      <c r="A18" s="293"/>
      <c r="B18" s="289" t="s">
        <v>28</v>
      </c>
      <c r="C18" s="290">
        <v>2020</v>
      </c>
      <c r="D18" s="290">
        <v>2021</v>
      </c>
      <c r="E18" s="290">
        <v>2022</v>
      </c>
      <c r="F18" s="290">
        <v>2023</v>
      </c>
      <c r="G18" s="290">
        <v>2024</v>
      </c>
      <c r="H18" s="290">
        <v>2025</v>
      </c>
      <c r="I18" s="290">
        <v>2026</v>
      </c>
      <c r="J18" s="290">
        <v>2027</v>
      </c>
      <c r="K18" s="290">
        <v>2028</v>
      </c>
      <c r="L18" s="290">
        <v>2029</v>
      </c>
      <c r="M18" s="290">
        <v>2030</v>
      </c>
    </row>
    <row r="19" spans="1:22">
      <c r="A19" s="293"/>
      <c r="B19" s="97" t="s">
        <v>17</v>
      </c>
      <c r="C19" s="98">
        <v>345.25</v>
      </c>
      <c r="D19" s="99">
        <f t="shared" ref="D19:M19" si="1">C19*((1+D8*0.515))</f>
        <v>359.37224011346575</v>
      </c>
      <c r="E19" s="99">
        <f t="shared" si="1"/>
        <v>371.30252074811835</v>
      </c>
      <c r="F19" s="99">
        <f t="shared" si="1"/>
        <v>380.04991421723884</v>
      </c>
      <c r="G19" s="99">
        <f t="shared" si="1"/>
        <v>389.61739768471574</v>
      </c>
      <c r="H19" s="99">
        <f t="shared" si="1"/>
        <v>399.47338180872345</v>
      </c>
      <c r="I19" s="99">
        <f t="shared" si="1"/>
        <v>409.31326217575213</v>
      </c>
      <c r="J19" s="99">
        <f t="shared" si="1"/>
        <v>418.0721124536127</v>
      </c>
      <c r="K19" s="99">
        <f t="shared" si="1"/>
        <v>428.10550475000326</v>
      </c>
      <c r="L19" s="99">
        <f t="shared" si="1"/>
        <v>438.19017767760772</v>
      </c>
      <c r="M19" s="99">
        <f t="shared" si="1"/>
        <v>446.86879687543603</v>
      </c>
    </row>
    <row r="20" spans="1:22">
      <c r="A20" s="293"/>
      <c r="B20" s="62" t="s">
        <v>339</v>
      </c>
      <c r="C20" s="100">
        <v>563.75</v>
      </c>
      <c r="D20" s="100">
        <f t="shared" ref="D20:M20" si="2">C20*(1+D8*0.515)</f>
        <v>586.80984899048894</v>
      </c>
      <c r="E20" s="100">
        <f t="shared" si="2"/>
        <v>606.29050274222072</v>
      </c>
      <c r="F20" s="100">
        <f t="shared" si="2"/>
        <v>620.57390047782292</v>
      </c>
      <c r="G20" s="100">
        <f t="shared" si="2"/>
        <v>636.19640244680227</v>
      </c>
      <c r="H20" s="100">
        <f t="shared" si="2"/>
        <v>652.28998984697409</v>
      </c>
      <c r="I20" s="100">
        <f t="shared" si="2"/>
        <v>668.35728182934179</v>
      </c>
      <c r="J20" s="100">
        <f t="shared" si="2"/>
        <v>682.65938709840452</v>
      </c>
      <c r="K20" s="100">
        <f t="shared" si="2"/>
        <v>699.04265981988226</v>
      </c>
      <c r="L20" s="100">
        <f t="shared" si="2"/>
        <v>715.50966738812849</v>
      </c>
      <c r="M20" s="100">
        <f t="shared" si="2"/>
        <v>729.68076535416958</v>
      </c>
    </row>
    <row r="21" spans="1:22">
      <c r="A21" s="293"/>
      <c r="B21" s="62" t="s">
        <v>8</v>
      </c>
      <c r="C21" s="100">
        <v>615.27</v>
      </c>
      <c r="D21" s="100">
        <f t="shared" ref="D21:M21" si="3">C21*(1+D8*0.515)</f>
        <v>640.43724308359754</v>
      </c>
      <c r="E21" s="100">
        <f t="shared" si="3"/>
        <v>661.69819533872487</v>
      </c>
      <c r="F21" s="100">
        <f t="shared" si="3"/>
        <v>677.28692460663433</v>
      </c>
      <c r="G21" s="100">
        <f t="shared" si="3"/>
        <v>694.33713620123103</v>
      </c>
      <c r="H21" s="100">
        <f t="shared" si="3"/>
        <v>711.90148479494053</v>
      </c>
      <c r="I21" s="100">
        <f t="shared" si="3"/>
        <v>729.43713488450385</v>
      </c>
      <c r="J21" s="100">
        <f t="shared" si="3"/>
        <v>745.04628133043946</v>
      </c>
      <c r="K21" s="100">
        <f t="shared" si="3"/>
        <v>762.9267890153061</v>
      </c>
      <c r="L21" s="100">
        <f t="shared" si="3"/>
        <v>780.89868390934578</v>
      </c>
      <c r="M21" s="100">
        <f t="shared" si="3"/>
        <v>796.3648505533655</v>
      </c>
    </row>
    <row r="22" spans="1:22">
      <c r="A22" s="293"/>
    </row>
    <row r="23" spans="1:22">
      <c r="A23" s="293"/>
    </row>
    <row r="24" spans="1:22">
      <c r="A24" s="293"/>
    </row>
    <row r="25" spans="1:22">
      <c r="A25" s="293"/>
    </row>
    <row r="26" spans="1:22">
      <c r="A26" s="293"/>
    </row>
    <row r="27" spans="1:22" s="286" customFormat="1" ht="19">
      <c r="B27" s="286" t="s">
        <v>320</v>
      </c>
    </row>
    <row r="28" spans="1:22" s="73" customFormat="1" ht="19">
      <c r="A28" s="296"/>
      <c r="B28" s="238" t="s">
        <v>362</v>
      </c>
    </row>
    <row r="29" spans="1:22">
      <c r="A29" s="296"/>
      <c r="C29" s="14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>
      <c r="A30" s="296"/>
      <c r="B30" t="s">
        <v>324</v>
      </c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>
      <c r="A31" s="296"/>
      <c r="B31" s="291" t="s">
        <v>28</v>
      </c>
      <c r="C31" s="291">
        <v>2020</v>
      </c>
      <c r="D31" s="291">
        <v>2021</v>
      </c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>
      <c r="A32" s="296"/>
      <c r="B32" s="62" t="s">
        <v>26</v>
      </c>
      <c r="C32" s="62">
        <v>34</v>
      </c>
      <c r="D32" s="62">
        <v>48</v>
      </c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14">
      <c r="A33" s="296"/>
    </row>
    <row r="34" spans="1:14">
      <c r="A34" s="296"/>
      <c r="B34" t="s">
        <v>322</v>
      </c>
    </row>
    <row r="35" spans="1:14" ht="17" customHeight="1">
      <c r="A35" s="296"/>
      <c r="B35" s="142" t="s">
        <v>323</v>
      </c>
      <c r="C35" s="142"/>
      <c r="D35" s="142"/>
      <c r="E35" s="403" t="s">
        <v>328</v>
      </c>
      <c r="F35" s="403"/>
      <c r="G35" s="403"/>
      <c r="H35" s="403"/>
      <c r="I35" s="403"/>
      <c r="J35" s="403"/>
      <c r="K35" s="403"/>
      <c r="L35" s="403"/>
      <c r="M35" s="6"/>
    </row>
    <row r="36" spans="1:14">
      <c r="A36" s="296"/>
      <c r="B36" s="291" t="s">
        <v>28</v>
      </c>
      <c r="C36" s="291">
        <v>2020</v>
      </c>
      <c r="D36" s="291">
        <v>2021</v>
      </c>
      <c r="E36" s="291">
        <v>2022</v>
      </c>
      <c r="F36" s="291">
        <v>2023</v>
      </c>
      <c r="G36" s="291">
        <v>2024</v>
      </c>
      <c r="H36" s="291">
        <v>2025</v>
      </c>
      <c r="I36" s="291">
        <v>2026</v>
      </c>
      <c r="J36" s="291">
        <v>2027</v>
      </c>
      <c r="K36" s="291">
        <v>2028</v>
      </c>
      <c r="L36" s="291">
        <v>2029</v>
      </c>
      <c r="M36" s="117"/>
    </row>
    <row r="37" spans="1:14">
      <c r="A37" s="296"/>
      <c r="B37" s="62" t="s">
        <v>26</v>
      </c>
      <c r="C37" s="62">
        <v>34</v>
      </c>
      <c r="D37" s="62">
        <v>48</v>
      </c>
      <c r="E37" s="106">
        <f>D37*(1+0.05)</f>
        <v>50.400000000000006</v>
      </c>
      <c r="F37" s="106">
        <f t="shared" ref="F37:L37" si="4">E37*(1+0.05)</f>
        <v>52.920000000000009</v>
      </c>
      <c r="G37" s="106">
        <f t="shared" si="4"/>
        <v>55.56600000000001</v>
      </c>
      <c r="H37" s="106">
        <f t="shared" si="4"/>
        <v>58.344300000000011</v>
      </c>
      <c r="I37" s="106">
        <f t="shared" si="4"/>
        <v>61.261515000000017</v>
      </c>
      <c r="J37" s="106">
        <f t="shared" si="4"/>
        <v>64.324590750000027</v>
      </c>
      <c r="K37" s="106">
        <f t="shared" si="4"/>
        <v>67.540820287500026</v>
      </c>
      <c r="L37" s="106">
        <f t="shared" si="4"/>
        <v>70.917861301875035</v>
      </c>
      <c r="M37" s="206"/>
    </row>
    <row r="38" spans="1:14">
      <c r="A38" s="296"/>
      <c r="M38" s="6"/>
    </row>
    <row r="39" spans="1:14">
      <c r="A39" s="296"/>
      <c r="B39" t="s">
        <v>327</v>
      </c>
      <c r="D39" s="54">
        <f>D37/C37-1</f>
        <v>0.41176470588235303</v>
      </c>
      <c r="E39" s="54">
        <f t="shared" ref="E39:L39" si="5">E37/D37-1</f>
        <v>5.0000000000000044E-2</v>
      </c>
      <c r="F39" s="54">
        <f t="shared" si="5"/>
        <v>5.0000000000000044E-2</v>
      </c>
      <c r="G39" s="54">
        <f t="shared" si="5"/>
        <v>5.0000000000000044E-2</v>
      </c>
      <c r="H39" s="54">
        <f t="shared" si="5"/>
        <v>5.0000000000000044E-2</v>
      </c>
      <c r="I39" s="54">
        <f t="shared" si="5"/>
        <v>5.0000000000000044E-2</v>
      </c>
      <c r="J39" s="54">
        <f t="shared" si="5"/>
        <v>5.0000000000000044E-2</v>
      </c>
      <c r="K39" s="54">
        <f t="shared" si="5"/>
        <v>5.0000000000000044E-2</v>
      </c>
      <c r="L39" s="54">
        <f t="shared" si="5"/>
        <v>5.0000000000000044E-2</v>
      </c>
      <c r="M39" s="316"/>
    </row>
    <row r="40" spans="1:14">
      <c r="A40" s="296"/>
      <c r="M40" s="6"/>
    </row>
    <row r="41" spans="1:14">
      <c r="A41" s="296"/>
    </row>
    <row r="42" spans="1:14" s="73" customFormat="1" ht="19">
      <c r="A42" s="296"/>
      <c r="B42" s="238" t="s">
        <v>325</v>
      </c>
    </row>
    <row r="43" spans="1:14">
      <c r="A43" s="296"/>
      <c r="B43" t="s">
        <v>422</v>
      </c>
    </row>
    <row r="44" spans="1:14">
      <c r="A44" s="296"/>
      <c r="B44" t="s">
        <v>356</v>
      </c>
    </row>
    <row r="45" spans="1:14">
      <c r="A45" s="296"/>
      <c r="B45" t="s">
        <v>326</v>
      </c>
    </row>
    <row r="46" spans="1:14">
      <c r="A46" s="296"/>
      <c r="B46" t="s">
        <v>357</v>
      </c>
    </row>
    <row r="47" spans="1:14">
      <c r="A47" s="296"/>
    </row>
    <row r="48" spans="1:14">
      <c r="A48" s="296"/>
      <c r="B48" s="62" t="s">
        <v>18</v>
      </c>
      <c r="M48" s="6"/>
      <c r="N48" s="6"/>
    </row>
    <row r="49" spans="1:20">
      <c r="A49" s="296"/>
      <c r="B49" s="291" t="s">
        <v>28</v>
      </c>
      <c r="C49" s="291">
        <v>2020</v>
      </c>
      <c r="D49" s="291">
        <v>2021</v>
      </c>
      <c r="E49" s="291">
        <v>2022</v>
      </c>
      <c r="F49" s="291">
        <v>2023</v>
      </c>
      <c r="G49" s="291">
        <v>2024</v>
      </c>
      <c r="H49" s="291">
        <v>2025</v>
      </c>
      <c r="I49" s="291">
        <v>2026</v>
      </c>
      <c r="J49" s="291">
        <v>2027</v>
      </c>
      <c r="K49" s="291">
        <v>2028</v>
      </c>
      <c r="L49" s="291">
        <v>2029</v>
      </c>
      <c r="M49" s="117"/>
      <c r="N49" s="6"/>
    </row>
    <row r="50" spans="1:20">
      <c r="A50" s="296"/>
      <c r="B50" s="62" t="s">
        <v>17</v>
      </c>
      <c r="C50" s="106">
        <v>184.67</v>
      </c>
      <c r="D50" s="106">
        <f>C50*(1+D39*0.515)</f>
        <v>223.83090294117648</v>
      </c>
      <c r="E50" s="106">
        <f>D50*(1+E39*0.515)</f>
        <v>229.59454869191177</v>
      </c>
      <c r="F50" s="106">
        <f t="shared" ref="F50:K50" si="6">E50*(1+F39*0.515)</f>
        <v>235.50660832072847</v>
      </c>
      <c r="G50" s="106">
        <f t="shared" si="6"/>
        <v>241.57090348498721</v>
      </c>
      <c r="H50" s="106">
        <f t="shared" si="6"/>
        <v>247.79135424972563</v>
      </c>
      <c r="I50" s="106">
        <f t="shared" si="6"/>
        <v>254.17198162165604</v>
      </c>
      <c r="J50" s="106">
        <f t="shared" si="6"/>
        <v>260.71691014841366</v>
      </c>
      <c r="K50" s="106">
        <f t="shared" si="6"/>
        <v>267.43037058473527</v>
      </c>
      <c r="L50" s="106">
        <f>K50*(1+L39*0.515)</f>
        <v>274.31670262729222</v>
      </c>
      <c r="M50" s="206"/>
      <c r="N50" s="6"/>
    </row>
    <row r="51" spans="1:20">
      <c r="A51" s="296"/>
      <c r="B51" s="62" t="s">
        <v>338</v>
      </c>
      <c r="C51" s="106">
        <v>257.42</v>
      </c>
      <c r="D51" s="106">
        <f>C51*(1+D39*0.515)</f>
        <v>312.00818235294122</v>
      </c>
      <c r="E51" s="106">
        <f t="shared" ref="E51:L51" si="7">D51*(1+E39*0.515)</f>
        <v>320.04239304852945</v>
      </c>
      <c r="F51" s="106">
        <f t="shared" si="7"/>
        <v>328.28348466952906</v>
      </c>
      <c r="G51" s="106">
        <f t="shared" si="7"/>
        <v>336.73678439976942</v>
      </c>
      <c r="H51" s="106">
        <f t="shared" si="7"/>
        <v>345.40775659806349</v>
      </c>
      <c r="I51" s="106">
        <f t="shared" si="7"/>
        <v>354.3020063304636</v>
      </c>
      <c r="J51" s="106">
        <f t="shared" si="7"/>
        <v>363.42528299347299</v>
      </c>
      <c r="K51" s="106">
        <f t="shared" si="7"/>
        <v>372.78348403055492</v>
      </c>
      <c r="L51" s="106">
        <f t="shared" si="7"/>
        <v>382.38265874434171</v>
      </c>
      <c r="M51" s="206"/>
      <c r="N51" s="6"/>
    </row>
    <row r="52" spans="1:20">
      <c r="A52" s="296"/>
      <c r="B52" s="62" t="s">
        <v>8</v>
      </c>
      <c r="C52" s="106">
        <v>316.38</v>
      </c>
      <c r="D52" s="106">
        <f>C52*(1+D39*0.515)</f>
        <v>383.47117058823534</v>
      </c>
      <c r="E52" s="106">
        <f t="shared" ref="E52:L52" si="8">D52*(1+E39*0.515)</f>
        <v>393.34555323088239</v>
      </c>
      <c r="F52" s="106">
        <f t="shared" si="8"/>
        <v>403.47420122657758</v>
      </c>
      <c r="G52" s="106">
        <f>F52*(1+G39*0.515)</f>
        <v>413.86366190816193</v>
      </c>
      <c r="H52" s="106">
        <f t="shared" si="8"/>
        <v>424.52065120229707</v>
      </c>
      <c r="I52" s="106">
        <f t="shared" si="8"/>
        <v>435.45205797075619</v>
      </c>
      <c r="J52" s="106">
        <f t="shared" si="8"/>
        <v>446.66494846350315</v>
      </c>
      <c r="K52" s="106">
        <f t="shared" si="8"/>
        <v>458.16657088643831</v>
      </c>
      <c r="L52" s="106">
        <f t="shared" si="8"/>
        <v>469.96436008676409</v>
      </c>
      <c r="M52" s="206"/>
      <c r="N52" s="6"/>
    </row>
    <row r="53" spans="1:20">
      <c r="A53" s="296"/>
      <c r="B53" s="62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206"/>
      <c r="N53" s="6"/>
    </row>
    <row r="54" spans="1:20">
      <c r="A54" s="296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</row>
    <row r="55" spans="1:20" s="139" customFormat="1" ht="19">
      <c r="B55" s="140" t="s">
        <v>329</v>
      </c>
    </row>
    <row r="56" spans="1:20" s="73" customFormat="1" ht="19">
      <c r="A56" s="139"/>
      <c r="B56" s="238" t="s">
        <v>363</v>
      </c>
    </row>
    <row r="57" spans="1:20">
      <c r="A57" s="139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0">
      <c r="A58" s="139"/>
      <c r="B58" s="11" t="s">
        <v>364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1:20">
      <c r="A59" s="139"/>
      <c r="B59" s="292" t="s">
        <v>28</v>
      </c>
      <c r="C59" s="292">
        <v>2020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1:20">
      <c r="A60" s="139"/>
      <c r="B60" s="11" t="s">
        <v>26</v>
      </c>
      <c r="C60" s="11">
        <v>34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1:20">
      <c r="A61" s="139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1:20">
      <c r="A62" s="139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1:20">
      <c r="A63" s="139"/>
      <c r="B63" s="11" t="s">
        <v>365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1:20">
      <c r="A64" s="139"/>
      <c r="B64" s="11" t="s">
        <v>366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65" spans="1:20">
      <c r="A65" s="139"/>
      <c r="B65" s="11" t="s">
        <v>367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 spans="1:20">
      <c r="A66" s="139"/>
      <c r="B66" s="11" t="s">
        <v>423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1:20">
      <c r="A67" s="139"/>
      <c r="B67" s="11" t="s">
        <v>424</v>
      </c>
      <c r="C67" s="11"/>
      <c r="D67" s="11"/>
      <c r="E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1:20">
      <c r="A68" s="139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80"/>
      <c r="N68" s="11"/>
      <c r="O68" s="11"/>
      <c r="P68" s="11"/>
      <c r="Q68" s="11"/>
      <c r="R68" s="11"/>
      <c r="S68" s="11"/>
      <c r="T68" s="11"/>
    </row>
    <row r="69" spans="1:20">
      <c r="A69" s="139"/>
      <c r="B69" s="292" t="s">
        <v>28</v>
      </c>
      <c r="C69" s="292">
        <v>2020</v>
      </c>
      <c r="D69" s="292">
        <v>2021</v>
      </c>
      <c r="E69" s="292">
        <v>2022</v>
      </c>
      <c r="F69" s="292">
        <v>2023</v>
      </c>
      <c r="G69" s="292">
        <v>2024</v>
      </c>
      <c r="H69" s="292">
        <v>2025</v>
      </c>
      <c r="I69" s="292">
        <v>2026</v>
      </c>
      <c r="J69" s="292">
        <v>2027</v>
      </c>
      <c r="K69" s="292">
        <v>2028</v>
      </c>
      <c r="L69" s="292">
        <v>2029</v>
      </c>
      <c r="M69" s="284"/>
      <c r="N69" s="11"/>
      <c r="O69" s="11"/>
      <c r="P69" s="11"/>
      <c r="Q69" s="11"/>
      <c r="R69" s="11"/>
      <c r="S69" s="11"/>
      <c r="T69" s="11"/>
    </row>
    <row r="70" spans="1:20">
      <c r="A70" s="139"/>
      <c r="B70" s="11" t="s">
        <v>368</v>
      </c>
      <c r="C70" s="11">
        <v>34</v>
      </c>
      <c r="D70" s="11">
        <v>34</v>
      </c>
      <c r="E70" s="11">
        <f>D70*(1+D39)</f>
        <v>48</v>
      </c>
      <c r="F70" s="11">
        <f>E70*(1+E39)</f>
        <v>50.400000000000006</v>
      </c>
      <c r="G70" s="105">
        <f t="shared" ref="G70:L70" si="9">F70*(1+F39)</f>
        <v>52.920000000000009</v>
      </c>
      <c r="H70" s="105">
        <f t="shared" si="9"/>
        <v>55.56600000000001</v>
      </c>
      <c r="I70" s="105">
        <f t="shared" si="9"/>
        <v>58.344300000000011</v>
      </c>
      <c r="J70" s="105">
        <f t="shared" si="9"/>
        <v>61.261515000000017</v>
      </c>
      <c r="K70" s="105">
        <f t="shared" si="9"/>
        <v>64.324590750000027</v>
      </c>
      <c r="L70" s="105">
        <f t="shared" si="9"/>
        <v>67.540820287500026</v>
      </c>
      <c r="M70" s="242"/>
      <c r="N70" s="11"/>
      <c r="O70" s="11"/>
      <c r="P70" s="11"/>
      <c r="Q70" s="11"/>
      <c r="R70" s="11"/>
      <c r="S70" s="11"/>
      <c r="T70" s="11"/>
    </row>
    <row r="71" spans="1:20">
      <c r="A71" s="139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80"/>
      <c r="N71" s="11"/>
      <c r="O71" s="11"/>
      <c r="P71" s="11"/>
      <c r="Q71" s="11"/>
      <c r="R71" s="11"/>
      <c r="S71" s="11"/>
      <c r="T71" s="11"/>
    </row>
    <row r="72" spans="1:20">
      <c r="A72" s="139"/>
      <c r="B72" s="11" t="s">
        <v>327</v>
      </c>
      <c r="C72" s="11"/>
      <c r="D72" s="237">
        <f>(D70/C70)-1</f>
        <v>0</v>
      </c>
      <c r="E72" s="237">
        <f t="shared" ref="E72:L72" si="10">(E70/D70)-1</f>
        <v>0.41176470588235303</v>
      </c>
      <c r="F72" s="237">
        <f t="shared" si="10"/>
        <v>5.0000000000000044E-2</v>
      </c>
      <c r="G72" s="237">
        <f t="shared" si="10"/>
        <v>5.0000000000000044E-2</v>
      </c>
      <c r="H72" s="237">
        <f t="shared" si="10"/>
        <v>5.0000000000000044E-2</v>
      </c>
      <c r="I72" s="237">
        <f t="shared" si="10"/>
        <v>5.0000000000000044E-2</v>
      </c>
      <c r="J72" s="237">
        <f t="shared" si="10"/>
        <v>5.0000000000000044E-2</v>
      </c>
      <c r="K72" s="237">
        <f t="shared" si="10"/>
        <v>5.0000000000000044E-2</v>
      </c>
      <c r="L72" s="237">
        <f t="shared" si="10"/>
        <v>5.0000000000000044E-2</v>
      </c>
      <c r="M72" s="194"/>
      <c r="N72" s="11"/>
      <c r="O72" s="11"/>
      <c r="P72" s="11"/>
      <c r="Q72" s="11"/>
      <c r="R72" s="11"/>
      <c r="S72" s="11"/>
      <c r="T72" s="11"/>
    </row>
    <row r="73" spans="1:20">
      <c r="A73" s="139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  <row r="74" spans="1:20">
      <c r="A74" s="139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1:20" s="73" customFormat="1" ht="19">
      <c r="A75" s="139"/>
      <c r="B75" s="238" t="s">
        <v>369</v>
      </c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</row>
    <row r="76" spans="1:20">
      <c r="A76" s="139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1:20">
      <c r="A77" s="139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8" spans="1:20">
      <c r="A78" s="139"/>
      <c r="B78" s="62" t="s">
        <v>18</v>
      </c>
      <c r="D78" s="11"/>
      <c r="E78" s="11"/>
      <c r="F78" s="11"/>
      <c r="G78" s="11"/>
      <c r="H78" s="11"/>
      <c r="I78" s="11"/>
      <c r="J78" s="11"/>
      <c r="K78" s="11"/>
      <c r="L78" s="11"/>
      <c r="M78" s="80"/>
      <c r="N78" s="11"/>
      <c r="O78" s="11"/>
      <c r="P78" s="11"/>
      <c r="Q78" s="11"/>
      <c r="R78" s="11"/>
      <c r="S78" s="11"/>
      <c r="T78" s="11"/>
    </row>
    <row r="79" spans="1:20">
      <c r="A79" s="139"/>
      <c r="B79" s="292" t="s">
        <v>28</v>
      </c>
      <c r="C79" s="292">
        <v>2020</v>
      </c>
      <c r="D79" s="292">
        <v>2021</v>
      </c>
      <c r="E79" s="292">
        <v>2022</v>
      </c>
      <c r="F79" s="292">
        <v>2023</v>
      </c>
      <c r="G79" s="292">
        <v>2024</v>
      </c>
      <c r="H79" s="292">
        <v>2025</v>
      </c>
      <c r="I79" s="292">
        <v>2026</v>
      </c>
      <c r="J79" s="292">
        <v>2027</v>
      </c>
      <c r="K79" s="292">
        <v>2028</v>
      </c>
      <c r="L79" s="292">
        <v>2029</v>
      </c>
      <c r="M79" s="284"/>
      <c r="N79" s="11"/>
      <c r="O79" s="11"/>
      <c r="P79" s="11"/>
      <c r="Q79" s="11"/>
      <c r="R79" s="11"/>
      <c r="S79" s="11"/>
      <c r="T79" s="11"/>
    </row>
    <row r="80" spans="1:20">
      <c r="A80" s="139"/>
      <c r="B80" s="62" t="s">
        <v>17</v>
      </c>
      <c r="C80" s="106">
        <v>184.67</v>
      </c>
      <c r="D80" s="106">
        <f>C80*(1+D72*0.515)</f>
        <v>184.67</v>
      </c>
      <c r="E80" s="106">
        <f t="shared" ref="E80:L80" si="11">D80*(1+E72*0.515)</f>
        <v>223.83090294117648</v>
      </c>
      <c r="F80" s="106">
        <f t="shared" si="11"/>
        <v>229.59454869191177</v>
      </c>
      <c r="G80" s="106">
        <f t="shared" si="11"/>
        <v>235.50660832072847</v>
      </c>
      <c r="H80" s="106">
        <f t="shared" si="11"/>
        <v>241.57090348498721</v>
      </c>
      <c r="I80" s="106">
        <f t="shared" si="11"/>
        <v>247.79135424972563</v>
      </c>
      <c r="J80" s="106">
        <f t="shared" si="11"/>
        <v>254.17198162165604</v>
      </c>
      <c r="K80" s="106">
        <f t="shared" si="11"/>
        <v>260.71691014841366</v>
      </c>
      <c r="L80" s="106">
        <f t="shared" si="11"/>
        <v>267.43037058473527</v>
      </c>
      <c r="M80" s="206"/>
      <c r="N80" s="11"/>
      <c r="O80" s="11"/>
      <c r="P80" s="11"/>
      <c r="Q80" s="11"/>
      <c r="R80" s="11"/>
      <c r="S80" s="11"/>
      <c r="T80" s="11"/>
    </row>
    <row r="81" spans="1:20">
      <c r="A81" s="139"/>
      <c r="B81" s="62" t="s">
        <v>338</v>
      </c>
      <c r="C81" s="106">
        <v>257.42</v>
      </c>
      <c r="D81" s="106">
        <f>C81*(1+D72*0.515)</f>
        <v>257.42</v>
      </c>
      <c r="E81" s="106">
        <f t="shared" ref="E81:L81" si="12">D81*(1+E72*0.515)</f>
        <v>312.00818235294122</v>
      </c>
      <c r="F81" s="106">
        <f t="shared" si="12"/>
        <v>320.04239304852945</v>
      </c>
      <c r="G81" s="106">
        <f>F81*(1+G72*0.515)</f>
        <v>328.28348466952906</v>
      </c>
      <c r="H81" s="106">
        <f t="shared" si="12"/>
        <v>336.73678439976942</v>
      </c>
      <c r="I81" s="106">
        <f t="shared" si="12"/>
        <v>345.40775659806349</v>
      </c>
      <c r="J81" s="106">
        <f t="shared" si="12"/>
        <v>354.3020063304636</v>
      </c>
      <c r="K81" s="106">
        <f t="shared" si="12"/>
        <v>363.42528299347299</v>
      </c>
      <c r="L81" s="106">
        <f t="shared" si="12"/>
        <v>372.78348403055492</v>
      </c>
      <c r="M81" s="206"/>
      <c r="N81" s="11"/>
      <c r="O81" s="11"/>
      <c r="P81" s="11"/>
      <c r="Q81" s="11"/>
      <c r="R81" s="11"/>
      <c r="S81" s="11"/>
      <c r="T81" s="11"/>
    </row>
    <row r="82" spans="1:20">
      <c r="A82" s="139"/>
      <c r="B82" s="62" t="s">
        <v>8</v>
      </c>
      <c r="C82" s="106">
        <v>316.38</v>
      </c>
      <c r="D82" s="106">
        <f>C82*(1+D72*0.515)</f>
        <v>316.38</v>
      </c>
      <c r="E82" s="106">
        <f t="shared" ref="E82:L82" si="13">D82*(1+E72*0.515)</f>
        <v>383.47117058823534</v>
      </c>
      <c r="F82" s="106">
        <f t="shared" si="13"/>
        <v>393.34555323088239</v>
      </c>
      <c r="G82" s="106">
        <f t="shared" si="13"/>
        <v>403.47420122657758</v>
      </c>
      <c r="H82" s="106">
        <f t="shared" si="13"/>
        <v>413.86366190816193</v>
      </c>
      <c r="I82" s="106">
        <f t="shared" si="13"/>
        <v>424.52065120229707</v>
      </c>
      <c r="J82" s="106">
        <f t="shared" si="13"/>
        <v>435.45205797075619</v>
      </c>
      <c r="K82" s="106">
        <f t="shared" si="13"/>
        <v>446.66494846350315</v>
      </c>
      <c r="L82" s="106">
        <f t="shared" si="13"/>
        <v>458.16657088643831</v>
      </c>
      <c r="M82" s="206"/>
      <c r="N82" s="11"/>
      <c r="O82" s="11"/>
      <c r="P82" s="11"/>
      <c r="Q82" s="11"/>
      <c r="R82" s="11"/>
      <c r="S82" s="11"/>
      <c r="T82" s="11"/>
    </row>
    <row r="83" spans="1:20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 spans="1:20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 spans="1:20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1:20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 spans="1:20" s="6" customFormat="1" ht="19">
      <c r="B87" s="285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</row>
    <row r="88" spans="1:20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</row>
    <row r="89" spans="1:20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1:20">
      <c r="B90" s="6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11"/>
      <c r="P90" s="11"/>
      <c r="Q90" s="11"/>
      <c r="R90" s="11"/>
      <c r="S90" s="11"/>
      <c r="T90" s="11"/>
    </row>
    <row r="91" spans="1:20"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11"/>
      <c r="P91" s="11"/>
      <c r="Q91" s="11"/>
      <c r="R91" s="11"/>
      <c r="S91" s="11"/>
      <c r="T91" s="11"/>
    </row>
    <row r="92" spans="1:20">
      <c r="B92" s="284"/>
      <c r="C92" s="284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80"/>
      <c r="O92" s="11"/>
      <c r="P92" s="11"/>
      <c r="Q92" s="11"/>
      <c r="R92" s="11"/>
      <c r="S92" s="11"/>
      <c r="T92" s="11"/>
    </row>
    <row r="93" spans="1:20">
      <c r="B93" s="87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80"/>
      <c r="O93" s="11"/>
      <c r="P93" s="11"/>
      <c r="Q93" s="11"/>
      <c r="R93" s="11"/>
      <c r="S93" s="11"/>
      <c r="T93" s="11"/>
    </row>
    <row r="94" spans="1:20">
      <c r="B94" s="87"/>
      <c r="C94" s="206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80"/>
      <c r="O94" s="11"/>
      <c r="P94" s="11"/>
      <c r="Q94" s="11"/>
      <c r="R94" s="11"/>
      <c r="S94" s="11"/>
      <c r="T94" s="11"/>
    </row>
    <row r="95" spans="1:20">
      <c r="B95" s="87"/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80"/>
      <c r="O95" s="11"/>
      <c r="P95" s="11"/>
      <c r="Q95" s="11"/>
      <c r="R95" s="11"/>
      <c r="S95" s="11"/>
      <c r="T95" s="11"/>
    </row>
    <row r="96" spans="1:20"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11"/>
      <c r="P96" s="11"/>
      <c r="Q96" s="11"/>
      <c r="R96" s="11"/>
      <c r="S96" s="11"/>
      <c r="T96" s="11"/>
    </row>
  </sheetData>
  <mergeCells count="1">
    <mergeCell ref="E35:L35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13</vt:i4>
      </vt:variant>
    </vt:vector>
  </HeadingPairs>
  <TitlesOfParts>
    <vt:vector size="13" baseType="lpstr">
      <vt:lpstr>Hovedmodell</vt:lpstr>
      <vt:lpstr>Base Scenario</vt:lpstr>
      <vt:lpstr>Covid kortsiktig</vt:lpstr>
      <vt:lpstr>Covid langsiktig</vt:lpstr>
      <vt:lpstr>Satt opp mot hverandre</vt:lpstr>
      <vt:lpstr>Kostnader Base-Scenario</vt:lpstr>
      <vt:lpstr>Kostnader Covid-kort</vt:lpstr>
      <vt:lpstr>Kostnader Covid-lang</vt:lpstr>
      <vt:lpstr>Fremtidig priser</vt:lpstr>
      <vt:lpstr>Prisliste Drivstoff</vt:lpstr>
      <vt:lpstr>Opsjon</vt:lpstr>
      <vt:lpstr>Regresjon; Drivstoff,Olje</vt:lpstr>
      <vt:lpstr>Port Calls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Jacobsen, Mikkel</dc:creator>
  <cp:lastModifiedBy>Felix Usterud</cp:lastModifiedBy>
  <dcterms:created xsi:type="dcterms:W3CDTF">2020-05-11T10:06:13Z</dcterms:created>
  <dcterms:modified xsi:type="dcterms:W3CDTF">2020-05-31T17:00:27Z</dcterms:modified>
</cp:coreProperties>
</file>