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lendnorheim/Desktop/"/>
    </mc:Choice>
  </mc:AlternateContent>
  <xr:revisionPtr revIDLastSave="0" documentId="13_ncr:1_{CAFD943A-4767-A544-B978-53F8A8D04595}" xr6:coauthVersionLast="43" xr6:coauthVersionMax="43" xr10:uidLastSave="{00000000-0000-0000-0000-000000000000}"/>
  <bookViews>
    <workbookView xWindow="0" yWindow="460" windowWidth="28800" windowHeight="16120" xr2:uid="{00000000-000D-0000-FFFF-FFFF00000000}"/>
  </bookViews>
  <sheets>
    <sheet name="Table of Content" sheetId="8" r:id="rId1"/>
    <sheet name="1.1. CO2 analysis" sheetId="1" r:id="rId2"/>
    <sheet name="1.2. CO2 results" sheetId="6" r:id="rId3"/>
    <sheet name="2.1. NOx and SO2 analysis" sheetId="10" r:id="rId4"/>
    <sheet name="2.2. NOx and SO2 results" sheetId="11" r:id="rId5"/>
    <sheet name="3.1. Transport cost analysis" sheetId="7" r:id="rId6"/>
    <sheet name="3.2. Transport cost results" sheetId="9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6" i="6" l="1"/>
  <c r="F106" i="6"/>
  <c r="D77" i="1" l="1"/>
  <c r="D76" i="1"/>
  <c r="D78" i="1" s="1"/>
  <c r="C59" i="10" l="1"/>
  <c r="G59" i="10"/>
  <c r="G60" i="10"/>
  <c r="C33" i="10" l="1"/>
  <c r="G156" i="6"/>
  <c r="G157" i="6"/>
  <c r="E157" i="6"/>
  <c r="E156" i="6"/>
  <c r="F156" i="6"/>
  <c r="L71" i="1"/>
  <c r="I71" i="1"/>
  <c r="F70" i="1"/>
  <c r="C17" i="1"/>
  <c r="C71" i="1"/>
  <c r="K141" i="6"/>
  <c r="E141" i="6"/>
  <c r="D25" i="1"/>
  <c r="I70" i="1"/>
  <c r="F94" i="1"/>
  <c r="E116" i="6"/>
  <c r="J120" i="6"/>
  <c r="I121" i="6"/>
  <c r="L70" i="1"/>
  <c r="C70" i="1"/>
  <c r="F71" i="1"/>
  <c r="L125" i="1"/>
  <c r="L128" i="1"/>
  <c r="L129" i="1"/>
  <c r="I141" i="6"/>
  <c r="J121" i="6"/>
  <c r="J141" i="6"/>
  <c r="J140" i="6"/>
  <c r="E142" i="6"/>
  <c r="E138" i="6"/>
  <c r="D129" i="6"/>
  <c r="F157" i="6"/>
  <c r="E119" i="6"/>
  <c r="I120" i="6"/>
  <c r="E137" i="6"/>
  <c r="I142" i="6"/>
  <c r="K143" i="6"/>
  <c r="K142" i="6"/>
  <c r="J142" i="6"/>
  <c r="I143" i="6"/>
  <c r="J143" i="6"/>
  <c r="AA88" i="1"/>
  <c r="O88" i="1"/>
  <c r="F88" i="1"/>
  <c r="K144" i="6"/>
  <c r="E124" i="6"/>
  <c r="E125" i="6"/>
  <c r="I144" i="6"/>
  <c r="J144" i="6"/>
  <c r="K146" i="6"/>
  <c r="I146" i="6"/>
  <c r="E118" i="6"/>
  <c r="E122" i="6"/>
  <c r="G37" i="10"/>
  <c r="G36" i="10"/>
  <c r="C37" i="10"/>
  <c r="C36" i="10"/>
  <c r="G13" i="11"/>
  <c r="F13" i="11"/>
  <c r="G21" i="11"/>
  <c r="F21" i="11"/>
  <c r="C108" i="1"/>
  <c r="C52" i="10"/>
  <c r="C51" i="10"/>
  <c r="F39" i="1"/>
  <c r="F40" i="1"/>
  <c r="L127" i="1"/>
  <c r="D39" i="1"/>
  <c r="D40" i="1"/>
  <c r="C123" i="1"/>
  <c r="E18" i="10"/>
  <c r="E17" i="10"/>
  <c r="E16" i="10"/>
  <c r="E15" i="10"/>
  <c r="G34" i="10"/>
  <c r="I67" i="1"/>
  <c r="L67" i="1"/>
  <c r="O67" i="1"/>
  <c r="R67" i="1"/>
  <c r="U67" i="1"/>
  <c r="X67" i="1"/>
  <c r="AA90" i="1"/>
  <c r="O90" i="1"/>
  <c r="F90" i="1"/>
  <c r="F64" i="1"/>
  <c r="AA87" i="1"/>
  <c r="O87" i="1"/>
  <c r="F87" i="1"/>
  <c r="C65" i="1"/>
  <c r="C68" i="1"/>
  <c r="F65" i="1"/>
  <c r="F68" i="1"/>
  <c r="I65" i="1"/>
  <c r="I68" i="1"/>
  <c r="L65" i="1"/>
  <c r="L68" i="1"/>
  <c r="O65" i="1"/>
  <c r="O68" i="1"/>
  <c r="R65" i="1"/>
  <c r="R68" i="1"/>
  <c r="U65" i="1"/>
  <c r="U68" i="1"/>
  <c r="X65" i="1"/>
  <c r="X68" i="1"/>
  <c r="AA92" i="1"/>
  <c r="O92" i="1"/>
  <c r="F92" i="1"/>
  <c r="C16" i="1"/>
  <c r="C14" i="1"/>
  <c r="C15" i="1"/>
  <c r="H28" i="1"/>
  <c r="E39" i="1"/>
  <c r="E40" i="1"/>
  <c r="AA68" i="1"/>
  <c r="B20" i="1"/>
  <c r="F48" i="7"/>
  <c r="E49" i="7"/>
  <c r="F49" i="7"/>
  <c r="F50" i="7"/>
  <c r="F57" i="7"/>
  <c r="G57" i="7"/>
  <c r="F58" i="7"/>
  <c r="G58" i="7"/>
  <c r="F59" i="7"/>
  <c r="G59" i="7"/>
  <c r="D60" i="7"/>
  <c r="E60" i="7"/>
  <c r="F60" i="7"/>
  <c r="F65" i="7"/>
  <c r="G65" i="7"/>
  <c r="F66" i="7"/>
  <c r="G66" i="7"/>
  <c r="D67" i="7"/>
  <c r="F67" i="7"/>
  <c r="G67" i="7"/>
  <c r="G68" i="7"/>
  <c r="H16" i="9"/>
  <c r="H19" i="9"/>
  <c r="G48" i="7"/>
  <c r="G49" i="7"/>
  <c r="H48" i="7"/>
  <c r="H49" i="7"/>
  <c r="E82" i="7"/>
  <c r="E83" i="7"/>
  <c r="E77" i="7"/>
  <c r="C52" i="1"/>
  <c r="G40" i="1"/>
  <c r="H24" i="6"/>
  <c r="C48" i="1"/>
  <c r="C50" i="1"/>
  <c r="C53" i="1"/>
  <c r="C54" i="1"/>
  <c r="H53" i="6"/>
  <c r="E93" i="6"/>
  <c r="O71" i="1"/>
  <c r="R71" i="1"/>
  <c r="U71" i="1"/>
  <c r="AA66" i="1"/>
  <c r="AA69" i="1"/>
  <c r="AA70" i="1"/>
  <c r="H32" i="1"/>
  <c r="AD68" i="1"/>
  <c r="AD66" i="1"/>
  <c r="AD69" i="1"/>
  <c r="AD70" i="1"/>
  <c r="E33" i="6"/>
  <c r="Y77" i="1"/>
  <c r="X71" i="1"/>
  <c r="F93" i="1"/>
  <c r="O93" i="1"/>
  <c r="O94" i="1"/>
  <c r="AA93" i="1"/>
  <c r="AA94" i="1"/>
  <c r="AK62" i="1"/>
  <c r="AK63" i="1"/>
  <c r="G39" i="1"/>
  <c r="AK64" i="1"/>
  <c r="AK65" i="1"/>
  <c r="AH81" i="1" s="1"/>
  <c r="E40" i="6"/>
  <c r="AK69" i="1"/>
  <c r="AK70" i="1"/>
  <c r="AK71" i="1"/>
  <c r="E41" i="6"/>
  <c r="AK75" i="1"/>
  <c r="AK76" i="1"/>
  <c r="AK77" i="1"/>
  <c r="E42" i="6"/>
  <c r="AG67" i="1"/>
  <c r="AG68" i="1"/>
  <c r="AG69" i="1"/>
  <c r="AG70" i="1"/>
  <c r="AG71" i="1"/>
  <c r="AG66" i="1"/>
  <c r="AG76" i="1"/>
  <c r="AG77" i="1"/>
  <c r="E45" i="6"/>
  <c r="G23" i="6"/>
  <c r="G24" i="6"/>
  <c r="E23" i="6"/>
  <c r="E24" i="6"/>
  <c r="F17" i="6"/>
  <c r="D33" i="1"/>
  <c r="AG64" i="1"/>
  <c r="H23" i="6"/>
  <c r="D31" i="1"/>
  <c r="E14" i="7"/>
  <c r="D77" i="7"/>
  <c r="I49" i="7"/>
  <c r="H29" i="1"/>
  <c r="H33" i="1"/>
  <c r="D32" i="1"/>
  <c r="E15" i="7"/>
  <c r="I50" i="7"/>
  <c r="I48" i="7"/>
  <c r="I51" i="7"/>
  <c r="AK74" i="1"/>
  <c r="AK68" i="1"/>
  <c r="F23" i="6"/>
  <c r="F24" i="6"/>
  <c r="F77" i="7"/>
  <c r="G56" i="9"/>
  <c r="F35" i="9"/>
  <c r="F72" i="1"/>
  <c r="F73" i="1"/>
  <c r="G60" i="7"/>
  <c r="G61" i="7"/>
  <c r="G16" i="9"/>
  <c r="G19" i="9"/>
  <c r="G77" i="7"/>
  <c r="H22" i="6"/>
  <c r="E44" i="6"/>
  <c r="E46" i="6"/>
  <c r="E96" i="6"/>
  <c r="AH82" i="1"/>
  <c r="AH83" i="1"/>
  <c r="F67" i="6"/>
  <c r="H77" i="7"/>
  <c r="G59" i="9"/>
  <c r="F38" i="9"/>
  <c r="F39" i="9"/>
  <c r="G60" i="9"/>
  <c r="F81" i="9"/>
  <c r="G79" i="9"/>
  <c r="H79" i="9"/>
  <c r="F18" i="9"/>
  <c r="I18" i="9"/>
  <c r="F59" i="9"/>
  <c r="F28" i="9"/>
  <c r="F17" i="9"/>
  <c r="I17" i="9"/>
  <c r="F58" i="9"/>
  <c r="F27" i="9"/>
  <c r="F16" i="9"/>
  <c r="I16" i="9"/>
  <c r="F57" i="9"/>
  <c r="F26" i="9"/>
  <c r="F80" i="9"/>
  <c r="F79" i="9"/>
  <c r="F15" i="9"/>
  <c r="F56" i="9"/>
  <c r="F14" i="6"/>
  <c r="E16" i="7"/>
  <c r="I127" i="1"/>
  <c r="G57" i="6"/>
  <c r="H65" i="6"/>
  <c r="F57" i="6"/>
  <c r="H66" i="6"/>
  <c r="E57" i="6"/>
  <c r="H67" i="6"/>
  <c r="E32" i="6"/>
  <c r="G65" i="6"/>
  <c r="C119" i="1"/>
  <c r="F12" i="6"/>
  <c r="K117" i="1"/>
  <c r="C121" i="1"/>
  <c r="C124" i="1"/>
  <c r="G32" i="10"/>
  <c r="C104" i="1"/>
  <c r="G33" i="10"/>
  <c r="G35" i="10"/>
  <c r="G38" i="1"/>
  <c r="C32" i="10"/>
  <c r="C34" i="10"/>
  <c r="I122" i="6"/>
  <c r="I123" i="6"/>
  <c r="H57" i="6"/>
  <c r="E98" i="6"/>
  <c r="F60" i="9"/>
  <c r="F25" i="9"/>
  <c r="F29" i="9"/>
  <c r="F19" i="9"/>
  <c r="I19" i="9"/>
  <c r="I15" i="9"/>
  <c r="E67" i="9"/>
  <c r="E68" i="9"/>
  <c r="G80" i="9"/>
  <c r="C106" i="1"/>
  <c r="F13" i="6"/>
  <c r="C58" i="10"/>
  <c r="C35" i="10"/>
  <c r="E20" i="11"/>
  <c r="E12" i="11"/>
  <c r="G42" i="10"/>
  <c r="C42" i="10"/>
  <c r="C125" i="1"/>
  <c r="D128" i="1"/>
  <c r="E82" i="6"/>
  <c r="F95" i="6"/>
  <c r="L123" i="1"/>
  <c r="I123" i="1"/>
  <c r="I125" i="1"/>
  <c r="I128" i="1"/>
  <c r="D82" i="7"/>
  <c r="D83" i="7"/>
  <c r="I129" i="1"/>
  <c r="K132" i="1"/>
  <c r="F82" i="6"/>
  <c r="G95" i="6"/>
  <c r="G58" i="10"/>
  <c r="C60" i="10"/>
  <c r="C109" i="1"/>
  <c r="C110" i="1"/>
  <c r="E81" i="6"/>
  <c r="G57" i="10"/>
  <c r="C57" i="10"/>
  <c r="G41" i="10"/>
  <c r="G43" i="10"/>
  <c r="E14" i="11"/>
  <c r="C41" i="10"/>
  <c r="C43" i="10"/>
  <c r="E22" i="11"/>
  <c r="F83" i="7"/>
  <c r="G83" i="7"/>
  <c r="H83" i="7"/>
  <c r="G82" i="7"/>
  <c r="H59" i="9"/>
  <c r="F48" i="9"/>
  <c r="F82" i="7"/>
  <c r="H56" i="9"/>
  <c r="F93" i="6"/>
  <c r="F99" i="6"/>
  <c r="E85" i="6"/>
  <c r="F81" i="6"/>
  <c r="F20" i="11"/>
  <c r="C62" i="10"/>
  <c r="C61" i="10"/>
  <c r="G20" i="11"/>
  <c r="G62" i="10"/>
  <c r="G61" i="10"/>
  <c r="H60" i="9"/>
  <c r="F67" i="9"/>
  <c r="F68" i="9"/>
  <c r="F45" i="9"/>
  <c r="F49" i="9"/>
  <c r="H82" i="7"/>
  <c r="H84" i="7"/>
  <c r="H80" i="9"/>
  <c r="G22" i="11"/>
  <c r="G12" i="11"/>
  <c r="G14" i="11"/>
  <c r="F22" i="11"/>
  <c r="F12" i="11"/>
  <c r="F14" i="11"/>
  <c r="G93" i="6"/>
  <c r="G99" i="6"/>
  <c r="F85" i="6"/>
  <c r="F105" i="6"/>
  <c r="G105" i="6"/>
  <c r="R70" i="1"/>
  <c r="R72" i="1"/>
  <c r="R73" i="1"/>
  <c r="E126" i="6"/>
  <c r="J122" i="6"/>
  <c r="J123" i="6"/>
  <c r="L72" i="1"/>
  <c r="L73" i="1"/>
  <c r="E66" i="6"/>
  <c r="I72" i="1"/>
  <c r="I73" i="1"/>
  <c r="E55" i="6"/>
  <c r="C72" i="1"/>
  <c r="C73" i="1"/>
  <c r="O70" i="1"/>
  <c r="O72" i="1"/>
  <c r="O73" i="1"/>
  <c r="U70" i="1"/>
  <c r="U72" i="1"/>
  <c r="U73" i="1"/>
  <c r="X70" i="1"/>
  <c r="X72" i="1"/>
  <c r="X73" i="1"/>
  <c r="G67" i="6"/>
  <c r="G66" i="6"/>
  <c r="E67" i="6"/>
  <c r="E31" i="6"/>
  <c r="Y78" i="1"/>
  <c r="Y79" i="1"/>
  <c r="G55" i="6"/>
  <c r="G58" i="6"/>
  <c r="G73" i="6"/>
  <c r="M77" i="1"/>
  <c r="F55" i="6"/>
  <c r="H55" i="6"/>
  <c r="E95" i="6" s="1"/>
  <c r="F66" i="6"/>
  <c r="M76" i="1"/>
  <c r="F65" i="6"/>
  <c r="E54" i="6"/>
  <c r="E58" i="6" s="1"/>
  <c r="E73" i="6" s="1"/>
  <c r="M78" i="1"/>
  <c r="F54" i="6"/>
  <c r="F58" i="6"/>
  <c r="F73" i="6"/>
  <c r="F159" i="6" l="1"/>
  <c r="G159" i="6"/>
  <c r="E159" i="6"/>
  <c r="H54" i="6"/>
  <c r="H58" i="6" l="1"/>
  <c r="E94" i="6"/>
  <c r="E99" i="6" s="1"/>
  <c r="J96" i="6" l="1"/>
  <c r="J97" i="6" s="1"/>
  <c r="K96" i="6"/>
  <c r="K97" i="6" s="1"/>
  <c r="H73" i="6"/>
  <c r="H59" i="6"/>
  <c r="E105" i="6" s="1"/>
  <c r="E106" i="6" s="1"/>
</calcChain>
</file>

<file path=xl/sharedStrings.xml><?xml version="1.0" encoding="utf-8"?>
<sst xmlns="http://schemas.openxmlformats.org/spreadsheetml/2006/main" count="771" uniqueCount="347">
  <si>
    <t xml:space="preserve">  Table of Content</t>
  </si>
  <si>
    <t xml:space="preserve">  1.0. CO2 emission analysis </t>
  </si>
  <si>
    <t>1.1. CO2 analysis</t>
  </si>
  <si>
    <t>1.2. CO2 results</t>
  </si>
  <si>
    <t>2.1. NOx and SO2 analysis</t>
  </si>
  <si>
    <t xml:space="preserve">2.2. NOx and SO2 results </t>
  </si>
  <si>
    <t xml:space="preserve">  3.0. Transportation cost analysis</t>
  </si>
  <si>
    <t>3.1. Transport cost analysis</t>
  </si>
  <si>
    <t>3.2. Transport cost results</t>
  </si>
  <si>
    <t xml:space="preserve">1.0. CO2 emission analysis </t>
  </si>
  <si>
    <t>1) Key figures</t>
  </si>
  <si>
    <t>2) Calculations of current system</t>
  </si>
  <si>
    <t>3) Calculations of the future systems</t>
  </si>
  <si>
    <t>Key figures</t>
  </si>
  <si>
    <t>EURO 6 engine CO2 mission data</t>
  </si>
  <si>
    <t>Vehicle type and capacity</t>
  </si>
  <si>
    <t>Ton per km driving</t>
  </si>
  <si>
    <t>Cement truck</t>
  </si>
  <si>
    <t>Dry bulk truck</t>
  </si>
  <si>
    <t>Concrete truck T6</t>
  </si>
  <si>
    <t>Full load motorway</t>
  </si>
  <si>
    <t xml:space="preserve">tons </t>
  </si>
  <si>
    <t>Empty load motorway</t>
  </si>
  <si>
    <t>m3</t>
  </si>
  <si>
    <t>-</t>
  </si>
  <si>
    <t>Full load queue driving</t>
  </si>
  <si>
    <t>Empty load queue driving</t>
  </si>
  <si>
    <t>CO2 emission per liter diesel</t>
  </si>
  <si>
    <t>Dividing queue and motorway driving</t>
  </si>
  <si>
    <t xml:space="preserve">Data for calculating emissions from unloading cement </t>
  </si>
  <si>
    <t>Share of route for queue driving</t>
  </si>
  <si>
    <t>Unloading tons</t>
  </si>
  <si>
    <t>Share of route for motorway driving</t>
  </si>
  <si>
    <t>Diesel liter total</t>
  </si>
  <si>
    <t xml:space="preserve">Data for calculating emissions from unloading sand </t>
  </si>
  <si>
    <t>Other relevant indata</t>
  </si>
  <si>
    <t xml:space="preserve">Diesel use one unloading </t>
  </si>
  <si>
    <t>Weight of 1 m3 wet concrete (kg)</t>
  </si>
  <si>
    <t xml:space="preserve">Diesel litertotal </t>
  </si>
  <si>
    <t>Concrete trucks diesel use per km (liter)</t>
  </si>
  <si>
    <t>Total volume aggregates</t>
  </si>
  <si>
    <t>Data for calculating emissions from unloading gravel</t>
  </si>
  <si>
    <t>Total volume cement</t>
  </si>
  <si>
    <t>Total volume m3 concrete</t>
  </si>
  <si>
    <t xml:space="preserve">Diesel liter total </t>
  </si>
  <si>
    <t>Aggregates</t>
  </si>
  <si>
    <t>Cement</t>
  </si>
  <si>
    <t>6000 dwt</t>
  </si>
  <si>
    <t xml:space="preserve">1000 dwt </t>
  </si>
  <si>
    <t>4000 dwt</t>
  </si>
  <si>
    <t>Diesel use per delivery (total)</t>
  </si>
  <si>
    <t>Diesel use unloading</t>
  </si>
  <si>
    <t>Diesel use sailing</t>
  </si>
  <si>
    <t xml:space="preserve">Calculations of current system </t>
  </si>
  <si>
    <t>Brevik - Sjursøya</t>
  </si>
  <si>
    <t>Total tons delivered</t>
  </si>
  <si>
    <t>Avg. vessel capacity (dwt)</t>
  </si>
  <si>
    <t>Number of port calls</t>
  </si>
  <si>
    <t>CO2 emissions ton/nm</t>
  </si>
  <si>
    <t>Fuel use in liter per trip</t>
  </si>
  <si>
    <t>Total liters per year</t>
  </si>
  <si>
    <t>Total emissions</t>
  </si>
  <si>
    <t>NorBetong Steinskogen</t>
  </si>
  <si>
    <t>NorBetong Alnabru</t>
  </si>
  <si>
    <t>NorBetong Sjursøya</t>
  </si>
  <si>
    <t>Port activities at Sjursøya</t>
  </si>
  <si>
    <t>INBOUND TRANSPORTATION</t>
  </si>
  <si>
    <t>Unloading 6 000 dwt cement vessel</t>
  </si>
  <si>
    <t>Sjursøya - Steinskogen</t>
  </si>
  <si>
    <t>Steinskogen - Steinskogen</t>
  </si>
  <si>
    <t>Lyngås - Steinskogen</t>
  </si>
  <si>
    <t>Sjursøya - Alnabru</t>
  </si>
  <si>
    <t xml:space="preserve"> Hadeland - Alnabru</t>
  </si>
  <si>
    <t>Svelvik - Alnabru</t>
  </si>
  <si>
    <t>Folbergåsen - Alnabru</t>
  </si>
  <si>
    <t>Folbergåsen - Sjursøya</t>
  </si>
  <si>
    <t>Svelvik - Sjursøya</t>
  </si>
  <si>
    <t>Kragerø - Sjursøya</t>
  </si>
  <si>
    <t>Transportation by aggregate trucks</t>
  </si>
  <si>
    <t>Diesel use per ton unloaded (l)</t>
  </si>
  <si>
    <t>Gravel 8/16 and 16/22</t>
  </si>
  <si>
    <t>Sand</t>
  </si>
  <si>
    <t>Gravel 8/16</t>
  </si>
  <si>
    <t>Gravel 16/22</t>
  </si>
  <si>
    <t>Distance (m)</t>
  </si>
  <si>
    <t>Diesel use per unloading (l)</t>
  </si>
  <si>
    <t>Roundtrip (m)</t>
  </si>
  <si>
    <t>Emissions per unloading (ton)</t>
  </si>
  <si>
    <t>Number of deliveries</t>
  </si>
  <si>
    <t>Avg. vessel capacity</t>
  </si>
  <si>
    <t>Capacity (ton)</t>
  </si>
  <si>
    <t>Total emissions per year (ton)</t>
  </si>
  <si>
    <t>Distance km</t>
  </si>
  <si>
    <t>No. of trips per vessel</t>
  </si>
  <si>
    <t>Roundtrip km</t>
  </si>
  <si>
    <t>CO2 emissions</t>
  </si>
  <si>
    <t>Emissions driving full load</t>
  </si>
  <si>
    <t>Unloading 1 000 dwt aggregate vessel</t>
  </si>
  <si>
    <t>Total km per year</t>
  </si>
  <si>
    <t>Fuel use in l pr. delivery</t>
  </si>
  <si>
    <t>Emissions driving empty load</t>
  </si>
  <si>
    <t>Diesel use per trip</t>
  </si>
  <si>
    <t>Emissions from motorway driving</t>
  </si>
  <si>
    <t xml:space="preserve">Emission per delivery </t>
  </si>
  <si>
    <t>Total diesel use per year</t>
  </si>
  <si>
    <t>Emissions from queue driving</t>
  </si>
  <si>
    <t>Emission empty</t>
  </si>
  <si>
    <t>Emissions per trip (ton)</t>
  </si>
  <si>
    <t xml:space="preserve">Total emissions  </t>
  </si>
  <si>
    <t>Transportation by wheel  loader</t>
  </si>
  <si>
    <t>Unloading 1 800 dwt aggregate vessel</t>
  </si>
  <si>
    <t>Diesel use per hour</t>
  </si>
  <si>
    <t>CO2 emissions for inbound Steinskogen</t>
  </si>
  <si>
    <t>CO2 emissions for inbound Alnabru</t>
  </si>
  <si>
    <t>CO2 emissions for inbound Sjursøya</t>
  </si>
  <si>
    <t>Total hours per year</t>
  </si>
  <si>
    <t>Cement transport emissions (ton)</t>
  </si>
  <si>
    <t>Aggregate transport emissions (ton)</t>
  </si>
  <si>
    <t>Aggregate transport emissions sea (ton)</t>
  </si>
  <si>
    <t xml:space="preserve">Total emissions (ton per year) </t>
  </si>
  <si>
    <t>Aggregate transport emissions truck (ton)</t>
  </si>
  <si>
    <t>CO2 emissions for port activities</t>
  </si>
  <si>
    <t>Unloading of vessels (ton)</t>
  </si>
  <si>
    <t>OUTBOUND TRANSPORTATION</t>
  </si>
  <si>
    <t>Transportation at terminal (ton)</t>
  </si>
  <si>
    <t>Steinskogen - Market</t>
  </si>
  <si>
    <t>Alnabru - Market</t>
  </si>
  <si>
    <t>Sjursøya - Market</t>
  </si>
  <si>
    <t>Concrete</t>
  </si>
  <si>
    <t>Volume delivered (m3)</t>
  </si>
  <si>
    <t>Volume delivered (ton)</t>
  </si>
  <si>
    <t>Avg. distance to customer (km)</t>
  </si>
  <si>
    <t>Roundtrip time (min)</t>
  </si>
  <si>
    <t xml:space="preserve">Diesel use per year (liter) </t>
  </si>
  <si>
    <t>Calculations of future systems</t>
  </si>
  <si>
    <t>System 1</t>
  </si>
  <si>
    <t>System 2</t>
  </si>
  <si>
    <t>Jelsa - Sjursøya</t>
  </si>
  <si>
    <t>Aggregated volumes current system:</t>
  </si>
  <si>
    <t>All types of aggregates</t>
  </si>
  <si>
    <t>Division aggregate sourcing:</t>
  </si>
  <si>
    <t>gravel</t>
  </si>
  <si>
    <t>sand</t>
  </si>
  <si>
    <t>Fuel use in liter per roundtrip</t>
  </si>
  <si>
    <t>Total emissions inbound logistics</t>
  </si>
  <si>
    <t>ton/year</t>
  </si>
  <si>
    <t>Total emissions inbound logistics system 2</t>
  </si>
  <si>
    <t>2) Results</t>
  </si>
  <si>
    <t xml:space="preserve">3) Sensitivity analyses </t>
  </si>
  <si>
    <t>Total aggregate volume</t>
  </si>
  <si>
    <t>Total cement volume</t>
  </si>
  <si>
    <t>Total volume concrete produced (m3)</t>
  </si>
  <si>
    <t>Less aggregates transported by road (ton)</t>
  </si>
  <si>
    <t>No. of trucks removed per year</t>
  </si>
  <si>
    <t>Results</t>
  </si>
  <si>
    <t xml:space="preserve">Table 5.4. </t>
  </si>
  <si>
    <t>CO2 missions per ton of aggregate delivered to Sjursøya</t>
  </si>
  <si>
    <t>Folbergåsen</t>
  </si>
  <si>
    <t>kg</t>
  </si>
  <si>
    <t>Svelvik</t>
  </si>
  <si>
    <t>Kragerø</t>
  </si>
  <si>
    <t>Table 5.5.</t>
  </si>
  <si>
    <t>CO2 emissions from port activities</t>
  </si>
  <si>
    <t>ton</t>
  </si>
  <si>
    <t>Unloading vessels</t>
  </si>
  <si>
    <t xml:space="preserve">  Cement vessels (6000 dwt)</t>
  </si>
  <si>
    <t xml:space="preserve">  Aggregate vessel (1000 dwt)</t>
  </si>
  <si>
    <t>  Aggregate vessel (1800 dwt)</t>
  </si>
  <si>
    <t>Internal transportation</t>
  </si>
  <si>
    <t xml:space="preserve">  Aggregate trucks</t>
  </si>
  <si>
    <t xml:space="preserve">  Wheel loader</t>
  </si>
  <si>
    <t>Sum</t>
  </si>
  <si>
    <t xml:space="preserve">Table 5.7. </t>
  </si>
  <si>
    <t xml:space="preserve">CO2 emissions in the current system 
</t>
  </si>
  <si>
    <t>Steinskogen</t>
  </si>
  <si>
    <t>Alnabru</t>
  </si>
  <si>
    <t>Sjursøya</t>
  </si>
  <si>
    <t>Total</t>
  </si>
  <si>
    <t>Inbound transport emissions</t>
  </si>
  <si>
    <t xml:space="preserve">  Cement (by sea from Brevik)</t>
  </si>
  <si>
    <t xml:space="preserve">  Cement (by road)</t>
  </si>
  <si>
    <t xml:space="preserve">  Aggregates </t>
  </si>
  <si>
    <t>Outbound transport emissions</t>
  </si>
  <si>
    <t xml:space="preserve">  Concrete</t>
  </si>
  <si>
    <t>Total CO2 emissions</t>
  </si>
  <si>
    <t>Table 5.8.</t>
  </si>
  <si>
    <t>Kg CO2 per ton product type delivered to factories/customer</t>
  </si>
  <si>
    <t>Gravel</t>
  </si>
  <si>
    <t xml:space="preserve"> </t>
  </si>
  <si>
    <t xml:space="preserve">Table 5.9. </t>
  </si>
  <si>
    <t xml:space="preserve">Kg CO2 per m3 concrete delivered to customer </t>
  </si>
  <si>
    <t>Kg CO2 per m3 delivered</t>
  </si>
  <si>
    <t>Table 5.12.</t>
  </si>
  <si>
    <t xml:space="preserve"> CO2 emissions from future logistic systems</t>
  </si>
  <si>
    <t>Inbound emissions</t>
  </si>
  <si>
    <t xml:space="preserve">  Cement</t>
  </si>
  <si>
    <t>Outbound emissions</t>
  </si>
  <si>
    <t xml:space="preserve">Table 5.13. </t>
  </si>
  <si>
    <t>Comparing CO2 emission from current and future logistic systems</t>
  </si>
  <si>
    <t>Current system</t>
  </si>
  <si>
    <t>Port activities</t>
  </si>
  <si>
    <t>CO2 reduction</t>
  </si>
  <si>
    <t xml:space="preserve">in % </t>
  </si>
  <si>
    <t>Table 5.14.</t>
  </si>
  <si>
    <t xml:space="preserve">Kg CO2 per m3 concrete delivered to customer for each system </t>
  </si>
  <si>
    <t>System CO2 emissions per year (ton)</t>
  </si>
  <si>
    <t>CO2 emissions per m3 delivered (kg)</t>
  </si>
  <si>
    <t xml:space="preserve">Sensitivity analyses </t>
  </si>
  <si>
    <t>1) Distance effect on emissions - sea vs. road</t>
  </si>
  <si>
    <t>* Assuming same ratio of queue driving as in 1.1. cost analysis</t>
  </si>
  <si>
    <t>Data for sea transportation (1000 dwt)</t>
  </si>
  <si>
    <t>Deliveries</t>
  </si>
  <si>
    <t>Fuel use per trip</t>
  </si>
  <si>
    <t>Total fuel use 100 000 ton</t>
  </si>
  <si>
    <t>100 000 ton</t>
  </si>
  <si>
    <t>Roundtrip distance by sea (km)</t>
  </si>
  <si>
    <t>Sea</t>
  </si>
  <si>
    <t>Road</t>
  </si>
  <si>
    <t>Distance (km)</t>
  </si>
  <si>
    <t>Data for road transportation (30 ton cap.)</t>
  </si>
  <si>
    <t xml:space="preserve">No. of trips </t>
  </si>
  <si>
    <t xml:space="preserve">Deliveries </t>
  </si>
  <si>
    <t>Emission per trip</t>
  </si>
  <si>
    <t>Distance on road</t>
  </si>
  <si>
    <t>Emission motorway</t>
  </si>
  <si>
    <t>Emission queue</t>
  </si>
  <si>
    <t>2) The effect of queue driving</t>
  </si>
  <si>
    <t>Input</t>
  </si>
  <si>
    <t>Transportation volume</t>
  </si>
  <si>
    <t>Roundtrip dstance by road (km)</t>
  </si>
  <si>
    <t>No of deliveries (road)</t>
  </si>
  <si>
    <t xml:space="preserve">More queue </t>
  </si>
  <si>
    <t>Base</t>
  </si>
  <si>
    <t xml:space="preserve">More motorway </t>
  </si>
  <si>
    <t>Ton CO2 per km driving*</t>
  </si>
  <si>
    <t>Queue driving ratio</t>
  </si>
  <si>
    <t>Queue driving</t>
  </si>
  <si>
    <t>Motorway driving ratio</t>
  </si>
  <si>
    <t>Motorway driving</t>
  </si>
  <si>
    <t>Emission from queue driving</t>
  </si>
  <si>
    <t>* Assuming 50/50 full and empty driving</t>
  </si>
  <si>
    <t>Emission from motorway driving</t>
  </si>
  <si>
    <t>Total emissions by road</t>
  </si>
  <si>
    <t>Increase/decrease in emissions</t>
  </si>
  <si>
    <t>3) Wheel loader use impact on emissions from port activities</t>
  </si>
  <si>
    <t>% of terminal emissions</t>
  </si>
  <si>
    <t>2.0. NOx and SO2 emission analysis</t>
  </si>
  <si>
    <t xml:space="preserve">2) Calculations of current system </t>
  </si>
  <si>
    <t xml:space="preserve">3) Calculations of the future systems </t>
  </si>
  <si>
    <t xml:space="preserve">Distances by sea from Sjursøya  </t>
  </si>
  <si>
    <t>Nautical miles</t>
  </si>
  <si>
    <t>Km one way</t>
  </si>
  <si>
    <t>Km trip (1,5)</t>
  </si>
  <si>
    <t xml:space="preserve">Brevik </t>
  </si>
  <si>
    <t xml:space="preserve">Svelvik </t>
  </si>
  <si>
    <t xml:space="preserve">Kragerø </t>
  </si>
  <si>
    <t>Jelsa</t>
  </si>
  <si>
    <t>NOx</t>
  </si>
  <si>
    <t>SO2</t>
  </si>
  <si>
    <t>g/1000 ton-km</t>
  </si>
  <si>
    <t>Heavy vehicles</t>
  </si>
  <si>
    <t>Vessels</t>
  </si>
  <si>
    <t>Reference: Spreadsheet of estimates used in the Norwegian National transportation model. TØI/SITMA 2017 - received from our supervisor</t>
  </si>
  <si>
    <t>Road transportation</t>
  </si>
  <si>
    <t>Sea transportation</t>
  </si>
  <si>
    <t>Total distance km</t>
  </si>
  <si>
    <t>Total volume in tons</t>
  </si>
  <si>
    <t>Average distanse driven in km</t>
  </si>
  <si>
    <t>Average distanse sailed in km</t>
  </si>
  <si>
    <t xml:space="preserve">Ton-km </t>
  </si>
  <si>
    <t>SO2 factor</t>
  </si>
  <si>
    <t>NOx factor</t>
  </si>
  <si>
    <t>SO2 emissions</t>
  </si>
  <si>
    <t>NOx emissions</t>
  </si>
  <si>
    <t>Total SO2 emissions per year</t>
  </si>
  <si>
    <t>Total NOx emissions per year</t>
  </si>
  <si>
    <t xml:space="preserve">Calculations of the future systems </t>
  </si>
  <si>
    <t>Avg. distanse sailed in km</t>
  </si>
  <si>
    <t>Ton-km per year</t>
  </si>
  <si>
    <t>2.2. NOx and SO2 results</t>
  </si>
  <si>
    <t>1) Results</t>
  </si>
  <si>
    <t xml:space="preserve">5.15. </t>
  </si>
  <si>
    <t>Comparing NOx emissions from current and future logistic systems</t>
  </si>
  <si>
    <t>Ton NOx per ton-km</t>
  </si>
  <si>
    <t>Total NOx emissions</t>
  </si>
  <si>
    <t>5.16.</t>
  </si>
  <si>
    <t>Comparing SO2 emissions from current and future logistic systems</t>
  </si>
  <si>
    <t>Ton SO2 per ton-km</t>
  </si>
  <si>
    <t>Total SO2 emissions</t>
  </si>
  <si>
    <t>3.0. Transportation cost analysis</t>
  </si>
  <si>
    <t>Goods charges</t>
  </si>
  <si>
    <t xml:space="preserve">NOK per ton </t>
  </si>
  <si>
    <t xml:space="preserve">Factory </t>
  </si>
  <si>
    <t>Product</t>
  </si>
  <si>
    <t>Quarry location</t>
  </si>
  <si>
    <t>Transportation mode</t>
  </si>
  <si>
    <t>Capacity per shipment</t>
  </si>
  <si>
    <t>Transport cost per ton</t>
  </si>
  <si>
    <t>Handling cost per ton </t>
  </si>
  <si>
    <t>8/16 gravel</t>
  </si>
  <si>
    <t>16/22 gravel</t>
  </si>
  <si>
    <t>Truck</t>
  </si>
  <si>
    <t>Hadeland</t>
  </si>
  <si>
    <t>Lyngås</t>
  </si>
  <si>
    <t>Transportation cost</t>
  </si>
  <si>
    <t>Comment</t>
  </si>
  <si>
    <t>All</t>
  </si>
  <si>
    <t>New equitpment for handling at terminal is included in invetsment cost</t>
  </si>
  <si>
    <t xml:space="preserve">8/16 and 16/22 gravel </t>
  </si>
  <si>
    <t xml:space="preserve">  </t>
  </si>
  <si>
    <t>Sjursøya costs</t>
  </si>
  <si>
    <t>Volume</t>
  </si>
  <si>
    <t>Handling cost* at terminal</t>
  </si>
  <si>
    <t>Goods charges at port</t>
  </si>
  <si>
    <t>Total cost</t>
  </si>
  <si>
    <t>Total cost of input transportation to production</t>
  </si>
  <si>
    <t>* Handling cost: assuming 30 ton cap. in trucks on quay, transporting from vessel to storage</t>
  </si>
  <si>
    <t>Alnabru costs</t>
  </si>
  <si>
    <t>Sjursøya (cement)</t>
  </si>
  <si>
    <t>Steinskogen costs</t>
  </si>
  <si>
    <t>Calculations of the future systems</t>
  </si>
  <si>
    <t xml:space="preserve">Table 5.17. </t>
  </si>
  <si>
    <t xml:space="preserve">Detailed result of cost analysis of the current system </t>
  </si>
  <si>
    <t>Transportation costs</t>
  </si>
  <si>
    <t xml:space="preserve">   Sea transport</t>
  </si>
  <si>
    <t>   Road transport</t>
  </si>
  <si>
    <t>Handling cost</t>
  </si>
  <si>
    <t xml:space="preserve">Total costs </t>
  </si>
  <si>
    <t xml:space="preserve">Table 5.18. </t>
  </si>
  <si>
    <t xml:space="preserve">Result of cost analysis in the current system </t>
  </si>
  <si>
    <t xml:space="preserve">Table 5.19. </t>
  </si>
  <si>
    <t>Result of cost analysis in system 1</t>
  </si>
  <si>
    <t xml:space="preserve">Table 5.20. </t>
  </si>
  <si>
    <t>Result of cost analysis in system 2</t>
  </si>
  <si>
    <t xml:space="preserve">Table 5.21. </t>
  </si>
  <si>
    <t xml:space="preserve">Comparison of cost analysis of current and future systems </t>
  </si>
  <si>
    <t xml:space="preserve">Table 5.23. </t>
  </si>
  <si>
    <t>Increase in transportation costs in future systems</t>
  </si>
  <si>
    <t>kr cost increase</t>
  </si>
  <si>
    <t>% cost increase</t>
  </si>
  <si>
    <t>Not used in thesis document</t>
  </si>
  <si>
    <t>Detailed result of cost analysis in current system</t>
  </si>
  <si>
    <t>Avg. cost per ton</t>
  </si>
  <si>
    <t xml:space="preserve">  System 1</t>
  </si>
  <si>
    <t xml:space="preserve">  System 2</t>
  </si>
  <si>
    <t>Sea transportation (inkl. goods charges)</t>
  </si>
  <si>
    <t xml:space="preserve">  2.0. NOx and SO2 emission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</si>
</sst>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00"/>
    <numFmt numFmtId="167" formatCode="0.0000"/>
    <numFmt numFmtId="168" formatCode="_-* #,##0.000_-;\-* #,##0.000_-;_-* &quot;-&quot;??_-;_-@_-"/>
    <numFmt numFmtId="169" formatCode="0.000"/>
    <numFmt numFmtId="170" formatCode="#,##0.000"/>
    <numFmt numFmtId="171" formatCode="_-* #,##0.0000_-;\-* #,##0.0000_-;_-* &quot;-&quot;??_-;_-@_-"/>
    <numFmt numFmtId="172" formatCode="_-* #,##0.0_-;\-* #,##0.0_-;_-* &quot;-&quot;??_-;_-@_-"/>
    <numFmt numFmtId="173" formatCode="_-* #,##0.0000_-;\-* #,##0.0000_-;_-* &quot;-&quot;????_-;_-@_-"/>
    <numFmt numFmtId="174" formatCode="0.00000000"/>
    <numFmt numFmtId="175" formatCode="_-* #,##0.00_-;\-* #,##0.00_-;_-* &quot;-&quot;????????_-;_-@_-"/>
    <numFmt numFmtId="176" formatCode="0.0000000"/>
    <numFmt numFmtId="177" formatCode="_-* #,##0_-;\-* #,##0_-;_-* &quot;-&quot;????_-;_-@_-"/>
    <numFmt numFmtId="178" formatCode="0.000000"/>
    <numFmt numFmtId="179" formatCode="0.0\ %"/>
  </numFmts>
  <fonts count="37" x14ac:knownFonts="1">
    <font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sz val="10"/>
      <color rgb="FFFF0000"/>
      <name val="Arial"/>
    </font>
    <font>
      <b/>
      <sz val="11"/>
      <color rgb="FF000000"/>
      <name val="Times New Roman"/>
    </font>
    <font>
      <sz val="11"/>
      <color rgb="FF000000"/>
      <name val="Times New Roman"/>
    </font>
    <font>
      <i/>
      <sz val="11"/>
      <color rgb="FF000000"/>
      <name val="Times New Roman"/>
    </font>
    <font>
      <b/>
      <sz val="14"/>
      <color rgb="FF000000"/>
      <name val="Times New Roman"/>
    </font>
    <font>
      <b/>
      <sz val="11"/>
      <color rgb="FFFFFFFF"/>
      <name val="Times New Roman"/>
    </font>
    <font>
      <sz val="14"/>
      <color rgb="FF000000"/>
      <name val="Times New Roman"/>
    </font>
    <font>
      <sz val="14"/>
      <color rgb="FFFFFFFF"/>
      <name val="Times New Roman"/>
    </font>
    <font>
      <sz val="11"/>
      <color rgb="FFFFFFFF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i/>
      <sz val="11"/>
      <color rgb="FFFF0000"/>
      <name val="Times New Roman"/>
    </font>
    <font>
      <sz val="12"/>
      <color rgb="FFFFFFFF"/>
      <name val="Times New Roman"/>
    </font>
    <font>
      <b/>
      <sz val="12"/>
      <name val="Times New Roman"/>
    </font>
    <font>
      <sz val="12"/>
      <name val="Times New Roman"/>
    </font>
    <font>
      <b/>
      <i/>
      <sz val="12"/>
      <color rgb="FF000000"/>
      <name val="Times New Roman"/>
    </font>
    <font>
      <sz val="10"/>
      <color rgb="FF000000"/>
      <name val="Times New Roman"/>
    </font>
    <font>
      <b/>
      <sz val="12"/>
      <color rgb="FFFFFFFF"/>
      <name val="Times New Roman"/>
    </font>
    <font>
      <sz val="18"/>
      <color rgb="FF000000"/>
      <name val="Times New Roman"/>
    </font>
    <font>
      <sz val="16"/>
      <color rgb="FF000000"/>
      <name val="Times New Roman"/>
    </font>
    <font>
      <b/>
      <sz val="20"/>
      <color rgb="FFFFFFFF"/>
      <name val="Times New Roman"/>
    </font>
    <font>
      <b/>
      <sz val="16"/>
      <color rgb="FF000000"/>
      <name val="Times New Roman"/>
    </font>
    <font>
      <sz val="12"/>
      <color rgb="FFFF0000"/>
      <name val="Times New Roman"/>
    </font>
    <font>
      <i/>
      <sz val="12"/>
      <color rgb="FF000000"/>
      <name val="Times New Roman"/>
    </font>
    <font>
      <b/>
      <sz val="16"/>
      <color rgb="FFFFFFFF"/>
      <name val="Times New Roman"/>
    </font>
    <font>
      <sz val="16"/>
      <color rgb="FFFFFFFF"/>
      <name val="Times New Roman"/>
    </font>
    <font>
      <b/>
      <sz val="12"/>
      <color rgb="FFFF0000"/>
      <name val="Times New Roman"/>
    </font>
    <font>
      <u/>
      <sz val="12"/>
      <color theme="10"/>
      <name val="Arial"/>
    </font>
    <font>
      <b/>
      <sz val="18"/>
      <color rgb="FF000000"/>
      <name val="Times New Roman"/>
    </font>
    <font>
      <b/>
      <u/>
      <sz val="11"/>
      <color rgb="FFFF0000"/>
      <name val="Times New Roman"/>
    </font>
    <font>
      <sz val="16"/>
      <color rgb="FFFF0000"/>
      <name val="Times New Roman"/>
    </font>
    <font>
      <b/>
      <sz val="16"/>
      <color rgb="FFFFFFFF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AEAAAA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D0CECE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2">
    <xf numFmtId="0" fontId="0" fillId="0" borderId="0" xfId="0" applyFont="1" applyAlignment="1"/>
    <xf numFmtId="43" fontId="1" fillId="0" borderId="0" xfId="0" applyNumberFormat="1" applyFont="1" applyAlignment="1"/>
    <xf numFmtId="43" fontId="1" fillId="0" borderId="0" xfId="0" applyNumberFormat="1" applyFont="1" applyAlignment="1">
      <alignment horizontal="right"/>
    </xf>
    <xf numFmtId="43" fontId="1" fillId="2" borderId="0" xfId="0" applyNumberFormat="1" applyFont="1" applyFill="1" applyAlignment="1"/>
    <xf numFmtId="43" fontId="1" fillId="2" borderId="0" xfId="0" applyNumberFormat="1" applyFont="1" applyFill="1" applyAlignment="1">
      <alignment horizontal="right"/>
    </xf>
    <xf numFmtId="0" fontId="0" fillId="0" borderId="2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5" fillId="0" borderId="2" xfId="0" applyFont="1" applyBorder="1" applyAlignment="1"/>
    <xf numFmtId="0" fontId="5" fillId="0" borderId="17" xfId="0" applyFont="1" applyFill="1" applyBorder="1" applyAlignment="1"/>
    <xf numFmtId="0" fontId="5" fillId="0" borderId="17" xfId="0" applyFont="1" applyBorder="1" applyAlignment="1"/>
    <xf numFmtId="0" fontId="5" fillId="0" borderId="17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169" fontId="5" fillId="0" borderId="2" xfId="0" applyNumberFormat="1" applyFont="1" applyFill="1" applyBorder="1" applyAlignment="1"/>
    <xf numFmtId="3" fontId="5" fillId="0" borderId="2" xfId="0" applyNumberFormat="1" applyFont="1" applyFill="1" applyBorder="1" applyAlignment="1"/>
    <xf numFmtId="0" fontId="5" fillId="0" borderId="13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5" fillId="0" borderId="9" xfId="0" applyFont="1" applyBorder="1" applyAlignment="1"/>
    <xf numFmtId="0" fontId="5" fillId="0" borderId="4" xfId="0" applyFont="1" applyBorder="1" applyAlignment="1"/>
    <xf numFmtId="0" fontId="5" fillId="0" borderId="1" xfId="0" applyFont="1" applyBorder="1" applyAlignment="1"/>
    <xf numFmtId="0" fontId="5" fillId="0" borderId="6" xfId="0" applyFont="1" applyBorder="1" applyAlignment="1"/>
    <xf numFmtId="0" fontId="5" fillId="0" borderId="14" xfId="0" applyFont="1" applyBorder="1" applyAlignment="1"/>
    <xf numFmtId="0" fontId="5" fillId="0" borderId="7" xfId="0" applyFont="1" applyBorder="1" applyAlignment="1"/>
    <xf numFmtId="3" fontId="5" fillId="0" borderId="14" xfId="0" applyNumberFormat="1" applyFont="1" applyBorder="1" applyAlignment="1"/>
    <xf numFmtId="0" fontId="5" fillId="0" borderId="12" xfId="0" applyFont="1" applyBorder="1" applyAlignment="1"/>
    <xf numFmtId="0" fontId="5" fillId="0" borderId="16" xfId="0" applyFont="1" applyBorder="1" applyAlignment="1"/>
    <xf numFmtId="3" fontId="5" fillId="0" borderId="1" xfId="0" applyNumberFormat="1" applyFont="1" applyBorder="1" applyAlignment="1"/>
    <xf numFmtId="0" fontId="5" fillId="0" borderId="10" xfId="0" applyFont="1" applyBorder="1" applyAlignment="1"/>
    <xf numFmtId="3" fontId="5" fillId="0" borderId="15" xfId="0" applyNumberFormat="1" applyFont="1" applyBorder="1" applyAlignment="1"/>
    <xf numFmtId="0" fontId="5" fillId="0" borderId="17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71" fontId="5" fillId="0" borderId="2" xfId="0" applyNumberFormat="1" applyFont="1" applyFill="1" applyBorder="1" applyAlignment="1"/>
    <xf numFmtId="3" fontId="5" fillId="0" borderId="4" xfId="0" applyNumberFormat="1" applyFont="1" applyBorder="1" applyAlignment="1"/>
    <xf numFmtId="0" fontId="6" fillId="0" borderId="13" xfId="0" applyFont="1" applyFill="1" applyBorder="1" applyAlignment="1"/>
    <xf numFmtId="3" fontId="5" fillId="0" borderId="16" xfId="0" applyNumberFormat="1" applyFont="1" applyFill="1" applyBorder="1" applyAlignment="1"/>
    <xf numFmtId="3" fontId="5" fillId="0" borderId="0" xfId="0" applyNumberFormat="1" applyFont="1" applyAlignment="1"/>
    <xf numFmtId="0" fontId="4" fillId="0" borderId="2" xfId="0" applyFont="1" applyFill="1" applyBorder="1" applyAlignment="1"/>
    <xf numFmtId="0" fontId="5" fillId="0" borderId="2" xfId="0" applyFont="1" applyFill="1" applyBorder="1" applyAlignment="1"/>
    <xf numFmtId="3" fontId="4" fillId="0" borderId="2" xfId="0" applyNumberFormat="1" applyFont="1" applyFill="1" applyBorder="1" applyAlignment="1"/>
    <xf numFmtId="165" fontId="5" fillId="0" borderId="2" xfId="0" applyNumberFormat="1" applyFont="1" applyBorder="1" applyAlignment="1">
      <alignment horizontal="right"/>
    </xf>
    <xf numFmtId="43" fontId="5" fillId="0" borderId="2" xfId="0" applyNumberFormat="1" applyFont="1" applyBorder="1" applyAlignment="1"/>
    <xf numFmtId="3" fontId="5" fillId="0" borderId="5" xfId="0" applyNumberFormat="1" applyFont="1" applyBorder="1" applyAlignment="1"/>
    <xf numFmtId="164" fontId="5" fillId="0" borderId="2" xfId="0" applyNumberFormat="1" applyFont="1" applyBorder="1" applyAlignment="1"/>
    <xf numFmtId="0" fontId="5" fillId="0" borderId="5" xfId="0" applyFont="1" applyBorder="1" applyAlignment="1"/>
    <xf numFmtId="1" fontId="5" fillId="0" borderId="0" xfId="0" applyNumberFormat="1" applyFont="1" applyAlignment="1"/>
    <xf numFmtId="0" fontId="4" fillId="7" borderId="4" xfId="0" applyFont="1" applyFill="1" applyBorder="1" applyAlignment="1">
      <alignment horizontal="left" vertical="center" indent="1"/>
    </xf>
    <xf numFmtId="0" fontId="5" fillId="7" borderId="2" xfId="0" applyFont="1" applyFill="1" applyBorder="1" applyAlignment="1"/>
    <xf numFmtId="0" fontId="5" fillId="7" borderId="9" xfId="0" applyFont="1" applyFill="1" applyBorder="1" applyAlignment="1"/>
    <xf numFmtId="0" fontId="4" fillId="7" borderId="4" xfId="0" applyFont="1" applyFill="1" applyBorder="1" applyAlignment="1">
      <alignment vertical="center"/>
    </xf>
    <xf numFmtId="0" fontId="5" fillId="7" borderId="0" xfId="0" applyFont="1" applyFill="1" applyAlignment="1"/>
    <xf numFmtId="3" fontId="5" fillId="0" borderId="2" xfId="0" applyNumberFormat="1" applyFont="1" applyBorder="1" applyAlignment="1"/>
    <xf numFmtId="1" fontId="5" fillId="0" borderId="5" xfId="0" applyNumberFormat="1" applyFont="1" applyBorder="1" applyAlignment="1"/>
    <xf numFmtId="169" fontId="5" fillId="0" borderId="2" xfId="0" applyNumberFormat="1" applyFont="1" applyBorder="1" applyAlignment="1"/>
    <xf numFmtId="0" fontId="6" fillId="0" borderId="2" xfId="0" applyFont="1" applyBorder="1" applyAlignment="1"/>
    <xf numFmtId="0" fontId="11" fillId="0" borderId="2" xfId="0" applyFont="1" applyFill="1" applyBorder="1" applyAlignment="1">
      <alignment horizontal="center" vertical="center" wrapText="1"/>
    </xf>
    <xf numFmtId="169" fontId="4" fillId="0" borderId="2" xfId="0" applyNumberFormat="1" applyFont="1" applyBorder="1" applyAlignment="1"/>
    <xf numFmtId="16" fontId="5" fillId="0" borderId="4" xfId="0" applyNumberFormat="1" applyFont="1" applyBorder="1" applyAlignment="1"/>
    <xf numFmtId="16" fontId="5" fillId="0" borderId="0" xfId="0" applyNumberFormat="1" applyFont="1" applyAlignment="1"/>
    <xf numFmtId="16" fontId="5" fillId="0" borderId="9" xfId="0" applyNumberFormat="1" applyFont="1" applyBorder="1" applyAlignment="1"/>
    <xf numFmtId="16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9" xfId="0" applyFont="1" applyFill="1" applyBorder="1" applyAlignment="1"/>
    <xf numFmtId="0" fontId="13" fillId="0" borderId="2" xfId="0" applyFont="1" applyBorder="1" applyAlignment="1"/>
    <xf numFmtId="16" fontId="5" fillId="0" borderId="17" xfId="0" applyNumberFormat="1" applyFont="1" applyBorder="1" applyAlignment="1"/>
    <xf numFmtId="0" fontId="5" fillId="0" borderId="11" xfId="0" applyFont="1" applyBorder="1" applyAlignment="1"/>
    <xf numFmtId="0" fontId="6" fillId="0" borderId="2" xfId="0" applyFont="1" applyFill="1" applyBorder="1" applyAlignment="1"/>
    <xf numFmtId="0" fontId="5" fillId="0" borderId="17" xfId="0" applyFont="1" applyFill="1" applyBorder="1" applyAlignment="1">
      <alignment horizontal="center" wrapText="1"/>
    </xf>
    <xf numFmtId="0" fontId="5" fillId="0" borderId="13" xfId="0" applyFont="1" applyFill="1" applyBorder="1" applyAlignment="1"/>
    <xf numFmtId="3" fontId="5" fillId="0" borderId="13" xfId="0" applyNumberFormat="1" applyFont="1" applyFill="1" applyBorder="1" applyAlignment="1"/>
    <xf numFmtId="0" fontId="4" fillId="0" borderId="17" xfId="0" applyFont="1" applyFill="1" applyBorder="1" applyAlignment="1"/>
    <xf numFmtId="3" fontId="4" fillId="0" borderId="17" xfId="0" applyNumberFormat="1" applyFont="1" applyFill="1" applyBorder="1" applyAlignment="1"/>
    <xf numFmtId="171" fontId="5" fillId="0" borderId="17" xfId="0" applyNumberFormat="1" applyFont="1" applyFill="1" applyBorder="1" applyAlignment="1"/>
    <xf numFmtId="171" fontId="5" fillId="0" borderId="2" xfId="0" applyNumberFormat="1" applyFont="1" applyBorder="1" applyAlignment="1"/>
    <xf numFmtId="0" fontId="9" fillId="0" borderId="0" xfId="0" applyFont="1" applyAlignment="1"/>
    <xf numFmtId="0" fontId="5" fillId="0" borderId="16" xfId="0" applyFont="1" applyFill="1" applyBorder="1" applyAlignment="1"/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wrapText="1"/>
    </xf>
    <xf numFmtId="169" fontId="5" fillId="0" borderId="17" xfId="0" applyNumberFormat="1" applyFont="1" applyFill="1" applyBorder="1" applyAlignment="1"/>
    <xf numFmtId="0" fontId="6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wrapText="1"/>
    </xf>
    <xf numFmtId="1" fontId="6" fillId="0" borderId="0" xfId="0" applyNumberFormat="1" applyFont="1" applyAlignment="1"/>
    <xf numFmtId="1" fontId="5" fillId="0" borderId="4" xfId="0" applyNumberFormat="1" applyFont="1" applyBorder="1" applyAlignment="1"/>
    <xf numFmtId="4" fontId="5" fillId="0" borderId="0" xfId="0" applyNumberFormat="1" applyFont="1" applyAlignment="1"/>
    <xf numFmtId="3" fontId="5" fillId="0" borderId="13" xfId="0" applyNumberFormat="1" applyFont="1" applyBorder="1" applyAlignment="1"/>
    <xf numFmtId="0" fontId="15" fillId="0" borderId="0" xfId="0" applyFont="1" applyAlignment="1">
      <alignment horizontal="center"/>
    </xf>
    <xf numFmtId="0" fontId="14" fillId="0" borderId="0" xfId="0" applyFont="1" applyAlignment="1"/>
    <xf numFmtId="0" fontId="5" fillId="9" borderId="0" xfId="0" applyFont="1" applyFill="1" applyAlignment="1"/>
    <xf numFmtId="0" fontId="7" fillId="9" borderId="0" xfId="0" applyFont="1" applyFill="1" applyAlignment="1"/>
    <xf numFmtId="0" fontId="5" fillId="9" borderId="2" xfId="0" applyFont="1" applyFill="1" applyBorder="1" applyAlignment="1"/>
    <xf numFmtId="0" fontId="5" fillId="0" borderId="0" xfId="0" applyFont="1" applyAlignment="1">
      <alignment horizontal="right"/>
    </xf>
    <xf numFmtId="0" fontId="7" fillId="0" borderId="0" xfId="0" applyFont="1" applyFill="1" applyAlignment="1"/>
    <xf numFmtId="0" fontId="14" fillId="0" borderId="2" xfId="0" applyFont="1" applyBorder="1" applyAlignment="1"/>
    <xf numFmtId="0" fontId="15" fillId="0" borderId="12" xfId="0" applyFont="1" applyBorder="1" applyAlignment="1"/>
    <xf numFmtId="3" fontId="5" fillId="0" borderId="0" xfId="0" quotePrefix="1" applyNumberFormat="1" applyFont="1" applyAlignment="1"/>
    <xf numFmtId="3" fontId="5" fillId="0" borderId="17" xfId="0" applyNumberFormat="1" applyFont="1" applyBorder="1" applyAlignment="1"/>
    <xf numFmtId="3" fontId="5" fillId="0" borderId="17" xfId="0" applyNumberFormat="1" applyFont="1" applyBorder="1" applyAlignment="1">
      <alignment horizontal="center"/>
    </xf>
    <xf numFmtId="3" fontId="6" fillId="0" borderId="0" xfId="0" quotePrefix="1" applyNumberFormat="1" applyFont="1" applyAlignment="1"/>
    <xf numFmtId="3" fontId="5" fillId="0" borderId="23" xfId="0" applyNumberFormat="1" applyFont="1" applyBorder="1" applyAlignment="1"/>
    <xf numFmtId="3" fontId="4" fillId="0" borderId="0" xfId="0" applyNumberFormat="1" applyFont="1" applyAlignment="1"/>
    <xf numFmtId="3" fontId="4" fillId="0" borderId="17" xfId="0" applyNumberFormat="1" applyFont="1" applyBorder="1" applyAlignment="1"/>
    <xf numFmtId="3" fontId="4" fillId="0" borderId="12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/>
    <xf numFmtId="3" fontId="5" fillId="0" borderId="12" xfId="0" applyNumberFormat="1" applyFont="1" applyBorder="1" applyAlignment="1"/>
    <xf numFmtId="4" fontId="5" fillId="0" borderId="1" xfId="0" applyNumberFormat="1" applyFont="1" applyBorder="1" applyAlignment="1"/>
    <xf numFmtId="3" fontId="5" fillId="0" borderId="1" xfId="0" quotePrefix="1" applyNumberFormat="1" applyFont="1" applyBorder="1" applyAlignment="1"/>
    <xf numFmtId="3" fontId="6" fillId="0" borderId="2" xfId="0" applyNumberFormat="1" applyFont="1" applyBorder="1" applyAlignment="1"/>
    <xf numFmtId="3" fontId="13" fillId="0" borderId="0" xfId="0" applyNumberFormat="1" applyFont="1" applyAlignment="1"/>
    <xf numFmtId="3" fontId="5" fillId="0" borderId="8" xfId="0" applyNumberFormat="1" applyFont="1" applyBorder="1" applyAlignment="1"/>
    <xf numFmtId="3" fontId="5" fillId="0" borderId="7" xfId="0" applyNumberFormat="1" applyFont="1" applyBorder="1" applyAlignment="1"/>
    <xf numFmtId="3" fontId="5" fillId="0" borderId="16" xfId="0" applyNumberFormat="1" applyFont="1" applyBorder="1" applyAlignment="1"/>
    <xf numFmtId="3" fontId="5" fillId="0" borderId="11" xfId="0" applyNumberFormat="1" applyFont="1" applyBorder="1" applyAlignment="1"/>
    <xf numFmtId="3" fontId="5" fillId="0" borderId="10" xfId="0" applyNumberFormat="1" applyFont="1" applyBorder="1" applyAlignment="1"/>
    <xf numFmtId="3" fontId="5" fillId="0" borderId="2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/>
    <xf numFmtId="3" fontId="4" fillId="0" borderId="1" xfId="0" applyNumberFormat="1" applyFont="1" applyBorder="1" applyAlignment="1"/>
    <xf numFmtId="3" fontId="4" fillId="0" borderId="1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top"/>
    </xf>
    <xf numFmtId="4" fontId="5" fillId="0" borderId="2" xfId="0" applyNumberFormat="1" applyFont="1" applyBorder="1" applyAlignment="1"/>
    <xf numFmtId="3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/>
    <xf numFmtId="3" fontId="5" fillId="0" borderId="1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/>
    <xf numFmtId="3" fontId="4" fillId="0" borderId="23" xfId="0" applyNumberFormat="1" applyFont="1" applyBorder="1" applyAlignment="1"/>
    <xf numFmtId="3" fontId="5" fillId="0" borderId="0" xfId="0" applyNumberFormat="1" applyFont="1" applyFill="1" applyAlignment="1"/>
    <xf numFmtId="3" fontId="7" fillId="0" borderId="2" xfId="0" applyNumberFormat="1" applyFont="1" applyFill="1" applyBorder="1" applyAlignment="1"/>
    <xf numFmtId="4" fontId="5" fillId="0" borderId="10" xfId="0" applyNumberFormat="1" applyFont="1" applyFill="1" applyBorder="1" applyAlignment="1"/>
    <xf numFmtId="4" fontId="5" fillId="0" borderId="17" xfId="0" applyNumberFormat="1" applyFont="1" applyBorder="1" applyAlignment="1"/>
    <xf numFmtId="3" fontId="5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/>
    <xf numFmtId="4" fontId="5" fillId="0" borderId="7" xfId="0" applyNumberFormat="1" applyFont="1" applyBorder="1" applyAlignment="1"/>
    <xf numFmtId="3" fontId="4" fillId="0" borderId="5" xfId="0" applyNumberFormat="1" applyFont="1" applyBorder="1" applyAlignment="1">
      <alignment horizontal="center" wrapText="1"/>
    </xf>
    <xf numFmtId="4" fontId="5" fillId="0" borderId="7" xfId="0" applyNumberFormat="1" applyFont="1" applyFill="1" applyBorder="1" applyAlignment="1"/>
    <xf numFmtId="4" fontId="5" fillId="0" borderId="10" xfId="0" applyNumberFormat="1" applyFont="1" applyBorder="1" applyAlignment="1">
      <alignment horizontal="right"/>
    </xf>
    <xf numFmtId="3" fontId="5" fillId="13" borderId="1" xfId="0" applyNumberFormat="1" applyFont="1" applyFill="1" applyBorder="1" applyAlignment="1"/>
    <xf numFmtId="3" fontId="5" fillId="13" borderId="14" xfId="0" applyNumberFormat="1" applyFont="1" applyFill="1" applyBorder="1" applyAlignment="1"/>
    <xf numFmtId="3" fontId="5" fillId="14" borderId="1" xfId="0" applyNumberFormat="1" applyFont="1" applyFill="1" applyBorder="1" applyAlignment="1"/>
    <xf numFmtId="3" fontId="5" fillId="14" borderId="15" xfId="0" applyNumberFormat="1" applyFont="1" applyFill="1" applyBorder="1" applyAlignment="1"/>
    <xf numFmtId="3" fontId="5" fillId="14" borderId="14" xfId="0" applyNumberFormat="1" applyFont="1" applyFill="1" applyBorder="1" applyAlignment="1"/>
    <xf numFmtId="3" fontId="5" fillId="15" borderId="15" xfId="0" applyNumberFormat="1" applyFont="1" applyFill="1" applyBorder="1" applyAlignment="1"/>
    <xf numFmtId="3" fontId="5" fillId="15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3" fontId="4" fillId="0" borderId="9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/>
    <xf numFmtId="3" fontId="5" fillId="0" borderId="8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4" fillId="0" borderId="12" xfId="0" applyNumberFormat="1" applyFont="1" applyBorder="1" applyAlignment="1"/>
    <xf numFmtId="3" fontId="4" fillId="0" borderId="2" xfId="0" applyNumberFormat="1" applyFont="1" applyBorder="1" applyAlignment="1">
      <alignment horizontal="center" wrapText="1"/>
    </xf>
    <xf numFmtId="3" fontId="4" fillId="0" borderId="23" xfId="0" quotePrefix="1" applyNumberFormat="1" applyFont="1" applyBorder="1" applyAlignment="1"/>
    <xf numFmtId="3" fontId="5" fillId="0" borderId="2" xfId="0" quotePrefix="1" applyNumberFormat="1" applyFont="1" applyBorder="1" applyAlignment="1"/>
    <xf numFmtId="3" fontId="4" fillId="0" borderId="17" xfId="0" quotePrefix="1" applyNumberFormat="1" applyFont="1" applyBorder="1" applyAlignment="1"/>
    <xf numFmtId="3" fontId="4" fillId="0" borderId="20" xfId="0" quotePrefix="1" applyNumberFormat="1" applyFont="1" applyBorder="1" applyAlignment="1"/>
    <xf numFmtId="0" fontId="4" fillId="0" borderId="4" xfId="0" applyFont="1" applyFill="1" applyBorder="1" applyAlignment="1"/>
    <xf numFmtId="169" fontId="5" fillId="0" borderId="9" xfId="0" applyNumberFormat="1" applyFont="1" applyBorder="1" applyAlignment="1"/>
    <xf numFmtId="0" fontId="15" fillId="0" borderId="4" xfId="0" applyFont="1" applyBorder="1" applyAlignment="1"/>
    <xf numFmtId="0" fontId="15" fillId="12" borderId="4" xfId="0" applyFont="1" applyFill="1" applyBorder="1" applyAlignment="1">
      <alignment horizontal="left"/>
    </xf>
    <xf numFmtId="0" fontId="15" fillId="12" borderId="10" xfId="0" applyFont="1" applyFill="1" applyBorder="1" applyAlignment="1">
      <alignment horizontal="left"/>
    </xf>
    <xf numFmtId="10" fontId="5" fillId="0" borderId="0" xfId="0" applyNumberFormat="1" applyFont="1" applyAlignment="1"/>
    <xf numFmtId="0" fontId="13" fillId="0" borderId="0" xfId="0" applyFont="1" applyAlignment="1"/>
    <xf numFmtId="3" fontId="4" fillId="0" borderId="1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/>
    </xf>
    <xf numFmtId="165" fontId="5" fillId="0" borderId="0" xfId="0" applyNumberFormat="1" applyFont="1" applyAlignment="1"/>
    <xf numFmtId="0" fontId="4" fillId="0" borderId="1" xfId="0" applyFont="1" applyBorder="1" applyAlignment="1"/>
    <xf numFmtId="165" fontId="5" fillId="0" borderId="1" xfId="0" applyNumberFormat="1" applyFont="1" applyBorder="1" applyAlignment="1"/>
    <xf numFmtId="0" fontId="4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left" indent="3"/>
    </xf>
    <xf numFmtId="0" fontId="8" fillId="17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/>
    <xf numFmtId="4" fontId="5" fillId="0" borderId="12" xfId="0" applyNumberFormat="1" applyFont="1" applyFill="1" applyBorder="1" applyAlignment="1"/>
    <xf numFmtId="3" fontId="16" fillId="0" borderId="2" xfId="0" applyNumberFormat="1" applyFont="1" applyBorder="1" applyAlignment="1"/>
    <xf numFmtId="3" fontId="13" fillId="0" borderId="2" xfId="0" applyNumberFormat="1" applyFont="1" applyBorder="1" applyAlignment="1">
      <alignment wrapText="1"/>
    </xf>
    <xf numFmtId="4" fontId="5" fillId="0" borderId="7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/>
    <xf numFmtId="3" fontId="5" fillId="0" borderId="2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left"/>
    </xf>
    <xf numFmtId="3" fontId="15" fillId="0" borderId="0" xfId="0" applyNumberFormat="1" applyFont="1" applyAlignment="1"/>
    <xf numFmtId="10" fontId="5" fillId="0" borderId="2" xfId="0" applyNumberFormat="1" applyFont="1" applyBorder="1" applyAlignment="1"/>
    <xf numFmtId="165" fontId="5" fillId="0" borderId="2" xfId="0" applyNumberFormat="1" applyFont="1" applyBorder="1" applyAlignment="1">
      <alignment horizontal="left" indent="2"/>
    </xf>
    <xf numFmtId="2" fontId="5" fillId="0" borderId="0" xfId="0" applyNumberFormat="1" applyFont="1" applyAlignment="1"/>
    <xf numFmtId="0" fontId="5" fillId="0" borderId="0" xfId="0" applyNumberFormat="1" applyFont="1" applyAlignment="1"/>
    <xf numFmtId="3" fontId="6" fillId="0" borderId="17" xfId="0" applyNumberFormat="1" applyFont="1" applyBorder="1" applyAlignment="1"/>
    <xf numFmtId="1" fontId="5" fillId="0" borderId="17" xfId="0" applyNumberFormat="1" applyFont="1" applyBorder="1" applyAlignment="1"/>
    <xf numFmtId="0" fontId="4" fillId="0" borderId="16" xfId="0" applyFont="1" applyFill="1" applyBorder="1" applyAlignment="1">
      <alignment wrapText="1"/>
    </xf>
    <xf numFmtId="0" fontId="5" fillId="12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1" fontId="5" fillId="0" borderId="2" xfId="0" applyNumberFormat="1" applyFont="1" applyBorder="1" applyAlignment="1"/>
    <xf numFmtId="169" fontId="5" fillId="0" borderId="0" xfId="0" applyNumberFormat="1" applyFont="1" applyAlignment="1"/>
    <xf numFmtId="173" fontId="5" fillId="0" borderId="0" xfId="0" applyNumberFormat="1" applyFont="1" applyAlignment="1"/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/>
    <xf numFmtId="2" fontId="4" fillId="0" borderId="0" xfId="0" applyNumberFormat="1" applyFont="1" applyAlignment="1"/>
    <xf numFmtId="2" fontId="5" fillId="0" borderId="16" xfId="0" applyNumberFormat="1" applyFont="1" applyFill="1" applyBorder="1" applyAlignment="1"/>
    <xf numFmtId="0" fontId="6" fillId="0" borderId="17" xfId="0" applyFont="1" applyFill="1" applyBorder="1" applyAlignment="1">
      <alignment wrapText="1"/>
    </xf>
    <xf numFmtId="2" fontId="5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43" fontId="4" fillId="0" borderId="2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left"/>
    </xf>
    <xf numFmtId="10" fontId="5" fillId="0" borderId="11" xfId="0" applyNumberFormat="1" applyFont="1" applyBorder="1" applyAlignment="1"/>
    <xf numFmtId="43" fontId="4" fillId="0" borderId="2" xfId="0" applyNumberFormat="1" applyFont="1" applyBorder="1" applyAlignment="1"/>
    <xf numFmtId="43" fontId="4" fillId="0" borderId="0" xfId="0" applyNumberFormat="1" applyFont="1" applyAlignment="1"/>
    <xf numFmtId="165" fontId="4" fillId="0" borderId="16" xfId="0" applyNumberFormat="1" applyFont="1" applyBorder="1" applyAlignment="1">
      <alignment horizontal="right"/>
    </xf>
    <xf numFmtId="165" fontId="5" fillId="0" borderId="2" xfId="0" applyNumberFormat="1" applyFont="1" applyBorder="1" applyAlignment="1"/>
    <xf numFmtId="174" fontId="5" fillId="0" borderId="0" xfId="0" applyNumberFormat="1" applyFont="1" applyAlignment="1">
      <alignment horizontal="right"/>
    </xf>
    <xf numFmtId="165" fontId="13" fillId="0" borderId="0" xfId="0" applyNumberFormat="1" applyFont="1" applyAlignment="1"/>
    <xf numFmtId="10" fontId="13" fillId="0" borderId="0" xfId="0" applyNumberFormat="1" applyFont="1" applyAlignment="1"/>
    <xf numFmtId="168" fontId="5" fillId="0" borderId="2" xfId="0" applyNumberFormat="1" applyFont="1" applyBorder="1" applyAlignment="1"/>
    <xf numFmtId="0" fontId="14" fillId="0" borderId="0" xfId="0" applyFont="1" applyFill="1" applyAlignment="1"/>
    <xf numFmtId="0" fontId="14" fillId="9" borderId="0" xfId="0" applyFont="1" applyFill="1" applyAlignment="1"/>
    <xf numFmtId="0" fontId="7" fillId="9" borderId="2" xfId="0" applyFont="1" applyFill="1" applyBorder="1" applyAlignment="1">
      <alignment vertical="center"/>
    </xf>
    <xf numFmtId="43" fontId="19" fillId="0" borderId="1" xfId="0" applyNumberFormat="1" applyFont="1" applyFill="1" applyBorder="1" applyAlignment="1"/>
    <xf numFmtId="43" fontId="19" fillId="0" borderId="15" xfId="0" applyNumberFormat="1" applyFont="1" applyFill="1" applyBorder="1" applyAlignment="1"/>
    <xf numFmtId="165" fontId="19" fillId="0" borderId="2" xfId="0" applyNumberFormat="1" applyFont="1" applyFill="1" applyBorder="1" applyAlignment="1">
      <alignment horizontal="right"/>
    </xf>
    <xf numFmtId="1" fontId="14" fillId="0" borderId="1" xfId="0" applyNumberFormat="1" applyFont="1" applyBorder="1" applyAlignment="1"/>
    <xf numFmtId="165" fontId="19" fillId="0" borderId="13" xfId="0" applyNumberFormat="1" applyFont="1" applyFill="1" applyBorder="1" applyAlignment="1">
      <alignment horizontal="right"/>
    </xf>
    <xf numFmtId="43" fontId="19" fillId="0" borderId="1" xfId="0" applyNumberFormat="1" applyFont="1" applyBorder="1" applyAlignment="1"/>
    <xf numFmtId="165" fontId="19" fillId="0" borderId="13" xfId="0" applyNumberFormat="1" applyFont="1" applyBorder="1" applyAlignment="1">
      <alignment horizontal="right"/>
    </xf>
    <xf numFmtId="165" fontId="19" fillId="0" borderId="16" xfId="0" applyNumberFormat="1" applyFont="1" applyBorder="1" applyAlignment="1">
      <alignment horizontal="right"/>
    </xf>
    <xf numFmtId="43" fontId="19" fillId="0" borderId="2" xfId="0" applyNumberFormat="1" applyFont="1" applyBorder="1" applyAlignment="1"/>
    <xf numFmtId="165" fontId="19" fillId="0" borderId="2" xfId="0" applyNumberFormat="1" applyFont="1" applyBorder="1" applyAlignment="1">
      <alignment horizontal="right"/>
    </xf>
    <xf numFmtId="1" fontId="14" fillId="0" borderId="2" xfId="0" applyNumberFormat="1" applyFont="1" applyBorder="1" applyAlignment="1"/>
    <xf numFmtId="43" fontId="19" fillId="0" borderId="0" xfId="0" applyNumberFormat="1" applyFont="1" applyAlignment="1"/>
    <xf numFmtId="43" fontId="19" fillId="0" borderId="0" xfId="0" applyNumberFormat="1" applyFont="1" applyAlignment="1">
      <alignment horizontal="right"/>
    </xf>
    <xf numFmtId="0" fontId="14" fillId="9" borderId="2" xfId="0" applyFont="1" applyFill="1" applyBorder="1" applyAlignment="1"/>
    <xf numFmtId="43" fontId="19" fillId="2" borderId="0" xfId="0" applyNumberFormat="1" applyFont="1" applyFill="1" applyAlignment="1"/>
    <xf numFmtId="43" fontId="19" fillId="2" borderId="0" xfId="0" applyNumberFormat="1" applyFont="1" applyFill="1" applyAlignment="1">
      <alignment horizontal="right"/>
    </xf>
    <xf numFmtId="2" fontId="14" fillId="0" borderId="0" xfId="0" applyNumberFormat="1" applyFont="1" applyAlignment="1"/>
    <xf numFmtId="0" fontId="14" fillId="0" borderId="10" xfId="0" applyFont="1" applyBorder="1" applyAlignment="1"/>
    <xf numFmtId="165" fontId="14" fillId="0" borderId="15" xfId="0" applyNumberFormat="1" applyFont="1" applyBorder="1" applyAlignment="1">
      <alignment horizontal="right"/>
    </xf>
    <xf numFmtId="0" fontId="14" fillId="0" borderId="12" xfId="0" applyFont="1" applyBorder="1" applyAlignment="1"/>
    <xf numFmtId="165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/>
    <xf numFmtId="2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/>
    <xf numFmtId="43" fontId="15" fillId="0" borderId="0" xfId="0" applyNumberFormat="1" applyFont="1" applyAlignment="1"/>
    <xf numFmtId="1" fontId="14" fillId="0" borderId="0" xfId="0" applyNumberFormat="1" applyFont="1" applyAlignment="1"/>
    <xf numFmtId="43" fontId="15" fillId="0" borderId="2" xfId="0" applyNumberFormat="1" applyFont="1" applyBorder="1" applyAlignment="1"/>
    <xf numFmtId="43" fontId="15" fillId="0" borderId="0" xfId="0" applyNumberFormat="1" applyFont="1" applyAlignment="1">
      <alignment horizontal="right"/>
    </xf>
    <xf numFmtId="2" fontId="15" fillId="0" borderId="0" xfId="0" applyNumberFormat="1" applyFont="1" applyAlignment="1"/>
    <xf numFmtId="43" fontId="15" fillId="0" borderId="2" xfId="0" applyNumberFormat="1" applyFont="1" applyBorder="1" applyAlignment="1">
      <alignment horizontal="right"/>
    </xf>
    <xf numFmtId="0" fontId="9" fillId="0" borderId="2" xfId="0" applyFont="1" applyBorder="1" applyAlignment="1"/>
    <xf numFmtId="43" fontId="18" fillId="0" borderId="2" xfId="0" applyNumberFormat="1" applyFont="1" applyFill="1" applyBorder="1" applyAlignment="1"/>
    <xf numFmtId="0" fontId="14" fillId="0" borderId="7" xfId="0" applyFont="1" applyBorder="1" applyAlignment="1"/>
    <xf numFmtId="165" fontId="14" fillId="0" borderId="14" xfId="0" applyNumberFormat="1" applyFont="1" applyBorder="1" applyAlignment="1">
      <alignment horizontal="right"/>
    </xf>
    <xf numFmtId="175" fontId="14" fillId="0" borderId="1" xfId="0" applyNumberFormat="1" applyFont="1" applyBorder="1" applyAlignment="1"/>
    <xf numFmtId="43" fontId="14" fillId="0" borderId="14" xfId="0" applyNumberFormat="1" applyFont="1" applyBorder="1" applyAlignment="1"/>
    <xf numFmtId="0" fontId="14" fillId="0" borderId="1" xfId="0" applyNumberFormat="1" applyFont="1" applyBorder="1" applyAlignment="1"/>
    <xf numFmtId="0" fontId="14" fillId="0" borderId="14" xfId="0" applyFont="1" applyBorder="1" applyAlignment="1"/>
    <xf numFmtId="0" fontId="14" fillId="0" borderId="1" xfId="0" applyFont="1" applyBorder="1" applyAlignment="1">
      <alignment horizontal="right"/>
    </xf>
    <xf numFmtId="174" fontId="14" fillId="0" borderId="14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2" xfId="0" applyNumberFormat="1" applyFont="1" applyBorder="1" applyAlignment="1"/>
    <xf numFmtId="0" fontId="14" fillId="0" borderId="2" xfId="0" applyFont="1" applyFill="1" applyBorder="1" applyAlignment="1"/>
    <xf numFmtId="0" fontId="7" fillId="0" borderId="2" xfId="0" applyFont="1" applyFill="1" applyBorder="1" applyAlignment="1">
      <alignment vertical="center"/>
    </xf>
    <xf numFmtId="43" fontId="19" fillId="0" borderId="0" xfId="0" applyNumberFormat="1" applyFont="1" applyFill="1" applyAlignment="1"/>
    <xf numFmtId="43" fontId="19" fillId="0" borderId="0" xfId="0" applyNumberFormat="1" applyFont="1" applyFill="1" applyAlignment="1">
      <alignment horizontal="right"/>
    </xf>
    <xf numFmtId="165" fontId="5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right"/>
    </xf>
    <xf numFmtId="0" fontId="15" fillId="0" borderId="7" xfId="0" applyFont="1" applyBorder="1" applyAlignment="1"/>
    <xf numFmtId="3" fontId="14" fillId="0" borderId="15" xfId="0" applyNumberFormat="1" applyFont="1" applyBorder="1" applyAlignment="1">
      <alignment horizontal="right"/>
    </xf>
    <xf numFmtId="165" fontId="15" fillId="0" borderId="8" xfId="0" applyNumberFormat="1" applyFont="1" applyBorder="1" applyAlignment="1"/>
    <xf numFmtId="165" fontId="15" fillId="0" borderId="6" xfId="0" applyNumberFormat="1" applyFont="1" applyBorder="1" applyAlignment="1"/>
    <xf numFmtId="165" fontId="15" fillId="0" borderId="9" xfId="0" applyNumberFormat="1" applyFont="1" applyBorder="1" applyAlignment="1"/>
    <xf numFmtId="0" fontId="11" fillId="19" borderId="0" xfId="0" applyFont="1" applyFill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7" fillId="19" borderId="0" xfId="0" applyFont="1" applyFill="1" applyAlignment="1">
      <alignment horizontal="center"/>
    </xf>
    <xf numFmtId="0" fontId="7" fillId="7" borderId="0" xfId="0" applyFont="1" applyFill="1" applyAlignment="1"/>
    <xf numFmtId="0" fontId="7" fillId="7" borderId="0" xfId="0" applyFont="1" applyFill="1" applyAlignment="1">
      <alignment vertical="center"/>
    </xf>
    <xf numFmtId="0" fontId="15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15" fillId="0" borderId="2" xfId="0" applyFont="1" applyFill="1" applyBorder="1" applyAlignment="1"/>
    <xf numFmtId="0" fontId="15" fillId="0" borderId="2" xfId="0" applyFont="1" applyBorder="1" applyAlignment="1"/>
    <xf numFmtId="0" fontId="20" fillId="0" borderId="2" xfId="0" applyFont="1" applyBorder="1" applyAlignment="1"/>
    <xf numFmtId="0" fontId="7" fillId="0" borderId="2" xfId="0" applyFont="1" applyBorder="1" applyAlignment="1"/>
    <xf numFmtId="1" fontId="5" fillId="0" borderId="6" xfId="0" applyNumberFormat="1" applyFont="1" applyBorder="1" applyAlignment="1"/>
    <xf numFmtId="0" fontId="21" fillId="0" borderId="0" xfId="0" applyFont="1" applyAlignment="1"/>
    <xf numFmtId="17" fontId="20" fillId="0" borderId="0" xfId="0" applyNumberFormat="1" applyFont="1" applyAlignment="1"/>
    <xf numFmtId="0" fontId="21" fillId="0" borderId="17" xfId="0" applyFont="1" applyBorder="1" applyAlignment="1"/>
    <xf numFmtId="0" fontId="21" fillId="0" borderId="2" xfId="0" applyFont="1" applyBorder="1" applyAlignment="1"/>
    <xf numFmtId="0" fontId="0" fillId="0" borderId="0" xfId="0" applyFont="1" applyAlignment="1"/>
    <xf numFmtId="0" fontId="5" fillId="20" borderId="0" xfId="0" applyFont="1" applyFill="1" applyAlignment="1"/>
    <xf numFmtId="0" fontId="23" fillId="20" borderId="0" xfId="0" applyFont="1" applyFill="1" applyAlignment="1"/>
    <xf numFmtId="0" fontId="24" fillId="0" borderId="0" xfId="0" applyFont="1" applyAlignment="1"/>
    <xf numFmtId="0" fontId="25" fillId="20" borderId="0" xfId="0" applyFont="1" applyFill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26" fillId="0" borderId="0" xfId="0" applyFont="1" applyAlignment="1"/>
    <xf numFmtId="0" fontId="9" fillId="0" borderId="0" xfId="0" applyFont="1" applyAlignment="1">
      <alignment horizontal="left"/>
    </xf>
    <xf numFmtId="0" fontId="17" fillId="4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4" fillId="0" borderId="6" xfId="0" applyFont="1" applyBorder="1" applyAlignment="1"/>
    <xf numFmtId="0" fontId="14" fillId="0" borderId="15" xfId="0" applyFont="1" applyBorder="1" applyAlignment="1"/>
    <xf numFmtId="0" fontId="14" fillId="0" borderId="1" xfId="0" applyFont="1" applyBorder="1" applyAlignment="1">
      <alignment wrapText="1"/>
    </xf>
    <xf numFmtId="0" fontId="27" fillId="0" borderId="2" xfId="0" applyFont="1" applyBorder="1" applyAlignment="1"/>
    <xf numFmtId="0" fontId="14" fillId="0" borderId="2" xfId="0" applyFont="1" applyBorder="1" applyAlignment="1">
      <alignment horizontal="center" vertical="center"/>
    </xf>
    <xf numFmtId="10" fontId="14" fillId="0" borderId="1" xfId="0" applyNumberFormat="1" applyFont="1" applyBorder="1" applyAlignment="1"/>
    <xf numFmtId="0" fontId="14" fillId="0" borderId="13" xfId="0" applyFont="1" applyBorder="1" applyAlignment="1"/>
    <xf numFmtId="3" fontId="14" fillId="0" borderId="14" xfId="0" applyNumberFormat="1" applyFont="1" applyBorder="1" applyAlignment="1"/>
    <xf numFmtId="0" fontId="14" fillId="0" borderId="16" xfId="0" applyFont="1" applyBorder="1" applyAlignment="1"/>
    <xf numFmtId="3" fontId="14" fillId="0" borderId="2" xfId="0" applyNumberFormat="1" applyFont="1" applyBorder="1" applyAlignment="1"/>
    <xf numFmtId="165" fontId="14" fillId="0" borderId="8" xfId="0" applyNumberFormat="1" applyFont="1" applyBorder="1" applyAlignment="1">
      <alignment horizontal="right"/>
    </xf>
    <xf numFmtId="0" fontId="14" fillId="0" borderId="17" xfId="0" applyFont="1" applyBorder="1" applyAlignment="1"/>
    <xf numFmtId="3" fontId="14" fillId="0" borderId="15" xfId="0" applyNumberFormat="1" applyFont="1" applyBorder="1" applyAlignment="1"/>
    <xf numFmtId="0" fontId="17" fillId="4" borderId="25" xfId="0" applyFont="1" applyFill="1" applyBorder="1" applyAlignment="1">
      <alignment horizontal="center" vertical="center"/>
    </xf>
    <xf numFmtId="0" fontId="28" fillId="0" borderId="2" xfId="0" applyFont="1" applyBorder="1" applyAlignment="1"/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/>
    <xf numFmtId="0" fontId="14" fillId="0" borderId="8" xfId="0" applyFont="1" applyBorder="1" applyAlignment="1"/>
    <xf numFmtId="165" fontId="14" fillId="0" borderId="6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7" fillId="9" borderId="2" xfId="0" applyFont="1" applyFill="1" applyBorder="1" applyAlignment="1"/>
    <xf numFmtId="0" fontId="14" fillId="9" borderId="14" xfId="0" applyFont="1" applyFill="1" applyBorder="1" applyAlignment="1"/>
    <xf numFmtId="165" fontId="14" fillId="9" borderId="9" xfId="0" applyNumberFormat="1" applyFont="1" applyFill="1" applyBorder="1" applyAlignment="1">
      <alignment horizontal="right"/>
    </xf>
    <xf numFmtId="0" fontId="14" fillId="0" borderId="5" xfId="0" applyFont="1" applyBorder="1" applyAlignment="1">
      <alignment wrapText="1"/>
    </xf>
    <xf numFmtId="3" fontId="14" fillId="0" borderId="5" xfId="0" applyNumberFormat="1" applyFont="1" applyBorder="1" applyAlignment="1"/>
    <xf numFmtId="0" fontId="14" fillId="9" borderId="5" xfId="0" applyFont="1" applyFill="1" applyBorder="1" applyAlignment="1">
      <alignment horizontal="left" wrapText="1"/>
    </xf>
    <xf numFmtId="0" fontId="14" fillId="0" borderId="14" xfId="0" applyFont="1" applyFill="1" applyBorder="1" applyAlignment="1"/>
    <xf numFmtId="0" fontId="14" fillId="9" borderId="5" xfId="0" applyFont="1" applyFill="1" applyBorder="1" applyAlignment="1"/>
    <xf numFmtId="3" fontId="14" fillId="9" borderId="5" xfId="0" applyNumberFormat="1" applyFont="1" applyFill="1" applyBorder="1" applyAlignment="1"/>
    <xf numFmtId="0" fontId="15" fillId="0" borderId="18" xfId="0" applyFont="1" applyFill="1" applyBorder="1" applyAlignment="1"/>
    <xf numFmtId="3" fontId="15" fillId="0" borderId="22" xfId="0" applyNumberFormat="1" applyFont="1" applyFill="1" applyBorder="1" applyAlignment="1"/>
    <xf numFmtId="0" fontId="15" fillId="7" borderId="4" xfId="0" applyFont="1" applyFill="1" applyBorder="1" applyAlignment="1">
      <alignment horizontal="left" vertical="center" indent="1"/>
    </xf>
    <xf numFmtId="0" fontId="14" fillId="0" borderId="5" xfId="0" applyFont="1" applyBorder="1" applyAlignment="1">
      <alignment horizontal="left" wrapText="1"/>
    </xf>
    <xf numFmtId="1" fontId="14" fillId="0" borderId="9" xfId="0" applyNumberFormat="1" applyFont="1" applyBorder="1" applyAlignment="1"/>
    <xf numFmtId="0" fontId="14" fillId="9" borderId="9" xfId="0" applyFont="1" applyFill="1" applyBorder="1" applyAlignment="1"/>
    <xf numFmtId="0" fontId="14" fillId="0" borderId="5" xfId="0" applyFont="1" applyBorder="1" applyAlignment="1"/>
    <xf numFmtId="0" fontId="14" fillId="0" borderId="9" xfId="0" applyFont="1" applyBorder="1" applyAlignment="1"/>
    <xf numFmtId="0" fontId="14" fillId="9" borderId="5" xfId="0" applyFont="1" applyFill="1" applyBorder="1" applyAlignment="1">
      <alignment wrapText="1"/>
    </xf>
    <xf numFmtId="0" fontId="14" fillId="9" borderId="15" xfId="0" applyFont="1" applyFill="1" applyBorder="1" applyAlignment="1"/>
    <xf numFmtId="3" fontId="14" fillId="9" borderId="15" xfId="0" applyNumberFormat="1" applyFont="1" applyFill="1" applyBorder="1" applyAlignment="1"/>
    <xf numFmtId="0" fontId="14" fillId="9" borderId="14" xfId="0" applyFont="1" applyFill="1" applyBorder="1" applyAlignment="1">
      <alignment wrapText="1"/>
    </xf>
    <xf numFmtId="167" fontId="14" fillId="9" borderId="14" xfId="0" applyNumberFormat="1" applyFont="1" applyFill="1" applyBorder="1" applyAlignment="1"/>
    <xf numFmtId="0" fontId="14" fillId="9" borderId="7" xfId="0" applyFont="1" applyFill="1" applyBorder="1" applyAlignment="1">
      <alignment wrapText="1"/>
    </xf>
    <xf numFmtId="166" fontId="14" fillId="9" borderId="4" xfId="0" applyNumberFormat="1" applyFont="1" applyFill="1" applyBorder="1" applyAlignment="1"/>
    <xf numFmtId="0" fontId="14" fillId="0" borderId="4" xfId="0" applyFont="1" applyBorder="1" applyAlignment="1"/>
    <xf numFmtId="0" fontId="14" fillId="0" borderId="15" xfId="0" applyFont="1" applyBorder="1" applyAlignment="1">
      <alignment wrapText="1"/>
    </xf>
    <xf numFmtId="167" fontId="14" fillId="0" borderId="15" xfId="0" applyNumberFormat="1" applyFont="1" applyBorder="1" applyAlignment="1"/>
    <xf numFmtId="0" fontId="14" fillId="0" borderId="10" xfId="0" applyFont="1" applyBorder="1" applyAlignment="1">
      <alignment wrapText="1"/>
    </xf>
    <xf numFmtId="166" fontId="14" fillId="0" borderId="4" xfId="0" applyNumberFormat="1" applyFont="1" applyBorder="1" applyAlignment="1"/>
    <xf numFmtId="0" fontId="14" fillId="0" borderId="4" xfId="0" applyFont="1" applyFill="1" applyBorder="1" applyAlignment="1"/>
    <xf numFmtId="0" fontId="14" fillId="9" borderId="12" xfId="0" applyFont="1" applyFill="1" applyBorder="1" applyAlignment="1"/>
    <xf numFmtId="167" fontId="14" fillId="9" borderId="1" xfId="0" applyNumberFormat="1" applyFont="1" applyFill="1" applyBorder="1" applyAlignment="1"/>
    <xf numFmtId="167" fontId="14" fillId="9" borderId="12" xfId="0" applyNumberFormat="1" applyFont="1" applyFill="1" applyBorder="1" applyAlignment="1"/>
    <xf numFmtId="0" fontId="15" fillId="9" borderId="18" xfId="0" applyFont="1" applyFill="1" applyBorder="1" applyAlignment="1"/>
    <xf numFmtId="1" fontId="15" fillId="9" borderId="22" xfId="0" applyNumberFormat="1" applyFont="1" applyFill="1" applyBorder="1" applyAlignment="1"/>
    <xf numFmtId="2" fontId="17" fillId="0" borderId="2" xfId="0" applyNumberFormat="1" applyFont="1" applyFill="1" applyBorder="1" applyAlignment="1">
      <alignment vertical="center" wrapText="1"/>
    </xf>
    <xf numFmtId="0" fontId="15" fillId="0" borderId="19" xfId="0" applyFont="1" applyFill="1" applyBorder="1" applyAlignment="1"/>
    <xf numFmtId="4" fontId="15" fillId="0" borderId="21" xfId="0" applyNumberFormat="1" applyFont="1" applyFill="1" applyBorder="1" applyAlignment="1"/>
    <xf numFmtId="0" fontId="17" fillId="0" borderId="4" xfId="0" applyFont="1" applyFill="1" applyBorder="1" applyAlignment="1">
      <alignment vertical="center" wrapText="1"/>
    </xf>
    <xf numFmtId="3" fontId="15" fillId="0" borderId="21" xfId="0" applyNumberFormat="1" applyFont="1" applyBorder="1" applyAlignment="1"/>
    <xf numFmtId="169" fontId="14" fillId="0" borderId="2" xfId="0" applyNumberFormat="1" applyFont="1" applyFill="1" applyBorder="1" applyAlignment="1"/>
    <xf numFmtId="0" fontId="14" fillId="0" borderId="2" xfId="0" applyFont="1" applyFill="1" applyBorder="1" applyAlignment="1">
      <alignment horizontal="right" wrapText="1"/>
    </xf>
    <xf numFmtId="167" fontId="14" fillId="0" borderId="2" xfId="0" applyNumberFormat="1" applyFont="1" applyFill="1" applyBorder="1" applyAlignment="1">
      <alignment horizontal="right" wrapText="1"/>
    </xf>
    <xf numFmtId="0" fontId="14" fillId="0" borderId="9" xfId="0" applyFont="1" applyBorder="1" applyAlignment="1">
      <alignment wrapText="1"/>
    </xf>
    <xf numFmtId="0" fontId="14" fillId="12" borderId="17" xfId="0" applyFont="1" applyFill="1" applyBorder="1" applyAlignment="1">
      <alignment vertical="center" wrapText="1" indent="1"/>
    </xf>
    <xf numFmtId="1" fontId="14" fillId="0" borderId="2" xfId="0" applyNumberFormat="1" applyFont="1" applyFill="1" applyBorder="1" applyAlignment="1"/>
    <xf numFmtId="3" fontId="14" fillId="0" borderId="2" xfId="0" applyNumberFormat="1" applyFont="1" applyFill="1" applyBorder="1" applyAlignment="1"/>
    <xf numFmtId="0" fontId="14" fillId="9" borderId="16" xfId="0" applyFont="1" applyFill="1" applyBorder="1" applyAlignment="1"/>
    <xf numFmtId="3" fontId="14" fillId="9" borderId="6" xfId="0" applyNumberFormat="1" applyFont="1" applyFill="1" applyBorder="1" applyAlignment="1"/>
    <xf numFmtId="3" fontId="14" fillId="0" borderId="9" xfId="0" applyNumberFormat="1" applyFont="1" applyBorder="1" applyAlignment="1"/>
    <xf numFmtId="0" fontId="14" fillId="0" borderId="10" xfId="0" applyFont="1" applyFill="1" applyBorder="1" applyAlignment="1"/>
    <xf numFmtId="3" fontId="14" fillId="0" borderId="11" xfId="0" applyNumberFormat="1" applyFont="1" applyFill="1" applyBorder="1" applyAlignment="1"/>
    <xf numFmtId="3" fontId="14" fillId="0" borderId="0" xfId="0" applyNumberFormat="1" applyFont="1" applyAlignment="1"/>
    <xf numFmtId="0" fontId="15" fillId="9" borderId="19" xfId="0" applyFont="1" applyFill="1" applyBorder="1" applyAlignment="1"/>
    <xf numFmtId="0" fontId="14" fillId="9" borderId="20" xfId="0" applyFont="1" applyFill="1" applyBorder="1" applyAlignment="1"/>
    <xf numFmtId="3" fontId="15" fillId="9" borderId="21" xfId="0" applyNumberFormat="1" applyFont="1" applyFill="1" applyBorder="1" applyAlignment="1"/>
    <xf numFmtId="10" fontId="14" fillId="0" borderId="2" xfId="0" applyNumberFormat="1" applyFont="1" applyBorder="1" applyAlignment="1"/>
    <xf numFmtId="0" fontId="14" fillId="9" borderId="4" xfId="0" applyFont="1" applyFill="1" applyBorder="1" applyAlignment="1"/>
    <xf numFmtId="0" fontId="14" fillId="9" borderId="7" xfId="0" applyFont="1" applyFill="1" applyBorder="1" applyAlignment="1"/>
    <xf numFmtId="3" fontId="14" fillId="9" borderId="14" xfId="0" applyNumberFormat="1" applyFont="1" applyFill="1" applyBorder="1" applyAlignment="1"/>
    <xf numFmtId="0" fontId="14" fillId="0" borderId="4" xfId="0" applyFont="1" applyBorder="1" applyAlignment="1">
      <alignment horizontal="left" wrapText="1"/>
    </xf>
    <xf numFmtId="1" fontId="14" fillId="0" borderId="5" xfId="0" applyNumberFormat="1" applyFont="1" applyBorder="1" applyAlignment="1"/>
    <xf numFmtId="0" fontId="14" fillId="9" borderId="10" xfId="0" applyFont="1" applyFill="1" applyBorder="1" applyAlignment="1">
      <alignment wrapText="1"/>
    </xf>
    <xf numFmtId="0" fontId="14" fillId="9" borderId="10" xfId="0" applyFont="1" applyFill="1" applyBorder="1" applyAlignment="1"/>
    <xf numFmtId="167" fontId="14" fillId="9" borderId="6" xfId="0" applyNumberFormat="1" applyFont="1" applyFill="1" applyBorder="1" applyAlignment="1"/>
    <xf numFmtId="3" fontId="15" fillId="0" borderId="21" xfId="0" applyNumberFormat="1" applyFont="1" applyFill="1" applyBorder="1" applyAlignment="1"/>
    <xf numFmtId="0" fontId="17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right"/>
    </xf>
    <xf numFmtId="0" fontId="14" fillId="12" borderId="2" xfId="0" applyFont="1" applyFill="1" applyBorder="1" applyAlignment="1">
      <alignment vertical="center" wrapText="1" indent="1"/>
    </xf>
    <xf numFmtId="3" fontId="14" fillId="9" borderId="8" xfId="0" applyNumberFormat="1" applyFont="1" applyFill="1" applyBorder="1" applyAlignment="1"/>
    <xf numFmtId="3" fontId="14" fillId="9" borderId="2" xfId="0" applyNumberFormat="1" applyFont="1" applyFill="1" applyBorder="1" applyAlignment="1"/>
    <xf numFmtId="3" fontId="14" fillId="0" borderId="4" xfId="0" applyNumberFormat="1" applyFont="1" applyBorder="1" applyAlignment="1"/>
    <xf numFmtId="1" fontId="14" fillId="9" borderId="9" xfId="0" applyNumberFormat="1" applyFont="1" applyFill="1" applyBorder="1" applyAlignment="1"/>
    <xf numFmtId="1" fontId="14" fillId="9" borderId="2" xfId="0" applyNumberFormat="1" applyFont="1" applyFill="1" applyBorder="1" applyAlignment="1"/>
    <xf numFmtId="0" fontId="14" fillId="0" borderId="5" xfId="0" applyFont="1" applyFill="1" applyBorder="1" applyAlignment="1"/>
    <xf numFmtId="3" fontId="14" fillId="0" borderId="4" xfId="0" applyNumberFormat="1" applyFont="1" applyFill="1" applyBorder="1" applyAlignment="1"/>
    <xf numFmtId="3" fontId="14" fillId="9" borderId="10" xfId="0" applyNumberFormat="1" applyFont="1" applyFill="1" applyBorder="1" applyAlignment="1"/>
    <xf numFmtId="3" fontId="15" fillId="0" borderId="20" xfId="0" applyNumberFormat="1" applyFont="1" applyFill="1" applyBorder="1" applyAlignment="1"/>
    <xf numFmtId="0" fontId="14" fillId="9" borderId="13" xfId="0" applyFont="1" applyFill="1" applyBorder="1" applyAlignment="1"/>
    <xf numFmtId="3" fontId="14" fillId="9" borderId="13" xfId="0" applyNumberFormat="1" applyFont="1" applyFill="1" applyBorder="1" applyAlignment="1"/>
    <xf numFmtId="0" fontId="14" fillId="9" borderId="17" xfId="0" applyFont="1" applyFill="1" applyBorder="1" applyAlignment="1"/>
    <xf numFmtId="3" fontId="14" fillId="9" borderId="17" xfId="0" applyNumberFormat="1" applyFont="1" applyFill="1" applyBorder="1" applyAlignment="1"/>
    <xf numFmtId="0" fontId="14" fillId="0" borderId="20" xfId="0" applyFont="1" applyFill="1" applyBorder="1" applyAlignment="1"/>
    <xf numFmtId="3" fontId="14" fillId="0" borderId="21" xfId="0" applyNumberFormat="1" applyFont="1" applyFill="1" applyBorder="1" applyAlignment="1"/>
    <xf numFmtId="169" fontId="15" fillId="0" borderId="2" xfId="0" applyNumberFormat="1" applyFont="1" applyBorder="1" applyAlignment="1"/>
    <xf numFmtId="0" fontId="15" fillId="0" borderId="4" xfId="0" applyFont="1" applyFill="1" applyBorder="1" applyAlignment="1"/>
    <xf numFmtId="16" fontId="14" fillId="7" borderId="0" xfId="0" applyNumberFormat="1" applyFont="1" applyFill="1" applyAlignment="1"/>
    <xf numFmtId="16" fontId="14" fillId="7" borderId="9" xfId="0" applyNumberFormat="1" applyFont="1" applyFill="1" applyBorder="1" applyAlignment="1"/>
    <xf numFmtId="0" fontId="15" fillId="7" borderId="2" xfId="0" applyFont="1" applyFill="1" applyBorder="1" applyAlignment="1">
      <alignment horizontal="left" vertical="center" indent="1"/>
    </xf>
    <xf numFmtId="0" fontId="14" fillId="7" borderId="0" xfId="0" applyFont="1" applyFill="1" applyAlignment="1"/>
    <xf numFmtId="0" fontId="14" fillId="7" borderId="2" xfId="0" applyFont="1" applyFill="1" applyBorder="1" applyAlignment="1"/>
    <xf numFmtId="0" fontId="14" fillId="7" borderId="2" xfId="0" applyFont="1" applyFill="1" applyBorder="1" applyAlignment="1">
      <alignment wrapText="1"/>
    </xf>
    <xf numFmtId="0" fontId="14" fillId="7" borderId="9" xfId="0" applyFont="1" applyFill="1" applyBorder="1" applyAlignment="1"/>
    <xf numFmtId="3" fontId="14" fillId="0" borderId="9" xfId="0" applyNumberFormat="1" applyFont="1" applyFill="1" applyBorder="1" applyAlignment="1"/>
    <xf numFmtId="16" fontId="14" fillId="0" borderId="0" xfId="0" applyNumberFormat="1" applyFont="1" applyAlignment="1"/>
    <xf numFmtId="0" fontId="14" fillId="0" borderId="9" xfId="0" applyFont="1" applyFill="1" applyBorder="1" applyAlignment="1"/>
    <xf numFmtId="165" fontId="14" fillId="0" borderId="5" xfId="0" applyNumberFormat="1" applyFont="1" applyBorder="1" applyAlignment="1">
      <alignment horizontal="right"/>
    </xf>
    <xf numFmtId="165" fontId="14" fillId="9" borderId="5" xfId="0" applyNumberFormat="1" applyFont="1" applyFill="1" applyBorder="1" applyAlignment="1">
      <alignment horizontal="right"/>
    </xf>
    <xf numFmtId="0" fontId="15" fillId="0" borderId="9" xfId="0" applyFont="1" applyBorder="1" applyAlignment="1"/>
    <xf numFmtId="0" fontId="14" fillId="0" borderId="4" xfId="0" applyFont="1" applyBorder="1" applyAlignment="1">
      <alignment horizontal="left"/>
    </xf>
    <xf numFmtId="0" fontId="14" fillId="9" borderId="4" xfId="0" applyFont="1" applyFill="1" applyBorder="1" applyAlignment="1">
      <alignment wrapText="1"/>
    </xf>
    <xf numFmtId="2" fontId="14" fillId="9" borderId="5" xfId="0" applyNumberFormat="1" applyFont="1" applyFill="1" applyBorder="1" applyAlignment="1"/>
    <xf numFmtId="16" fontId="14" fillId="0" borderId="9" xfId="0" applyNumberFormat="1" applyFont="1" applyBorder="1" applyAlignment="1"/>
    <xf numFmtId="0" fontId="14" fillId="0" borderId="4" xfId="0" applyFont="1" applyBorder="1" applyAlignment="1">
      <alignment wrapText="1"/>
    </xf>
    <xf numFmtId="165" fontId="14" fillId="0" borderId="5" xfId="0" applyNumberFormat="1" applyFont="1" applyFill="1" applyBorder="1" applyAlignment="1">
      <alignment horizontal="right"/>
    </xf>
    <xf numFmtId="0" fontId="14" fillId="9" borderId="15" xfId="0" applyFont="1" applyFill="1" applyBorder="1" applyAlignment="1">
      <alignment horizontal="left" wrapText="1"/>
    </xf>
    <xf numFmtId="165" fontId="14" fillId="9" borderId="11" xfId="0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wrapText="1"/>
    </xf>
    <xf numFmtId="169" fontId="14" fillId="0" borderId="11" xfId="0" applyNumberFormat="1" applyFont="1" applyBorder="1" applyAlignment="1"/>
    <xf numFmtId="0" fontId="14" fillId="0" borderId="17" xfId="0" applyFont="1" applyBorder="1" applyAlignment="1">
      <alignment wrapText="1"/>
    </xf>
    <xf numFmtId="165" fontId="14" fillId="0" borderId="6" xfId="0" applyNumberFormat="1" applyFont="1" applyBorder="1" applyAlignment="1">
      <alignment horizontal="right"/>
    </xf>
    <xf numFmtId="1" fontId="14" fillId="0" borderId="12" xfId="0" applyNumberFormat="1" applyFont="1" applyBorder="1" applyAlignment="1"/>
    <xf numFmtId="2" fontId="14" fillId="0" borderId="8" xfId="0" applyNumberFormat="1" applyFont="1" applyBorder="1" applyAlignment="1"/>
    <xf numFmtId="0" fontId="14" fillId="0" borderId="16" xfId="0" applyFont="1" applyBorder="1" applyAlignment="1">
      <alignment wrapText="1"/>
    </xf>
    <xf numFmtId="0" fontId="15" fillId="0" borderId="24" xfId="0" applyFont="1" applyBorder="1" applyAlignment="1"/>
    <xf numFmtId="0" fontId="14" fillId="0" borderId="22" xfId="0" applyFont="1" applyBorder="1" applyAlignment="1"/>
    <xf numFmtId="1" fontId="15" fillId="0" borderId="22" xfId="0" applyNumberFormat="1" applyFont="1" applyBorder="1" applyAlignment="1"/>
    <xf numFmtId="0" fontId="14" fillId="0" borderId="16" xfId="0" applyFont="1" applyBorder="1" applyAlignment="1">
      <alignment horizontal="left"/>
    </xf>
    <xf numFmtId="165" fontId="14" fillId="0" borderId="12" xfId="0" applyNumberFormat="1" applyFont="1" applyBorder="1" applyAlignment="1">
      <alignment horizontal="right"/>
    </xf>
    <xf numFmtId="165" fontId="14" fillId="0" borderId="4" xfId="0" applyNumberFormat="1" applyFont="1" applyBorder="1" applyAlignment="1">
      <alignment horizontal="right"/>
    </xf>
    <xf numFmtId="0" fontId="14" fillId="0" borderId="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2" fontId="14" fillId="0" borderId="7" xfId="0" applyNumberFormat="1" applyFont="1" applyBorder="1" applyAlignment="1"/>
    <xf numFmtId="0" fontId="15" fillId="0" borderId="22" xfId="0" applyFont="1" applyBorder="1" applyAlignment="1">
      <alignment wrapText="1"/>
    </xf>
    <xf numFmtId="1" fontId="15" fillId="0" borderId="18" xfId="0" applyNumberFormat="1" applyFont="1" applyBorder="1" applyAlignment="1"/>
    <xf numFmtId="0" fontId="31" fillId="0" borderId="2" xfId="0" applyFont="1" applyBorder="1" applyAlignment="1"/>
    <xf numFmtId="0" fontId="14" fillId="0" borderId="1" xfId="0" applyFont="1" applyFill="1" applyBorder="1" applyAlignment="1"/>
    <xf numFmtId="2" fontId="14" fillId="0" borderId="6" xfId="0" applyNumberFormat="1" applyFont="1" applyBorder="1" applyAlignment="1"/>
    <xf numFmtId="172" fontId="14" fillId="0" borderId="9" xfId="0" applyNumberFormat="1" applyFont="1" applyBorder="1" applyAlignment="1"/>
    <xf numFmtId="1" fontId="15" fillId="0" borderId="24" xfId="0" applyNumberFormat="1" applyFont="1" applyBorder="1" applyAlignment="1"/>
    <xf numFmtId="0" fontId="32" fillId="0" borderId="2" xfId="1" applyFont="1" applyBorder="1" applyAlignment="1"/>
    <xf numFmtId="3" fontId="14" fillId="9" borderId="16" xfId="0" applyNumberFormat="1" applyFont="1" applyFill="1" applyBorder="1" applyAlignment="1"/>
    <xf numFmtId="0" fontId="14" fillId="9" borderId="23" xfId="0" applyFont="1" applyFill="1" applyBorder="1" applyAlignment="1"/>
    <xf numFmtId="0" fontId="14" fillId="0" borderId="11" xfId="0" applyFont="1" applyBorder="1" applyAlignment="1"/>
    <xf numFmtId="0" fontId="14" fillId="0" borderId="2" xfId="0" applyFont="1" applyBorder="1" applyAlignment="1">
      <alignment vertical="top"/>
    </xf>
    <xf numFmtId="9" fontId="14" fillId="0" borderId="2" xfId="0" applyNumberFormat="1" applyFont="1" applyBorder="1" applyAlignment="1"/>
    <xf numFmtId="0" fontId="14" fillId="0" borderId="4" xfId="0" applyFont="1" applyBorder="1" applyAlignment="1">
      <alignment vertical="top"/>
    </xf>
    <xf numFmtId="1" fontId="14" fillId="9" borderId="5" xfId="0" applyNumberFormat="1" applyFont="1" applyFill="1" applyBorder="1" applyAlignment="1"/>
    <xf numFmtId="0" fontId="15" fillId="0" borderId="12" xfId="0" applyFont="1" applyFill="1" applyBorder="1" applyAlignment="1"/>
    <xf numFmtId="0" fontId="15" fillId="0" borderId="6" xfId="0" applyFont="1" applyFill="1" applyBorder="1" applyAlignment="1"/>
    <xf numFmtId="3" fontId="14" fillId="0" borderId="5" xfId="0" applyNumberFormat="1" applyFont="1" applyFill="1" applyBorder="1" applyAlignment="1"/>
    <xf numFmtId="3" fontId="14" fillId="9" borderId="4" xfId="0" applyNumberFormat="1" applyFont="1" applyFill="1" applyBorder="1" applyAlignment="1"/>
    <xf numFmtId="3" fontId="15" fillId="0" borderId="22" xfId="0" applyNumberFormat="1" applyFont="1" applyFill="1" applyBorder="1" applyAlignment="1">
      <alignment horizontal="right"/>
    </xf>
    <xf numFmtId="1" fontId="14" fillId="9" borderId="4" xfId="0" applyNumberFormat="1" applyFont="1" applyFill="1" applyBorder="1" applyAlignment="1"/>
    <xf numFmtId="3" fontId="15" fillId="0" borderId="23" xfId="0" applyNumberFormat="1" applyFont="1" applyFill="1" applyBorder="1" applyAlignment="1"/>
    <xf numFmtId="0" fontId="7" fillId="0" borderId="12" xfId="0" applyFont="1" applyBorder="1" applyAlignment="1"/>
    <xf numFmtId="0" fontId="9" fillId="0" borderId="6" xfId="0" applyFont="1" applyBorder="1" applyAlignment="1"/>
    <xf numFmtId="3" fontId="7" fillId="0" borderId="16" xfId="0" applyNumberFormat="1" applyFont="1" applyBorder="1" applyAlignment="1"/>
    <xf numFmtId="0" fontId="7" fillId="0" borderId="16" xfId="0" applyFont="1" applyBorder="1" applyAlignment="1"/>
    <xf numFmtId="170" fontId="7" fillId="0" borderId="16" xfId="0" applyNumberFormat="1" applyFont="1" applyBorder="1" applyAlignment="1"/>
    <xf numFmtId="3" fontId="7" fillId="0" borderId="12" xfId="0" applyNumberFormat="1" applyFont="1" applyBorder="1" applyAlignment="1"/>
    <xf numFmtId="0" fontId="24" fillId="0" borderId="0" xfId="0" applyFont="1" applyFill="1" applyAlignment="1"/>
    <xf numFmtId="0" fontId="30" fillId="20" borderId="0" xfId="0" applyFont="1" applyFill="1" applyAlignment="1"/>
    <xf numFmtId="0" fontId="30" fillId="5" borderId="0" xfId="0" applyFont="1" applyFill="1" applyAlignment="1"/>
    <xf numFmtId="0" fontId="30" fillId="4" borderId="0" xfId="0" applyFont="1" applyFill="1" applyAlignment="1"/>
    <xf numFmtId="0" fontId="33" fillId="0" borderId="0" xfId="0" applyFont="1" applyFill="1" applyAlignment="1">
      <alignment vertical="center"/>
    </xf>
    <xf numFmtId="0" fontId="29" fillId="20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43" fontId="5" fillId="0" borderId="2" xfId="0" applyNumberFormat="1" applyFont="1" applyBorder="1" applyAlignment="1">
      <alignment horizontal="right"/>
    </xf>
    <xf numFmtId="43" fontId="5" fillId="0" borderId="12" xfId="0" applyNumberFormat="1" applyFont="1" applyBorder="1" applyAlignment="1">
      <alignment horizontal="right"/>
    </xf>
    <xf numFmtId="43" fontId="5" fillId="0" borderId="7" xfId="0" applyNumberFormat="1" applyFont="1" applyBorder="1" applyAlignment="1">
      <alignment horizontal="right"/>
    </xf>
    <xf numFmtId="3" fontId="34" fillId="0" borderId="0" xfId="0" applyNumberFormat="1" applyFont="1" applyAlignment="1"/>
    <xf numFmtId="3" fontId="13" fillId="0" borderId="0" xfId="0" quotePrefix="1" applyNumberFormat="1" applyFont="1" applyAlignment="1"/>
    <xf numFmtId="0" fontId="0" fillId="0" borderId="17" xfId="0" applyFont="1" applyBorder="1" applyAlignment="1"/>
    <xf numFmtId="3" fontId="12" fillId="0" borderId="0" xfId="0" applyNumberFormat="1" applyFont="1" applyAlignment="1"/>
    <xf numFmtId="3" fontId="31" fillId="0" borderId="27" xfId="0" applyNumberFormat="1" applyFont="1" applyBorder="1" applyAlignment="1"/>
    <xf numFmtId="0" fontId="3" fillId="0" borderId="27" xfId="0" applyFont="1" applyBorder="1" applyAlignment="1"/>
    <xf numFmtId="0" fontId="0" fillId="0" borderId="27" xfId="0" applyFont="1" applyBorder="1" applyAlignment="1"/>
    <xf numFmtId="0" fontId="4" fillId="0" borderId="1" xfId="0" applyFont="1" applyBorder="1" applyAlignment="1">
      <alignment horizontal="center"/>
    </xf>
    <xf numFmtId="0" fontId="15" fillId="0" borderId="0" xfId="0" applyFont="1" applyFill="1" applyAlignment="1"/>
    <xf numFmtId="0" fontId="14" fillId="0" borderId="2" xfId="0" applyFont="1" applyBorder="1" applyAlignment="1">
      <alignment wrapText="1"/>
    </xf>
    <xf numFmtId="0" fontId="14" fillId="12" borderId="15" xfId="0" applyFont="1" applyFill="1" applyBorder="1" applyAlignment="1"/>
    <xf numFmtId="2" fontId="14" fillId="12" borderId="15" xfId="0" applyNumberFormat="1" applyFont="1" applyFill="1" applyBorder="1" applyAlignment="1"/>
    <xf numFmtId="2" fontId="14" fillId="0" borderId="11" xfId="0" applyNumberFormat="1" applyFont="1" applyBorder="1" applyAlignment="1"/>
    <xf numFmtId="0" fontId="20" fillId="0" borderId="12" xfId="0" applyFont="1" applyBorder="1" applyAlignment="1"/>
    <xf numFmtId="0" fontId="20" fillId="0" borderId="6" xfId="0" applyFont="1" applyBorder="1" applyAlignment="1"/>
    <xf numFmtId="9" fontId="20" fillId="0" borderId="1" xfId="0" applyNumberFormat="1" applyFont="1" applyBorder="1" applyAlignment="1"/>
    <xf numFmtId="0" fontId="15" fillId="0" borderId="22" xfId="0" applyFont="1" applyBorder="1" applyAlignment="1"/>
    <xf numFmtId="1" fontId="15" fillId="0" borderId="23" xfId="0" applyNumberFormat="1" applyFont="1" applyBorder="1" applyAlignment="1"/>
    <xf numFmtId="0" fontId="20" fillId="0" borderId="16" xfId="0" applyFont="1" applyBorder="1" applyAlignment="1"/>
    <xf numFmtId="0" fontId="14" fillId="0" borderId="2" xfId="0" applyFont="1" applyBorder="1" applyAlignment="1">
      <alignment horizontal="center"/>
    </xf>
    <xf numFmtId="3" fontId="14" fillId="0" borderId="7" xfId="0" applyNumberFormat="1" applyFont="1" applyBorder="1" applyAlignment="1"/>
    <xf numFmtId="1" fontId="15" fillId="0" borderId="20" xfId="0" applyNumberFormat="1" applyFont="1" applyBorder="1" applyAlignment="1"/>
    <xf numFmtId="2" fontId="14" fillId="0" borderId="1" xfId="0" applyNumberFormat="1" applyFont="1" applyBorder="1" applyAlignment="1"/>
    <xf numFmtId="169" fontId="14" fillId="0" borderId="10" xfId="0" applyNumberFormat="1" applyFont="1" applyBorder="1" applyAlignment="1"/>
    <xf numFmtId="0" fontId="0" fillId="0" borderId="0" xfId="0" applyFont="1" applyAlignment="1"/>
    <xf numFmtId="169" fontId="27" fillId="0" borderId="0" xfId="0" applyNumberFormat="1" applyFont="1" applyAlignment="1"/>
    <xf numFmtId="2" fontId="14" fillId="12" borderId="1" xfId="0" applyNumberFormat="1" applyFont="1" applyFill="1" applyBorder="1" applyAlignment="1"/>
    <xf numFmtId="177" fontId="5" fillId="0" borderId="0" xfId="0" applyNumberFormat="1" applyFont="1" applyAlignment="1"/>
    <xf numFmtId="165" fontId="14" fillId="0" borderId="0" xfId="0" applyNumberFormat="1" applyFont="1" applyAlignment="1"/>
    <xf numFmtId="0" fontId="14" fillId="0" borderId="0" xfId="0" applyNumberFormat="1" applyFont="1" applyAlignment="1"/>
    <xf numFmtId="3" fontId="15" fillId="9" borderId="22" xfId="0" applyNumberFormat="1" applyFont="1" applyFill="1" applyBorder="1" applyAlignment="1"/>
    <xf numFmtId="2" fontId="5" fillId="0" borderId="2" xfId="0" applyNumberFormat="1" applyFont="1" applyBorder="1" applyAlignment="1"/>
    <xf numFmtId="9" fontId="5" fillId="0" borderId="0" xfId="0" applyNumberFormat="1" applyFont="1" applyAlignment="1"/>
    <xf numFmtId="0" fontId="22" fillId="5" borderId="28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12" fillId="0" borderId="0" xfId="0" applyFont="1" applyAlignment="1"/>
    <xf numFmtId="3" fontId="20" fillId="0" borderId="1" xfId="0" applyNumberFormat="1" applyFont="1" applyBorder="1" applyAlignment="1"/>
    <xf numFmtId="176" fontId="14" fillId="0" borderId="1" xfId="0" applyNumberFormat="1" applyFont="1" applyBorder="1" applyAlignment="1"/>
    <xf numFmtId="10" fontId="13" fillId="0" borderId="2" xfId="0" applyNumberFormat="1" applyFont="1" applyBorder="1" applyAlignment="1"/>
    <xf numFmtId="4" fontId="12" fillId="0" borderId="2" xfId="0" applyNumberFormat="1" applyFont="1" applyBorder="1" applyAlignment="1"/>
    <xf numFmtId="9" fontId="28" fillId="0" borderId="17" xfId="0" applyNumberFormat="1" applyFont="1" applyBorder="1" applyAlignment="1"/>
    <xf numFmtId="16" fontId="27" fillId="0" borderId="2" xfId="0" applyNumberFormat="1" applyFont="1" applyBorder="1" applyAlignment="1"/>
    <xf numFmtId="176" fontId="5" fillId="0" borderId="0" xfId="0" applyNumberFormat="1" applyFont="1" applyAlignment="1"/>
    <xf numFmtId="0" fontId="14" fillId="0" borderId="2" xfId="0" applyNumberFormat="1" applyFont="1" applyFill="1" applyBorder="1" applyAlignment="1"/>
    <xf numFmtId="10" fontId="14" fillId="0" borderId="2" xfId="0" applyNumberFormat="1" applyFont="1" applyBorder="1" applyAlignment="1">
      <alignment horizontal="center" vertical="center"/>
    </xf>
    <xf numFmtId="178" fontId="14" fillId="0" borderId="0" xfId="0" applyNumberFormat="1" applyFont="1" applyAlignment="1"/>
    <xf numFmtId="10" fontId="14" fillId="0" borderId="0" xfId="0" applyNumberFormat="1" applyFont="1" applyAlignment="1"/>
    <xf numFmtId="0" fontId="30" fillId="0" borderId="0" xfId="0" applyFont="1" applyFill="1" applyAlignment="1"/>
    <xf numFmtId="0" fontId="35" fillId="0" borderId="0" xfId="0" quotePrefix="1" applyFont="1" applyFill="1" applyAlignment="1"/>
    <xf numFmtId="0" fontId="20" fillId="0" borderId="14" xfId="0" applyFont="1" applyBorder="1" applyAlignment="1"/>
    <xf numFmtId="165" fontId="20" fillId="0" borderId="1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 wrapText="1"/>
    </xf>
    <xf numFmtId="9" fontId="28" fillId="0" borderId="2" xfId="0" applyNumberFormat="1" applyFont="1" applyBorder="1" applyAlignment="1"/>
    <xf numFmtId="0" fontId="7" fillId="0" borderId="2" xfId="0" applyFont="1" applyBorder="1" applyAlignment="1">
      <alignment horizontal="left"/>
    </xf>
    <xf numFmtId="165" fontId="20" fillId="0" borderId="15" xfId="0" applyNumberFormat="1" applyFont="1" applyBorder="1" applyAlignment="1">
      <alignment horizontal="right"/>
    </xf>
    <xf numFmtId="3" fontId="0" fillId="0" borderId="0" xfId="0" applyNumberFormat="1" applyFont="1" applyAlignment="1"/>
    <xf numFmtId="165" fontId="21" fillId="0" borderId="0" xfId="0" applyNumberFormat="1" applyFont="1" applyAlignment="1"/>
    <xf numFmtId="0" fontId="24" fillId="0" borderId="2" xfId="0" applyFont="1" applyBorder="1" applyAlignment="1"/>
    <xf numFmtId="0" fontId="24" fillId="0" borderId="4" xfId="0" applyFont="1" applyBorder="1" applyAlignment="1"/>
    <xf numFmtId="0" fontId="24" fillId="0" borderId="9" xfId="0" applyFont="1" applyBorder="1" applyAlignment="1"/>
    <xf numFmtId="168" fontId="14" fillId="0" borderId="6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left"/>
    </xf>
    <xf numFmtId="0" fontId="17" fillId="4" borderId="26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2" fillId="5" borderId="2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/>
    <xf numFmtId="9" fontId="5" fillId="0" borderId="17" xfId="0" applyNumberFormat="1" applyFont="1" applyBorder="1" applyAlignment="1"/>
    <xf numFmtId="0" fontId="22" fillId="5" borderId="2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9" fillId="6" borderId="2" xfId="0" applyFont="1" applyFill="1" applyBorder="1" applyAlignment="1">
      <alignment horizontal="center" vertical="center"/>
    </xf>
    <xf numFmtId="0" fontId="30" fillId="11" borderId="7" xfId="0" applyFont="1" applyFill="1" applyBorder="1" applyAlignment="1">
      <alignment horizontal="center" vertical="center" wrapText="1"/>
    </xf>
    <xf numFmtId="0" fontId="30" fillId="11" borderId="8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/>
    </xf>
    <xf numFmtId="0" fontId="30" fillId="11" borderId="12" xfId="0" applyFont="1" applyFill="1" applyBorder="1" applyAlignment="1">
      <alignment horizontal="center" vertical="center" wrapText="1"/>
    </xf>
    <xf numFmtId="0" fontId="30" fillId="11" borderId="6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22" fillId="5" borderId="0" xfId="0" applyFont="1" applyFill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28" fillId="0" borderId="17" xfId="0" applyFont="1" applyBorder="1" applyAlignment="1">
      <alignment horizontal="left" wrapText="1"/>
    </xf>
    <xf numFmtId="0" fontId="22" fillId="5" borderId="2" xfId="0" applyFont="1" applyFill="1" applyBorder="1" applyAlignment="1">
      <alignment horizontal="center" vertical="center"/>
    </xf>
    <xf numFmtId="0" fontId="9" fillId="21" borderId="12" xfId="0" applyFont="1" applyFill="1" applyBorder="1" applyAlignment="1">
      <alignment horizontal="center"/>
    </xf>
    <xf numFmtId="0" fontId="9" fillId="21" borderId="6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22" borderId="8" xfId="0" applyFont="1" applyFill="1" applyBorder="1" applyAlignment="1">
      <alignment horizontal="center"/>
    </xf>
    <xf numFmtId="0" fontId="9" fillId="22" borderId="14" xfId="0" applyFont="1" applyFill="1" applyBorder="1" applyAlignment="1">
      <alignment horizontal="center"/>
    </xf>
    <xf numFmtId="0" fontId="9" fillId="21" borderId="7" xfId="0" applyFont="1" applyFill="1" applyBorder="1" applyAlignment="1">
      <alignment horizontal="center"/>
    </xf>
    <xf numFmtId="0" fontId="9" fillId="21" borderId="8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3" fontId="13" fillId="0" borderId="2" xfId="0" applyNumberFormat="1" applyFont="1" applyBorder="1" applyAlignment="1">
      <alignment horizontal="left" wrapText="1"/>
    </xf>
    <xf numFmtId="3" fontId="12" fillId="0" borderId="2" xfId="0" applyNumberFormat="1" applyFont="1" applyBorder="1" applyAlignment="1">
      <alignment horizontal="center"/>
    </xf>
    <xf numFmtId="3" fontId="15" fillId="13" borderId="1" xfId="0" applyNumberFormat="1" applyFont="1" applyFill="1" applyBorder="1" applyAlignment="1">
      <alignment horizontal="center"/>
    </xf>
    <xf numFmtId="3" fontId="15" fillId="13" borderId="14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15" fillId="14" borderId="12" xfId="0" applyNumberFormat="1" applyFont="1" applyFill="1" applyBorder="1" applyAlignment="1">
      <alignment horizontal="center"/>
    </xf>
    <xf numFmtId="3" fontId="15" fillId="14" borderId="16" xfId="0" applyNumberFormat="1" applyFont="1" applyFill="1" applyBorder="1" applyAlignment="1">
      <alignment horizontal="center"/>
    </xf>
    <xf numFmtId="3" fontId="15" fillId="14" borderId="13" xfId="0" applyNumberFormat="1" applyFont="1" applyFill="1" applyBorder="1" applyAlignment="1">
      <alignment horizontal="center"/>
    </xf>
    <xf numFmtId="3" fontId="15" fillId="14" borderId="6" xfId="0" applyNumberFormat="1" applyFont="1" applyFill="1" applyBorder="1" applyAlignment="1">
      <alignment horizontal="center"/>
    </xf>
    <xf numFmtId="3" fontId="4" fillId="18" borderId="12" xfId="0" applyNumberFormat="1" applyFont="1" applyFill="1" applyBorder="1" applyAlignment="1">
      <alignment horizontal="center"/>
    </xf>
    <xf numFmtId="3" fontId="4" fillId="18" borderId="16" xfId="0" applyNumberFormat="1" applyFont="1" applyFill="1" applyBorder="1" applyAlignment="1">
      <alignment horizontal="center"/>
    </xf>
    <xf numFmtId="3" fontId="4" fillId="18" borderId="6" xfId="0" applyNumberFormat="1" applyFont="1" applyFill="1" applyBorder="1" applyAlignment="1">
      <alignment horizontal="center"/>
    </xf>
    <xf numFmtId="3" fontId="4" fillId="13" borderId="12" xfId="0" applyNumberFormat="1" applyFont="1" applyFill="1" applyBorder="1" applyAlignment="1">
      <alignment horizontal="center"/>
    </xf>
    <xf numFmtId="3" fontId="4" fillId="13" borderId="16" xfId="0" applyNumberFormat="1" applyFont="1" applyFill="1" applyBorder="1" applyAlignment="1">
      <alignment horizontal="center"/>
    </xf>
    <xf numFmtId="3" fontId="4" fillId="13" borderId="6" xfId="0" applyNumberFormat="1" applyFont="1" applyFill="1" applyBorder="1" applyAlignment="1">
      <alignment horizontal="center"/>
    </xf>
    <xf numFmtId="3" fontId="15" fillId="15" borderId="12" xfId="0" applyNumberFormat="1" applyFont="1" applyFill="1" applyBorder="1" applyAlignment="1">
      <alignment horizontal="center"/>
    </xf>
    <xf numFmtId="3" fontId="15" fillId="15" borderId="16" xfId="0" applyNumberFormat="1" applyFont="1" applyFill="1" applyBorder="1" applyAlignment="1">
      <alignment horizontal="center"/>
    </xf>
    <xf numFmtId="3" fontId="15" fillId="15" borderId="6" xfId="0" applyNumberFormat="1" applyFont="1" applyFill="1" applyBorder="1" applyAlignment="1">
      <alignment horizontal="center"/>
    </xf>
    <xf numFmtId="0" fontId="15" fillId="0" borderId="29" xfId="0" applyFont="1" applyBorder="1" applyAlignment="1"/>
    <xf numFmtId="0" fontId="15" fillId="0" borderId="30" xfId="0" applyFont="1" applyBorder="1" applyAlignment="1"/>
    <xf numFmtId="0" fontId="36" fillId="5" borderId="0" xfId="0" applyFont="1" applyFill="1" applyAlignment="1">
      <alignment vertic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F5E33-2F31-400D-AA93-F5F0F30E5047}">
  <sheetPr>
    <tabColor rgb="FFD9E1F2"/>
  </sheetPr>
  <dimension ref="A2:L18"/>
  <sheetViews>
    <sheetView showGridLines="0" tabSelected="1" workbookViewId="0"/>
  </sheetViews>
  <sheetFormatPr baseColWidth="10" defaultColWidth="9.1640625" defaultRowHeight="16" x14ac:dyDescent="0.2"/>
  <cols>
    <col min="1" max="1" width="9.1640625" style="86"/>
    <col min="2" max="2" width="4" style="86" customWidth="1"/>
    <col min="3" max="9" width="9.1640625" style="86"/>
    <col min="10" max="10" width="12.83203125" style="86" bestFit="1" customWidth="1"/>
    <col min="11" max="16384" width="9.1640625" style="86"/>
  </cols>
  <sheetData>
    <row r="2" spans="1:12" ht="20" x14ac:dyDescent="0.2">
      <c r="A2" s="295"/>
      <c r="B2" s="295"/>
      <c r="C2" s="295"/>
      <c r="D2" s="295"/>
      <c r="E2" s="295"/>
      <c r="F2" s="295"/>
      <c r="G2" s="295"/>
      <c r="H2" s="295"/>
      <c r="I2" s="295"/>
      <c r="J2" s="295"/>
    </row>
    <row r="3" spans="1:12" ht="20" x14ac:dyDescent="0.2">
      <c r="A3" s="295"/>
      <c r="B3" s="295"/>
      <c r="C3" s="295"/>
      <c r="D3" s="295"/>
      <c r="E3" s="295"/>
      <c r="F3" s="295"/>
      <c r="G3" s="295"/>
      <c r="H3" s="295"/>
      <c r="I3" s="295"/>
      <c r="J3" s="295"/>
    </row>
    <row r="4" spans="1:12" ht="22.5" customHeight="1" x14ac:dyDescent="0.2">
      <c r="A4" s="295"/>
      <c r="B4" s="478" t="s">
        <v>0</v>
      </c>
      <c r="C4" s="474"/>
      <c r="D4" s="474"/>
      <c r="E4" s="474"/>
      <c r="F4" s="474"/>
      <c r="G4" s="474"/>
      <c r="H4" s="295"/>
      <c r="I4" s="295"/>
      <c r="J4" s="295"/>
    </row>
    <row r="5" spans="1:12" ht="24" customHeight="1" x14ac:dyDescent="0.2">
      <c r="A5" s="295"/>
      <c r="B5" s="479" t="s">
        <v>1</v>
      </c>
      <c r="C5" s="475"/>
      <c r="D5" s="475"/>
      <c r="E5" s="475"/>
      <c r="F5" s="475"/>
      <c r="G5" s="475"/>
      <c r="H5" s="475"/>
      <c r="I5" s="475"/>
      <c r="J5" s="295"/>
    </row>
    <row r="6" spans="1:12" ht="21" customHeight="1" x14ac:dyDescent="0.2">
      <c r="A6" s="295"/>
      <c r="B6" s="74"/>
      <c r="C6" s="74" t="s">
        <v>2</v>
      </c>
      <c r="D6" s="74"/>
      <c r="E6" s="74"/>
      <c r="F6" s="295"/>
      <c r="G6" s="295"/>
      <c r="H6" s="295"/>
      <c r="I6" s="295"/>
      <c r="J6" s="295"/>
    </row>
    <row r="7" spans="1:12" ht="21" customHeight="1" x14ac:dyDescent="0.2">
      <c r="A7" s="295"/>
      <c r="B7" s="74"/>
      <c r="C7" s="74" t="s">
        <v>3</v>
      </c>
      <c r="D7" s="74"/>
      <c r="E7" s="74"/>
      <c r="F7" s="295"/>
      <c r="G7" s="295"/>
      <c r="H7" s="295"/>
      <c r="I7" s="295"/>
      <c r="J7" s="295"/>
    </row>
    <row r="8" spans="1:12" ht="24" customHeight="1" x14ac:dyDescent="0.2">
      <c r="A8" s="295"/>
      <c r="B8" s="641" t="s">
        <v>346</v>
      </c>
      <c r="C8" s="476"/>
      <c r="D8" s="476"/>
      <c r="E8" s="476"/>
      <c r="F8" s="476"/>
      <c r="G8" s="476"/>
      <c r="H8" s="476"/>
      <c r="I8" s="476"/>
      <c r="J8" s="295"/>
    </row>
    <row r="9" spans="1:12" ht="21" customHeight="1" x14ac:dyDescent="0.2">
      <c r="A9" s="295"/>
      <c r="B9" s="74"/>
      <c r="C9" s="74" t="s">
        <v>4</v>
      </c>
      <c r="D9" s="74"/>
      <c r="E9" s="74"/>
      <c r="F9" s="295"/>
      <c r="G9" s="295"/>
      <c r="H9" s="295"/>
      <c r="I9" s="295"/>
      <c r="J9" s="295"/>
    </row>
    <row r="10" spans="1:12" ht="21" customHeight="1" x14ac:dyDescent="0.2">
      <c r="A10" s="295"/>
      <c r="B10" s="74"/>
      <c r="C10" s="74" t="s">
        <v>5</v>
      </c>
      <c r="D10" s="74"/>
      <c r="E10" s="74"/>
      <c r="F10" s="295"/>
      <c r="G10" s="295"/>
      <c r="H10" s="295"/>
      <c r="I10" s="295"/>
      <c r="J10" s="295"/>
    </row>
    <row r="11" spans="1:12" ht="24" customHeight="1" x14ac:dyDescent="0.2">
      <c r="A11" s="295"/>
      <c r="B11" s="480" t="s">
        <v>6</v>
      </c>
      <c r="C11" s="477"/>
      <c r="D11" s="477"/>
      <c r="E11" s="477"/>
      <c r="F11" s="477"/>
      <c r="G11" s="477"/>
      <c r="H11" s="477"/>
      <c r="I11" s="477"/>
      <c r="J11" s="295"/>
    </row>
    <row r="12" spans="1:12" ht="21" customHeight="1" x14ac:dyDescent="0.2">
      <c r="A12" s="295"/>
      <c r="B12" s="74"/>
      <c r="C12" s="74" t="s">
        <v>7</v>
      </c>
      <c r="D12" s="74"/>
      <c r="E12" s="74"/>
      <c r="F12" s="295"/>
      <c r="G12" s="295"/>
      <c r="H12" s="295"/>
      <c r="I12" s="295"/>
      <c r="J12" s="295"/>
    </row>
    <row r="13" spans="1:12" ht="21" customHeight="1" x14ac:dyDescent="0.2">
      <c r="A13" s="295"/>
      <c r="B13" s="74"/>
      <c r="C13" s="74" t="s">
        <v>8</v>
      </c>
      <c r="D13" s="74"/>
      <c r="E13" s="74"/>
      <c r="F13" s="295"/>
      <c r="G13" s="295"/>
      <c r="H13" s="295"/>
      <c r="I13" s="295"/>
      <c r="J13" s="295"/>
      <c r="K13" s="74"/>
    </row>
    <row r="14" spans="1:12" ht="24" customHeight="1" x14ac:dyDescent="0.2">
      <c r="A14" s="295"/>
      <c r="B14" s="74"/>
      <c r="C14" s="74"/>
      <c r="D14" s="74"/>
      <c r="E14" s="74"/>
      <c r="F14" s="533"/>
      <c r="G14" s="533"/>
      <c r="H14" s="533"/>
      <c r="I14" s="533"/>
      <c r="J14" s="534"/>
      <c r="K14" s="219"/>
      <c r="L14" s="219"/>
    </row>
    <row r="15" spans="1:12" ht="20" x14ac:dyDescent="0.2">
      <c r="A15" s="295"/>
      <c r="B15" s="295"/>
      <c r="C15" s="295"/>
      <c r="D15" s="295"/>
      <c r="E15" s="295"/>
      <c r="F15" s="295"/>
      <c r="G15" s="295"/>
      <c r="H15" s="295"/>
      <c r="I15" s="295"/>
      <c r="J15" s="295"/>
    </row>
    <row r="16" spans="1:12" ht="20" x14ac:dyDescent="0.2">
      <c r="A16" s="295"/>
      <c r="B16" s="295"/>
      <c r="C16" s="295"/>
      <c r="D16" s="295"/>
      <c r="E16" s="295"/>
      <c r="F16" s="295"/>
      <c r="G16" s="295"/>
      <c r="H16" s="295"/>
      <c r="I16" s="295"/>
      <c r="J16" s="295"/>
    </row>
    <row r="17" spans="1:10" ht="20" x14ac:dyDescent="0.2">
      <c r="A17" s="295"/>
      <c r="B17" s="295"/>
      <c r="C17" s="295"/>
      <c r="D17" s="295"/>
      <c r="E17" s="295"/>
      <c r="F17" s="295"/>
      <c r="G17" s="295"/>
      <c r="H17" s="295"/>
      <c r="I17" s="295"/>
      <c r="J17" s="295"/>
    </row>
    <row r="18" spans="1:10" ht="20" x14ac:dyDescent="0.2">
      <c r="A18" s="295"/>
      <c r="B18" s="295"/>
      <c r="C18" s="295"/>
      <c r="D18" s="295"/>
      <c r="E18" s="295"/>
      <c r="F18" s="295"/>
      <c r="G18" s="295"/>
      <c r="H18" s="295"/>
      <c r="I18" s="295"/>
      <c r="J18" s="295"/>
    </row>
  </sheetData>
  <hyperlinks>
    <hyperlink ref="C6" location="'1.1. CO2 analysis'!A1" display="1.1. CO2 analysis" xr:uid="{6D4F14CA-99C7-8D46-BC42-E842CD277F36}"/>
    <hyperlink ref="C7" location="'1.2. CO2 results'!A1" display="1.2. CO2 results" xr:uid="{2376CC56-846D-224E-A648-1360939BACC9}"/>
    <hyperlink ref="C9" location="'2.1. NOx and SO2 analysis'!A1" display="2.1. NOx and SO2 analysis" xr:uid="{C9568417-3D19-B443-A5A7-6BE48F4544B7}"/>
    <hyperlink ref="C10" location="'2.2. NOx and SO2 results'!A1" display="2.2. NOx and SO2 results " xr:uid="{50EECAC7-C4E7-FF4C-AEE5-6484CAAC3CDE}"/>
    <hyperlink ref="C12" location="'3.1. Transport cost analysis'!A1" display="3.1. Transport cost analysis" xr:uid="{61521279-F595-8845-8B60-94A652CE52D5}"/>
    <hyperlink ref="C13" location="'3.2. Transport cost results'!A1" display="3.2. Transport cost results" xr:uid="{9ED3C0C0-B86F-E541-94A9-FE316EDCC9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outlinePr summaryBelow="0" summaryRight="0"/>
  </sheetPr>
  <dimension ref="A2:BI135"/>
  <sheetViews>
    <sheetView showGridLines="0" workbookViewId="0"/>
  </sheetViews>
  <sheetFormatPr baseColWidth="10" defaultColWidth="14.5" defaultRowHeight="15.75" customHeight="1" x14ac:dyDescent="0.15"/>
  <cols>
    <col min="1" max="1" width="7" style="7" customWidth="1"/>
    <col min="2" max="2" width="24" style="7" customWidth="1"/>
    <col min="3" max="3" width="13.5" style="7" customWidth="1"/>
    <col min="4" max="4" width="14" style="7" customWidth="1"/>
    <col min="5" max="5" width="21.5" style="7" customWidth="1"/>
    <col min="6" max="6" width="16.5" style="7" customWidth="1"/>
    <col min="7" max="7" width="14.5" style="7" customWidth="1"/>
    <col min="8" max="8" width="27" style="7" customWidth="1"/>
    <col min="9" max="9" width="13.6640625" style="7" customWidth="1"/>
    <col min="10" max="10" width="19.83203125" style="7" customWidth="1"/>
    <col min="11" max="11" width="24.5" style="7" customWidth="1"/>
    <col min="12" max="12" width="13.5" style="7" customWidth="1"/>
    <col min="13" max="13" width="10" style="7" customWidth="1"/>
    <col min="14" max="14" width="22.5" style="7" customWidth="1"/>
    <col min="15" max="15" width="23.5" style="7" customWidth="1"/>
    <col min="16" max="16" width="4.1640625" style="7" customWidth="1"/>
    <col min="17" max="17" width="22" style="7" customWidth="1"/>
    <col min="18" max="18" width="14.5" style="7"/>
    <col min="19" max="19" width="4.1640625" style="7" customWidth="1"/>
    <col min="20" max="20" width="22.1640625" style="7" customWidth="1"/>
    <col min="21" max="21" width="14.5" style="7"/>
    <col min="22" max="22" width="7.1640625" style="7" customWidth="1"/>
    <col min="23" max="23" width="20.83203125" style="7" customWidth="1"/>
    <col min="24" max="24" width="19.5" style="7" customWidth="1"/>
    <col min="25" max="25" width="6.83203125" style="7" customWidth="1"/>
    <col min="26" max="26" width="21.33203125" style="7" customWidth="1"/>
    <col min="27" max="27" width="26.5" style="7" customWidth="1"/>
    <col min="28" max="28" width="5.5" style="7" customWidth="1"/>
    <col min="29" max="29" width="20.5" style="7" customWidth="1"/>
    <col min="30" max="30" width="27.5" style="7" customWidth="1"/>
    <col min="31" max="31" width="8.5" style="7" customWidth="1"/>
    <col min="32" max="32" width="28.5" style="7" customWidth="1"/>
    <col min="33" max="33" width="14.5" style="7"/>
    <col min="34" max="34" width="11.6640625" style="7" customWidth="1"/>
    <col min="35" max="16384" width="14.5" style="7"/>
  </cols>
  <sheetData>
    <row r="2" spans="1:13" s="294" customFormat="1" ht="25" x14ac:dyDescent="0.25">
      <c r="B2" s="296" t="s">
        <v>9</v>
      </c>
    </row>
    <row r="3" spans="1:13" ht="29.25" customHeight="1" x14ac:dyDescent="0.2">
      <c r="B3" s="299" t="s">
        <v>2</v>
      </c>
    </row>
    <row r="5" spans="1:13" ht="26.25" customHeight="1" x14ac:dyDescent="0.2">
      <c r="B5" s="300" t="s">
        <v>10</v>
      </c>
      <c r="C5" s="86"/>
    </row>
    <row r="6" spans="1:13" ht="26.25" customHeight="1" x14ac:dyDescent="0.2">
      <c r="B6" s="300" t="s">
        <v>11</v>
      </c>
      <c r="C6" s="86"/>
      <c r="D6" s="86"/>
      <c r="E6" s="86"/>
      <c r="F6" s="86"/>
      <c r="G6" s="86"/>
      <c r="H6" s="86"/>
    </row>
    <row r="7" spans="1:13" ht="26.25" customHeight="1" x14ac:dyDescent="0.2">
      <c r="B7" s="300" t="s">
        <v>12</v>
      </c>
      <c r="C7" s="297"/>
      <c r="D7" s="86"/>
      <c r="E7" s="86"/>
      <c r="F7" s="86"/>
      <c r="G7" s="86"/>
      <c r="H7" s="86"/>
    </row>
    <row r="8" spans="1:13" ht="16" x14ac:dyDescent="0.2">
      <c r="B8" s="298"/>
      <c r="C8" s="86"/>
      <c r="D8" s="86"/>
      <c r="E8" s="86"/>
      <c r="F8" s="86"/>
      <c r="G8" s="86"/>
      <c r="H8" s="86"/>
    </row>
    <row r="9" spans="1:13" ht="16" x14ac:dyDescent="0.2">
      <c r="B9" s="86"/>
      <c r="C9" s="86"/>
      <c r="D9" s="86"/>
      <c r="E9" s="86"/>
      <c r="F9" s="86"/>
      <c r="G9" s="86"/>
    </row>
    <row r="10" spans="1:13" s="87" customFormat="1" ht="18" x14ac:dyDescent="0.2">
      <c r="B10" s="88" t="s">
        <v>13</v>
      </c>
    </row>
    <row r="11" spans="1:13" ht="15.75" customHeight="1" x14ac:dyDescent="0.2">
      <c r="A11" s="86"/>
      <c r="B11" s="92"/>
      <c r="C11" s="92"/>
      <c r="D11" s="92"/>
      <c r="E11" s="86"/>
      <c r="F11" s="86"/>
      <c r="G11" s="86"/>
      <c r="H11" s="86"/>
      <c r="I11" s="86"/>
      <c r="J11" s="8"/>
      <c r="K11" s="38"/>
      <c r="L11" s="38"/>
      <c r="M11" s="8"/>
    </row>
    <row r="12" spans="1:13" ht="15.75" customHeight="1" x14ac:dyDescent="0.2">
      <c r="A12" s="86"/>
      <c r="B12" s="555" t="s">
        <v>14</v>
      </c>
      <c r="C12" s="555"/>
      <c r="D12" s="92"/>
      <c r="E12" s="92"/>
      <c r="F12" s="555" t="s">
        <v>15</v>
      </c>
      <c r="G12" s="555"/>
      <c r="H12" s="555"/>
      <c r="I12" s="86"/>
      <c r="J12" s="8"/>
    </row>
    <row r="13" spans="1:13" ht="15.75" customHeight="1" x14ac:dyDescent="0.2">
      <c r="A13" s="86"/>
      <c r="B13" s="556" t="s">
        <v>16</v>
      </c>
      <c r="C13" s="556"/>
      <c r="D13" s="86"/>
      <c r="E13" s="92"/>
      <c r="F13" s="548" t="s">
        <v>17</v>
      </c>
      <c r="G13" s="301" t="s">
        <v>18</v>
      </c>
      <c r="H13" s="548" t="s">
        <v>19</v>
      </c>
      <c r="I13" s="86"/>
      <c r="J13" s="8"/>
    </row>
    <row r="14" spans="1:13" ht="15.75" customHeight="1" x14ac:dyDescent="0.2">
      <c r="A14" s="86"/>
      <c r="B14" s="302" t="s">
        <v>20</v>
      </c>
      <c r="C14" s="303">
        <f>854/1000000</f>
        <v>8.5400000000000005E-4</v>
      </c>
      <c r="D14" s="86"/>
      <c r="E14" s="245" t="s">
        <v>21</v>
      </c>
      <c r="F14" s="304">
        <v>30</v>
      </c>
      <c r="G14" s="304">
        <v>30</v>
      </c>
      <c r="H14" s="304">
        <v>14.4</v>
      </c>
      <c r="I14" s="86"/>
      <c r="J14" s="8"/>
    </row>
    <row r="15" spans="1:13" ht="15.75" customHeight="1" x14ac:dyDescent="0.2">
      <c r="A15" s="92"/>
      <c r="B15" s="302" t="s">
        <v>22</v>
      </c>
      <c r="C15" s="303">
        <f>695/1000000</f>
        <v>6.9499999999999998E-4</v>
      </c>
      <c r="D15" s="531"/>
      <c r="E15" s="305" t="s">
        <v>23</v>
      </c>
      <c r="F15" s="549" t="s">
        <v>24</v>
      </c>
      <c r="G15" s="549" t="s">
        <v>24</v>
      </c>
      <c r="H15" s="245">
        <v>6</v>
      </c>
      <c r="I15" s="86"/>
      <c r="J15" s="8"/>
    </row>
    <row r="16" spans="1:13" ht="15.75" customHeight="1" x14ac:dyDescent="0.2">
      <c r="A16" s="92"/>
      <c r="B16" s="302" t="s">
        <v>25</v>
      </c>
      <c r="C16" s="303">
        <f>1514/1000000</f>
        <v>1.5139999999999999E-3</v>
      </c>
      <c r="D16" s="92"/>
      <c r="E16" s="86"/>
      <c r="F16" s="86"/>
      <c r="G16" s="86"/>
      <c r="H16" s="306"/>
      <c r="I16" s="92"/>
    </row>
    <row r="17" spans="1:9" ht="15.75" customHeight="1" x14ac:dyDescent="0.2">
      <c r="A17" s="92"/>
      <c r="B17" s="302" t="s">
        <v>26</v>
      </c>
      <c r="C17" s="303">
        <f>1124/1000000</f>
        <v>1.124E-3</v>
      </c>
      <c r="D17" s="530"/>
      <c r="E17" s="86"/>
      <c r="F17" s="86"/>
      <c r="G17" s="86"/>
      <c r="H17" s="92"/>
      <c r="I17" s="86"/>
    </row>
    <row r="18" spans="1:9" ht="15.75" customHeight="1" x14ac:dyDescent="0.2">
      <c r="A18" s="92"/>
      <c r="B18" s="86"/>
      <c r="C18" s="86"/>
      <c r="D18" s="307"/>
      <c r="E18" s="86"/>
      <c r="F18" s="86"/>
      <c r="G18" s="86"/>
      <c r="H18" s="92"/>
      <c r="I18" s="86"/>
    </row>
    <row r="19" spans="1:9" ht="15.75" customHeight="1" x14ac:dyDescent="0.2">
      <c r="A19" s="86"/>
      <c r="B19" s="555" t="s">
        <v>27</v>
      </c>
      <c r="C19" s="555"/>
      <c r="D19" s="92"/>
      <c r="E19" s="92"/>
      <c r="F19" s="86"/>
      <c r="G19" s="86"/>
      <c r="H19" s="86"/>
      <c r="I19" s="86"/>
    </row>
    <row r="20" spans="1:9" ht="15.75" customHeight="1" x14ac:dyDescent="0.2">
      <c r="A20" s="92"/>
      <c r="B20" s="570">
        <f>2.68/1000</f>
        <v>2.6800000000000001E-3</v>
      </c>
      <c r="C20" s="570"/>
      <c r="D20" s="92"/>
      <c r="E20" s="92"/>
      <c r="F20" s="86"/>
      <c r="G20" s="86"/>
      <c r="H20" s="86"/>
      <c r="I20" s="86"/>
    </row>
    <row r="21" spans="1:9" ht="15.75" customHeight="1" x14ac:dyDescent="0.2">
      <c r="A21" s="86"/>
      <c r="B21" s="92"/>
      <c r="C21" s="92"/>
      <c r="D21" s="92"/>
      <c r="E21" s="92"/>
      <c r="F21" s="86"/>
      <c r="G21" s="86"/>
      <c r="H21" s="86"/>
      <c r="I21" s="86"/>
    </row>
    <row r="22" spans="1:9" ht="15.75" customHeight="1" x14ac:dyDescent="0.2">
      <c r="A22" s="86"/>
      <c r="B22" s="86"/>
      <c r="C22" s="92"/>
      <c r="D22" s="92"/>
      <c r="E22" s="92"/>
      <c r="F22" s="86"/>
      <c r="G22" s="86"/>
      <c r="H22" s="86"/>
      <c r="I22" s="86"/>
    </row>
    <row r="23" spans="1:9" ht="15.75" customHeight="1" x14ac:dyDescent="0.2">
      <c r="A23" s="86"/>
      <c r="B23" s="565" t="s">
        <v>28</v>
      </c>
      <c r="C23" s="565"/>
      <c r="D23" s="565"/>
      <c r="E23" s="92"/>
      <c r="F23" s="555" t="s">
        <v>29</v>
      </c>
      <c r="G23" s="555"/>
      <c r="H23" s="555"/>
      <c r="I23" s="86"/>
    </row>
    <row r="24" spans="1:9" ht="15.75" customHeight="1" x14ac:dyDescent="0.2">
      <c r="A24" s="86"/>
      <c r="B24" s="245" t="s">
        <v>30</v>
      </c>
      <c r="C24" s="245"/>
      <c r="D24" s="308">
        <v>0.33</v>
      </c>
      <c r="E24" s="527"/>
      <c r="F24" s="254" t="s">
        <v>31</v>
      </c>
      <c r="G24" s="309"/>
      <c r="H24" s="310">
        <v>388000</v>
      </c>
      <c r="I24" s="86"/>
    </row>
    <row r="25" spans="1:9" ht="15.75" customHeight="1" x14ac:dyDescent="0.2">
      <c r="A25" s="86"/>
      <c r="B25" s="245" t="s">
        <v>32</v>
      </c>
      <c r="C25" s="245"/>
      <c r="D25" s="308">
        <f>1-D24</f>
        <v>0.66999999999999993</v>
      </c>
      <c r="E25" s="92"/>
      <c r="F25" s="241" t="s">
        <v>33</v>
      </c>
      <c r="G25" s="311"/>
      <c r="H25" s="243">
        <v>557000</v>
      </c>
      <c r="I25" s="86"/>
    </row>
    <row r="26" spans="1:9" ht="15.75" customHeight="1" x14ac:dyDescent="0.2">
      <c r="A26" s="86"/>
      <c r="B26" s="86"/>
      <c r="C26" s="92"/>
      <c r="D26" s="92"/>
      <c r="E26" s="92"/>
      <c r="F26" s="312"/>
      <c r="G26" s="92"/>
      <c r="H26" s="92"/>
      <c r="I26" s="86"/>
    </row>
    <row r="27" spans="1:9" ht="15.75" customHeight="1" x14ac:dyDescent="0.2">
      <c r="A27" s="86"/>
      <c r="B27" s="86"/>
      <c r="C27" s="92"/>
      <c r="D27" s="92"/>
      <c r="E27" s="92"/>
      <c r="F27" s="555" t="s">
        <v>34</v>
      </c>
      <c r="G27" s="555"/>
      <c r="H27" s="555"/>
      <c r="I27" s="86"/>
    </row>
    <row r="28" spans="1:9" ht="15.75" customHeight="1" x14ac:dyDescent="0.2">
      <c r="A28" s="86"/>
      <c r="B28" s="565" t="s">
        <v>35</v>
      </c>
      <c r="C28" s="565"/>
      <c r="D28" s="565"/>
      <c r="E28" s="92"/>
      <c r="F28" s="254" t="s">
        <v>36</v>
      </c>
      <c r="G28" s="309"/>
      <c r="H28" s="225">
        <f>60*3.33</f>
        <v>199.8</v>
      </c>
      <c r="I28" s="86"/>
    </row>
    <row r="29" spans="1:9" ht="15.75" customHeight="1" x14ac:dyDescent="0.2">
      <c r="A29" s="86"/>
      <c r="B29" s="241" t="s">
        <v>37</v>
      </c>
      <c r="C29" s="303"/>
      <c r="D29" s="313">
        <v>2400</v>
      </c>
      <c r="E29" s="92"/>
      <c r="F29" s="241" t="s">
        <v>38</v>
      </c>
      <c r="G29" s="311"/>
      <c r="H29" s="243">
        <f>H28*AA66</f>
        <v>21378.600000000002</v>
      </c>
      <c r="I29" s="92"/>
    </row>
    <row r="30" spans="1:9" ht="15.75" customHeight="1" x14ac:dyDescent="0.2">
      <c r="A30" s="86"/>
      <c r="B30" s="239" t="s">
        <v>39</v>
      </c>
      <c r="C30" s="92"/>
      <c r="D30" s="259">
        <v>0.57999999999999996</v>
      </c>
      <c r="E30" s="92"/>
      <c r="F30" s="92"/>
      <c r="G30" s="92"/>
      <c r="H30" s="312"/>
      <c r="I30" s="92"/>
    </row>
    <row r="31" spans="1:9" ht="15.75" customHeight="1" x14ac:dyDescent="0.2">
      <c r="A31" s="92"/>
      <c r="B31" s="254" t="s">
        <v>40</v>
      </c>
      <c r="C31" s="309"/>
      <c r="D31" s="310">
        <f>AD64+AA64+X64+U64+R64+O64+I64+F64</f>
        <v>278800</v>
      </c>
      <c r="E31" s="86"/>
      <c r="F31" s="561" t="s">
        <v>41</v>
      </c>
      <c r="G31" s="561"/>
      <c r="H31" s="561"/>
      <c r="I31" s="86"/>
    </row>
    <row r="32" spans="1:9" ht="15.75" customHeight="1" x14ac:dyDescent="0.2">
      <c r="A32" s="92"/>
      <c r="B32" s="241" t="s">
        <v>42</v>
      </c>
      <c r="C32" s="311"/>
      <c r="D32" s="243">
        <f>C48</f>
        <v>59650</v>
      </c>
      <c r="E32" s="297"/>
      <c r="F32" s="254" t="s">
        <v>36</v>
      </c>
      <c r="G32" s="309"/>
      <c r="H32" s="245">
        <f>60*6</f>
        <v>360</v>
      </c>
      <c r="I32" s="86"/>
    </row>
    <row r="33" spans="1:13" ht="15.75" customHeight="1" x14ac:dyDescent="0.2">
      <c r="A33" s="86"/>
      <c r="B33" s="239" t="s">
        <v>43</v>
      </c>
      <c r="C33" s="314"/>
      <c r="D33" s="315">
        <f>AA86+O86+F86</f>
        <v>153550</v>
      </c>
      <c r="E33" s="92"/>
      <c r="F33" s="241" t="s">
        <v>44</v>
      </c>
      <c r="G33" s="311"/>
      <c r="H33" s="243">
        <f>H32*AD66</f>
        <v>8540</v>
      </c>
      <c r="I33" s="92"/>
    </row>
    <row r="34" spans="1:13" ht="15.75" customHeight="1" x14ac:dyDescent="0.2">
      <c r="A34" s="86"/>
      <c r="B34" s="86"/>
      <c r="C34" s="92"/>
      <c r="D34" s="92"/>
      <c r="E34" s="92"/>
      <c r="F34" s="86"/>
      <c r="G34" s="86"/>
      <c r="H34" s="86"/>
      <c r="I34" s="92"/>
    </row>
    <row r="35" spans="1:13" ht="15.75" customHeight="1" x14ac:dyDescent="0.2">
      <c r="A35" s="86"/>
      <c r="B35" s="86"/>
      <c r="C35" s="92"/>
      <c r="D35" s="92"/>
      <c r="E35" s="92"/>
      <c r="F35" s="86"/>
      <c r="G35" s="92"/>
      <c r="H35" s="92"/>
      <c r="I35" s="92"/>
    </row>
    <row r="36" spans="1:13" ht="15.75" customHeight="1" x14ac:dyDescent="0.2">
      <c r="A36" s="86"/>
      <c r="B36" s="86"/>
      <c r="C36" s="86"/>
      <c r="D36" s="565" t="s">
        <v>45</v>
      </c>
      <c r="E36" s="565"/>
      <c r="F36" s="565"/>
      <c r="G36" s="316" t="s">
        <v>46</v>
      </c>
      <c r="H36" s="86"/>
      <c r="I36" s="92"/>
    </row>
    <row r="37" spans="1:13" ht="15.75" customHeight="1" x14ac:dyDescent="0.2">
      <c r="A37" s="86"/>
      <c r="B37" s="92"/>
      <c r="C37" s="317"/>
      <c r="D37" s="550" t="s">
        <v>47</v>
      </c>
      <c r="E37" s="550" t="s">
        <v>48</v>
      </c>
      <c r="F37" s="550" t="s">
        <v>49</v>
      </c>
      <c r="G37" s="318" t="s">
        <v>47</v>
      </c>
      <c r="H37" s="92"/>
      <c r="I37" s="86"/>
    </row>
    <row r="38" spans="1:13" ht="15.75" customHeight="1" x14ac:dyDescent="0.2">
      <c r="A38" s="92"/>
      <c r="B38" s="319" t="s">
        <v>50</v>
      </c>
      <c r="C38" s="320"/>
      <c r="D38" s="321">
        <v>17000</v>
      </c>
      <c r="E38" s="322">
        <v>1280</v>
      </c>
      <c r="F38" s="322">
        <v>6300</v>
      </c>
      <c r="G38" s="322">
        <f>G40+G39</f>
        <v>16864.068728522336</v>
      </c>
      <c r="H38" s="86"/>
      <c r="I38" s="86"/>
    </row>
    <row r="39" spans="1:13" ht="15.75" customHeight="1" x14ac:dyDescent="0.2">
      <c r="A39" s="92"/>
      <c r="B39" s="254" t="s">
        <v>51</v>
      </c>
      <c r="C39" s="320"/>
      <c r="D39" s="321">
        <f>(17000/300)*70</f>
        <v>3966.6666666666665</v>
      </c>
      <c r="E39" s="322">
        <f>H28</f>
        <v>199.8</v>
      </c>
      <c r="F39" s="322">
        <f>4000/300*60</f>
        <v>800</v>
      </c>
      <c r="G39" s="322">
        <f>AK63</f>
        <v>8613.4020618556697</v>
      </c>
      <c r="H39" s="86"/>
      <c r="I39" s="86"/>
    </row>
    <row r="40" spans="1:13" ht="15.75" customHeight="1" x14ac:dyDescent="0.2">
      <c r="A40" s="92"/>
      <c r="B40" s="241" t="s">
        <v>52</v>
      </c>
      <c r="C40" s="303"/>
      <c r="D40" s="321">
        <f>D38-D39</f>
        <v>13033.333333333334</v>
      </c>
      <c r="E40" s="322">
        <f>E38-E39</f>
        <v>1080.2</v>
      </c>
      <c r="F40" s="322">
        <f>F38-F39</f>
        <v>5500</v>
      </c>
      <c r="G40" s="322">
        <f>C52</f>
        <v>8250.6666666666661</v>
      </c>
      <c r="H40" s="86"/>
      <c r="I40" s="86"/>
    </row>
    <row r="41" spans="1:13" ht="15.75" customHeight="1" x14ac:dyDescent="0.2">
      <c r="A41" s="86"/>
      <c r="B41" s="92"/>
      <c r="C41" s="92"/>
      <c r="D41" s="86"/>
      <c r="E41" s="86"/>
      <c r="F41" s="86"/>
      <c r="G41" s="86"/>
      <c r="H41" s="86"/>
      <c r="I41" s="86"/>
    </row>
    <row r="42" spans="1:13" ht="15.75" customHeight="1" x14ac:dyDescent="0.15">
      <c r="A42" s="8"/>
      <c r="B42" s="8"/>
      <c r="C42" s="8"/>
      <c r="D42" s="8"/>
      <c r="H42" s="8"/>
      <c r="K42" s="1"/>
      <c r="L42" s="2"/>
      <c r="M42" s="1"/>
    </row>
    <row r="43" spans="1:13" s="87" customFormat="1" ht="20.25" customHeight="1" x14ac:dyDescent="0.2">
      <c r="A43" s="89"/>
      <c r="B43" s="323" t="s">
        <v>53</v>
      </c>
      <c r="C43" s="89"/>
      <c r="D43" s="89"/>
      <c r="H43" s="89"/>
      <c r="K43" s="3"/>
      <c r="L43" s="4"/>
      <c r="M43" s="3"/>
    </row>
    <row r="44" spans="1:13" ht="15.75" customHeight="1" x14ac:dyDescent="0.15">
      <c r="B44" s="41"/>
      <c r="C44" s="40"/>
      <c r="D44" s="41"/>
      <c r="K44" s="1"/>
      <c r="L44" s="2"/>
      <c r="M44" s="1"/>
    </row>
    <row r="45" spans="1:13" ht="13.5" customHeight="1" x14ac:dyDescent="0.15">
      <c r="B45" s="8"/>
      <c r="C45" s="8"/>
      <c r="D45" s="8"/>
      <c r="E45" s="8"/>
      <c r="F45" s="8"/>
      <c r="G45" s="8"/>
      <c r="H45" s="164"/>
      <c r="I45" s="188"/>
    </row>
    <row r="46" spans="1:13" ht="24" customHeight="1" x14ac:dyDescent="0.15">
      <c r="B46" s="568" t="s">
        <v>54</v>
      </c>
      <c r="C46" s="569"/>
      <c r="E46" s="6"/>
      <c r="H46" s="16"/>
      <c r="K46" s="16"/>
    </row>
    <row r="47" spans="1:13" ht="15.75" customHeight="1" x14ac:dyDescent="0.2">
      <c r="A47" s="86"/>
      <c r="B47" s="559" t="s">
        <v>46</v>
      </c>
      <c r="C47" s="560"/>
      <c r="I47" s="199"/>
      <c r="L47" s="199"/>
    </row>
    <row r="48" spans="1:13" ht="15.75" customHeight="1" x14ac:dyDescent="0.2">
      <c r="A48" s="86"/>
      <c r="B48" s="324" t="s">
        <v>55</v>
      </c>
      <c r="C48" s="325">
        <f>35600+C64+L64</f>
        <v>59650</v>
      </c>
      <c r="D48" s="8"/>
      <c r="E48" s="167"/>
      <c r="I48" s="199"/>
      <c r="L48" s="36"/>
    </row>
    <row r="49" spans="1:61" ht="17.25" customHeight="1" x14ac:dyDescent="0.2">
      <c r="A49" s="86"/>
      <c r="B49" s="326" t="s">
        <v>56</v>
      </c>
      <c r="C49" s="327">
        <v>6000</v>
      </c>
      <c r="I49" s="205"/>
    </row>
    <row r="50" spans="1:61" ht="15.75" customHeight="1" x14ac:dyDescent="0.2">
      <c r="A50" s="86"/>
      <c r="B50" s="328" t="s">
        <v>57</v>
      </c>
      <c r="C50" s="325">
        <f>C48/C49</f>
        <v>9.9416666666666664</v>
      </c>
      <c r="E50" s="167"/>
      <c r="H50" s="209"/>
      <c r="I50" s="199"/>
      <c r="K50" s="209"/>
    </row>
    <row r="51" spans="1:61" ht="16.5" customHeight="1" x14ac:dyDescent="0.2">
      <c r="A51" s="86"/>
      <c r="B51" s="559" t="s">
        <v>58</v>
      </c>
      <c r="C51" s="560"/>
      <c r="E51" s="167"/>
      <c r="I51" s="215"/>
      <c r="AD51" s="43"/>
    </row>
    <row r="52" spans="1:61" ht="15.75" customHeight="1" x14ac:dyDescent="0.2">
      <c r="A52" s="86"/>
      <c r="B52" s="329" t="s">
        <v>59</v>
      </c>
      <c r="C52" s="327">
        <f>(17000/300)*91*1.6</f>
        <v>8250.6666666666661</v>
      </c>
      <c r="I52" s="206"/>
      <c r="L52" s="202"/>
      <c r="N52" s="212"/>
    </row>
    <row r="53" spans="1:61" ht="15.75" customHeight="1" x14ac:dyDescent="0.2">
      <c r="A53" s="86"/>
      <c r="B53" s="330" t="s">
        <v>60</v>
      </c>
      <c r="C53" s="331">
        <f>C52*C50</f>
        <v>82025.377777777772</v>
      </c>
      <c r="I53" s="90"/>
      <c r="L53" s="189"/>
      <c r="M53" s="8"/>
    </row>
    <row r="54" spans="1:61" ht="15.75" customHeight="1" x14ac:dyDescent="0.2">
      <c r="A54" s="86"/>
      <c r="B54" s="332" t="s">
        <v>61</v>
      </c>
      <c r="C54" s="333">
        <f>C53*B20</f>
        <v>219.82801244444443</v>
      </c>
      <c r="D54" s="8"/>
      <c r="F54" s="36"/>
      <c r="I54" s="207"/>
      <c r="L54" s="208"/>
      <c r="M54" s="45"/>
      <c r="N54" s="211"/>
      <c r="Q54" s="8"/>
      <c r="R54" s="8"/>
      <c r="S54" s="8"/>
      <c r="T54" s="8"/>
      <c r="U54" s="8"/>
      <c r="AC54" s="8"/>
      <c r="AD54" s="8"/>
      <c r="AH54" s="8"/>
      <c r="AI54" s="8"/>
      <c r="AJ54" s="8"/>
    </row>
    <row r="55" spans="1:61" ht="15.75" customHeight="1" x14ac:dyDescent="0.15">
      <c r="B55" s="8"/>
      <c r="C55" s="39"/>
      <c r="D55" s="8"/>
      <c r="F55" s="36"/>
      <c r="H55" s="8"/>
      <c r="I55" s="8"/>
      <c r="K55" s="8"/>
      <c r="L55" s="8"/>
      <c r="M55" s="8"/>
      <c r="N55" s="8"/>
      <c r="Q55" s="8"/>
      <c r="R55" s="8"/>
      <c r="S55" s="8"/>
      <c r="T55" s="8"/>
      <c r="U55" s="8"/>
      <c r="AC55" s="8"/>
      <c r="AD55" s="8"/>
      <c r="AH55" s="8"/>
      <c r="AI55" s="8"/>
      <c r="AJ55" s="8"/>
    </row>
    <row r="56" spans="1:61" ht="15.75" customHeight="1" x14ac:dyDescent="0.15">
      <c r="C56" s="39"/>
      <c r="D56" s="8"/>
      <c r="E56" s="8"/>
      <c r="F56" s="187"/>
      <c r="G56" s="8"/>
      <c r="H56" s="8"/>
      <c r="I56" s="8"/>
      <c r="K56" s="218"/>
      <c r="L56" s="8"/>
      <c r="M56" s="8"/>
      <c r="N56" s="8"/>
      <c r="O56" s="8"/>
      <c r="P56" s="8"/>
      <c r="Q56" s="8"/>
      <c r="R56" s="8"/>
      <c r="S56" s="8"/>
      <c r="T56" s="8"/>
      <c r="U56" s="8"/>
      <c r="AB56" s="8"/>
      <c r="AC56" s="8"/>
      <c r="AD56" s="8"/>
      <c r="AH56" s="8"/>
      <c r="AI56" s="8"/>
      <c r="AJ56" s="8"/>
    </row>
    <row r="57" spans="1:61" ht="15.75" customHeight="1" x14ac:dyDescent="0.15">
      <c r="C57" s="39"/>
      <c r="D57" s="517"/>
      <c r="E57" s="8"/>
      <c r="F57" s="8"/>
      <c r="G57" s="8"/>
      <c r="H57" s="8"/>
      <c r="I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AB57" s="8"/>
      <c r="AC57" s="8"/>
      <c r="AD57" s="8"/>
      <c r="AH57" s="8"/>
      <c r="AI57" s="8"/>
      <c r="AJ57" s="8"/>
    </row>
    <row r="58" spans="1:61" ht="27" customHeight="1" x14ac:dyDescent="0.2">
      <c r="B58" s="602" t="s">
        <v>62</v>
      </c>
      <c r="C58" s="603"/>
      <c r="D58" s="603"/>
      <c r="E58" s="603"/>
      <c r="F58" s="603"/>
      <c r="G58" s="603"/>
      <c r="H58" s="603"/>
      <c r="I58" s="604"/>
      <c r="J58" s="8"/>
      <c r="K58" s="602" t="s">
        <v>63</v>
      </c>
      <c r="L58" s="603"/>
      <c r="M58" s="603"/>
      <c r="N58" s="603"/>
      <c r="O58" s="603"/>
      <c r="P58" s="603"/>
      <c r="Q58" s="603"/>
      <c r="R58" s="603"/>
      <c r="S58" s="603"/>
      <c r="T58" s="603"/>
      <c r="U58" s="604"/>
      <c r="V58" s="38"/>
      <c r="W58" s="562" t="s">
        <v>64</v>
      </c>
      <c r="X58" s="562"/>
      <c r="Y58" s="562"/>
      <c r="Z58" s="562"/>
      <c r="AA58" s="562"/>
      <c r="AB58" s="562"/>
      <c r="AC58" s="562"/>
      <c r="AD58" s="562"/>
      <c r="AE58" s="44"/>
      <c r="AF58" s="588" t="s">
        <v>65</v>
      </c>
      <c r="AG58" s="588"/>
      <c r="AH58" s="588"/>
      <c r="AI58" s="588"/>
      <c r="AJ58" s="588"/>
      <c r="AK58" s="588"/>
      <c r="AL58" s="588"/>
    </row>
    <row r="59" spans="1:61" ht="15.75" customHeight="1" x14ac:dyDescent="0.15">
      <c r="B59" s="19"/>
      <c r="C59" s="8"/>
      <c r="D59" s="8"/>
      <c r="E59" s="8"/>
      <c r="F59" s="8"/>
      <c r="G59" s="8"/>
      <c r="H59" s="8"/>
      <c r="I59" s="18"/>
      <c r="J59" s="8"/>
      <c r="K59" s="19"/>
      <c r="L59" s="8"/>
      <c r="M59" s="8"/>
      <c r="N59" s="8"/>
      <c r="O59" s="8"/>
      <c r="P59" s="8"/>
      <c r="Q59" s="8"/>
      <c r="R59" s="8"/>
      <c r="S59" s="8"/>
      <c r="T59" s="8"/>
      <c r="U59" s="18"/>
      <c r="V59" s="8"/>
      <c r="W59" s="19"/>
      <c r="AB59" s="8"/>
      <c r="AC59" s="8"/>
      <c r="AD59" s="8"/>
      <c r="AE59" s="44"/>
      <c r="AF59" s="8"/>
      <c r="AL59" s="18"/>
      <c r="AM59" s="8"/>
    </row>
    <row r="60" spans="1:61" s="50" customFormat="1" ht="15.75" customHeight="1" x14ac:dyDescent="0.15">
      <c r="A60" s="7"/>
      <c r="B60" s="334" t="s">
        <v>66</v>
      </c>
      <c r="C60" s="47"/>
      <c r="D60" s="47"/>
      <c r="E60" s="47"/>
      <c r="F60" s="47"/>
      <c r="G60" s="47"/>
      <c r="H60" s="47"/>
      <c r="I60" s="48"/>
      <c r="J60" s="8"/>
      <c r="K60" s="46" t="s">
        <v>66</v>
      </c>
      <c r="L60" s="47"/>
      <c r="M60" s="47"/>
      <c r="N60" s="47"/>
      <c r="O60" s="47"/>
      <c r="P60" s="47"/>
      <c r="Q60" s="47"/>
      <c r="R60" s="47"/>
      <c r="S60" s="47"/>
      <c r="T60" s="47"/>
      <c r="U60" s="48"/>
      <c r="V60" s="8"/>
      <c r="W60" s="49" t="s">
        <v>66</v>
      </c>
      <c r="AD60" s="47"/>
      <c r="AE60" s="44"/>
      <c r="AF60" s="8"/>
      <c r="AG60" s="8"/>
      <c r="AH60" s="8"/>
      <c r="AI60" s="8"/>
      <c r="AJ60" s="8"/>
      <c r="AK60" s="8"/>
      <c r="AL60" s="18"/>
      <c r="AM60" s="8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ht="18.75" customHeight="1" x14ac:dyDescent="0.2">
      <c r="B61" s="19"/>
      <c r="C61" s="8"/>
      <c r="D61" s="8"/>
      <c r="E61" s="8"/>
      <c r="F61" s="8"/>
      <c r="G61" s="8"/>
      <c r="H61" s="8"/>
      <c r="I61" s="18"/>
      <c r="J61" s="8"/>
      <c r="K61" s="19"/>
      <c r="L61" s="8"/>
      <c r="M61" s="8"/>
      <c r="N61" s="8"/>
      <c r="O61" s="8"/>
      <c r="P61" s="8"/>
      <c r="Q61" s="8"/>
      <c r="R61" s="8"/>
      <c r="S61" s="8"/>
      <c r="T61" s="8"/>
      <c r="U61" s="18"/>
      <c r="V61" s="8"/>
      <c r="W61" s="19"/>
      <c r="AD61" s="8"/>
      <c r="AE61" s="44"/>
      <c r="AF61" s="92"/>
      <c r="AG61" s="389"/>
      <c r="AH61" s="389"/>
      <c r="AI61" s="589" t="s">
        <v>67</v>
      </c>
      <c r="AJ61" s="590"/>
      <c r="AK61" s="591"/>
      <c r="AL61" s="339"/>
      <c r="AM61" s="8"/>
    </row>
    <row r="62" spans="1:61" s="295" customFormat="1" ht="27.75" customHeight="1" x14ac:dyDescent="0.2">
      <c r="B62" s="566" t="s">
        <v>68</v>
      </c>
      <c r="C62" s="567"/>
      <c r="D62" s="543"/>
      <c r="E62" s="566" t="s">
        <v>69</v>
      </c>
      <c r="F62" s="567"/>
      <c r="G62" s="543"/>
      <c r="H62" s="566" t="s">
        <v>70</v>
      </c>
      <c r="I62" s="567"/>
      <c r="J62" s="543"/>
      <c r="K62" s="563" t="s">
        <v>71</v>
      </c>
      <c r="L62" s="564"/>
      <c r="M62" s="543"/>
      <c r="N62" s="563" t="s">
        <v>72</v>
      </c>
      <c r="O62" s="564"/>
      <c r="P62" s="543"/>
      <c r="Q62" s="566" t="s">
        <v>73</v>
      </c>
      <c r="R62" s="567"/>
      <c r="S62" s="543"/>
      <c r="T62" s="563" t="s">
        <v>74</v>
      </c>
      <c r="U62" s="564"/>
      <c r="V62" s="543"/>
      <c r="W62" s="566" t="s">
        <v>75</v>
      </c>
      <c r="X62" s="567"/>
      <c r="Z62" s="572" t="s">
        <v>76</v>
      </c>
      <c r="AA62" s="573"/>
      <c r="AC62" s="557" t="s">
        <v>77</v>
      </c>
      <c r="AD62" s="558"/>
      <c r="AE62" s="544"/>
      <c r="AF62" s="598" t="s">
        <v>78</v>
      </c>
      <c r="AG62" s="598"/>
      <c r="AH62" s="543"/>
      <c r="AI62" s="259" t="s">
        <v>79</v>
      </c>
      <c r="AJ62" s="545"/>
      <c r="AK62" s="546">
        <f>H25/H24</f>
        <v>1.4355670103092784</v>
      </c>
      <c r="AL62" s="545"/>
      <c r="AM62" s="543"/>
    </row>
    <row r="63" spans="1:61" ht="15.75" customHeight="1" x14ac:dyDescent="0.2">
      <c r="A63" s="86"/>
      <c r="B63" s="581" t="s">
        <v>46</v>
      </c>
      <c r="C63" s="582"/>
      <c r="D63" s="92"/>
      <c r="E63" s="581" t="s">
        <v>80</v>
      </c>
      <c r="F63" s="582"/>
      <c r="G63" s="232"/>
      <c r="H63" s="581" t="s">
        <v>81</v>
      </c>
      <c r="I63" s="582"/>
      <c r="J63" s="92"/>
      <c r="K63" s="559" t="s">
        <v>46</v>
      </c>
      <c r="L63" s="560"/>
      <c r="M63" s="92"/>
      <c r="N63" s="559" t="s">
        <v>82</v>
      </c>
      <c r="O63" s="560"/>
      <c r="P63" s="92"/>
      <c r="Q63" s="581" t="s">
        <v>81</v>
      </c>
      <c r="R63" s="582"/>
      <c r="S63" s="92"/>
      <c r="T63" s="559" t="s">
        <v>83</v>
      </c>
      <c r="U63" s="560"/>
      <c r="V63" s="92"/>
      <c r="W63" s="559" t="s">
        <v>83</v>
      </c>
      <c r="X63" s="560"/>
      <c r="Y63" s="86"/>
      <c r="Z63" s="559" t="s">
        <v>81</v>
      </c>
      <c r="AA63" s="560"/>
      <c r="AB63" s="92"/>
      <c r="AC63" s="571" t="s">
        <v>80</v>
      </c>
      <c r="AD63" s="571"/>
      <c r="AE63" s="18"/>
      <c r="AF63" s="432" t="s">
        <v>84</v>
      </c>
      <c r="AG63" s="239">
        <v>100</v>
      </c>
      <c r="AH63" s="347"/>
      <c r="AI63" s="259" t="s">
        <v>85</v>
      </c>
      <c r="AJ63" s="320"/>
      <c r="AK63" s="433">
        <f>AK62*6000</f>
        <v>8613.4020618556697</v>
      </c>
      <c r="AL63" s="339"/>
      <c r="AM63" s="8"/>
    </row>
    <row r="64" spans="1:61" ht="16" x14ac:dyDescent="0.2">
      <c r="A64" s="86"/>
      <c r="B64" s="324" t="s">
        <v>55</v>
      </c>
      <c r="C64" s="331">
        <v>21250</v>
      </c>
      <c r="D64" s="92"/>
      <c r="E64" s="324" t="s">
        <v>55</v>
      </c>
      <c r="F64" s="331">
        <f>30100+10300</f>
        <v>40400</v>
      </c>
      <c r="G64" s="92"/>
      <c r="H64" s="324" t="s">
        <v>55</v>
      </c>
      <c r="I64" s="331">
        <v>60500</v>
      </c>
      <c r="J64" s="92"/>
      <c r="K64" s="380" t="s">
        <v>55</v>
      </c>
      <c r="L64" s="331">
        <v>2800</v>
      </c>
      <c r="M64" s="92"/>
      <c r="N64" s="380" t="s">
        <v>55</v>
      </c>
      <c r="O64" s="331">
        <v>4200</v>
      </c>
      <c r="P64" s="92"/>
      <c r="Q64" s="381" t="s">
        <v>55</v>
      </c>
      <c r="R64" s="382">
        <v>8270</v>
      </c>
      <c r="S64" s="92"/>
      <c r="T64" s="380" t="s">
        <v>55</v>
      </c>
      <c r="U64" s="331">
        <v>730</v>
      </c>
      <c r="V64" s="92"/>
      <c r="W64" s="380" t="s">
        <v>55</v>
      </c>
      <c r="X64" s="382">
        <v>15000</v>
      </c>
      <c r="Y64" s="92"/>
      <c r="Z64" s="324" t="s">
        <v>55</v>
      </c>
      <c r="AA64" s="392">
        <v>107000</v>
      </c>
      <c r="AB64" s="86"/>
      <c r="AC64" s="330" t="s">
        <v>55</v>
      </c>
      <c r="AD64" s="393">
        <v>42700</v>
      </c>
      <c r="AE64" s="42"/>
      <c r="AF64" s="311" t="s">
        <v>86</v>
      </c>
      <c r="AG64" s="434">
        <f>AG63*2</f>
        <v>200</v>
      </c>
      <c r="AH64" s="347"/>
      <c r="AI64" s="259" t="s">
        <v>87</v>
      </c>
      <c r="AJ64" s="320"/>
      <c r="AK64" s="435">
        <f>AK63*B20</f>
        <v>23.083917525773195</v>
      </c>
      <c r="AL64" s="339"/>
      <c r="AM64" s="8"/>
    </row>
    <row r="65" spans="1:40" ht="16.5" customHeight="1" x14ac:dyDescent="0.2">
      <c r="A65" s="86"/>
      <c r="B65" s="335" t="s">
        <v>88</v>
      </c>
      <c r="C65" s="336">
        <f>C64/F14</f>
        <v>708.33333333333337</v>
      </c>
      <c r="D65" s="92"/>
      <c r="E65" s="335" t="s">
        <v>88</v>
      </c>
      <c r="F65" s="327">
        <f>F64/G14</f>
        <v>1346.6666666666667</v>
      </c>
      <c r="G65" s="92"/>
      <c r="H65" s="335" t="s">
        <v>88</v>
      </c>
      <c r="I65" s="327">
        <f>I64/G14</f>
        <v>2016.6666666666667</v>
      </c>
      <c r="J65" s="92"/>
      <c r="K65" s="383" t="s">
        <v>88</v>
      </c>
      <c r="L65" s="384">
        <f>L64/F14</f>
        <v>93.333333333333329</v>
      </c>
      <c r="M65" s="92"/>
      <c r="N65" s="383" t="s">
        <v>88</v>
      </c>
      <c r="O65" s="327">
        <f>O64/G14</f>
        <v>140</v>
      </c>
      <c r="P65" s="92"/>
      <c r="Q65" s="383" t="s">
        <v>88</v>
      </c>
      <c r="R65" s="327">
        <f>R64/G14</f>
        <v>275.66666666666669</v>
      </c>
      <c r="S65" s="92"/>
      <c r="T65" s="383" t="s">
        <v>88</v>
      </c>
      <c r="U65" s="384">
        <f>U64/G14</f>
        <v>24.333333333333332</v>
      </c>
      <c r="V65" s="92"/>
      <c r="W65" s="383" t="s">
        <v>88</v>
      </c>
      <c r="X65" s="384">
        <f>X64/G14</f>
        <v>500</v>
      </c>
      <c r="Y65" s="92"/>
      <c r="Z65" s="338" t="s">
        <v>89</v>
      </c>
      <c r="AA65" s="327">
        <v>1000</v>
      </c>
      <c r="AB65" s="86"/>
      <c r="AC65" s="338" t="s">
        <v>89</v>
      </c>
      <c r="AD65" s="394">
        <v>1800</v>
      </c>
      <c r="AE65" s="42"/>
      <c r="AF65" s="436" t="s">
        <v>90</v>
      </c>
      <c r="AG65" s="241">
        <v>30</v>
      </c>
      <c r="AH65" s="347"/>
      <c r="AI65" s="437" t="s">
        <v>91</v>
      </c>
      <c r="AJ65" s="438"/>
      <c r="AK65" s="439">
        <f>AK64*C50</f>
        <v>229.49261340206183</v>
      </c>
      <c r="AL65" s="339"/>
      <c r="AM65" s="8"/>
    </row>
    <row r="66" spans="1:40" ht="17" x14ac:dyDescent="0.2">
      <c r="A66" s="86"/>
      <c r="B66" s="330" t="s">
        <v>92</v>
      </c>
      <c r="C66" s="337">
        <v>23</v>
      </c>
      <c r="D66" s="92"/>
      <c r="E66" s="330" t="s">
        <v>92</v>
      </c>
      <c r="F66" s="337">
        <v>0.2</v>
      </c>
      <c r="G66" s="92"/>
      <c r="H66" s="330" t="s">
        <v>92</v>
      </c>
      <c r="I66" s="337">
        <v>29</v>
      </c>
      <c r="J66" s="92"/>
      <c r="K66" s="380" t="s">
        <v>92</v>
      </c>
      <c r="L66" s="330">
        <v>11.5</v>
      </c>
      <c r="M66" s="92"/>
      <c r="N66" s="380" t="s">
        <v>92</v>
      </c>
      <c r="O66" s="330">
        <v>34</v>
      </c>
      <c r="P66" s="92"/>
      <c r="Q66" s="380" t="s">
        <v>92</v>
      </c>
      <c r="R66" s="330">
        <v>60</v>
      </c>
      <c r="S66" s="92"/>
      <c r="T66" s="380" t="s">
        <v>92</v>
      </c>
      <c r="U66" s="330">
        <v>62</v>
      </c>
      <c r="V66" s="92"/>
      <c r="W66" s="380" t="s">
        <v>92</v>
      </c>
      <c r="X66" s="330">
        <v>62</v>
      </c>
      <c r="Y66" s="92"/>
      <c r="Z66" s="328" t="s">
        <v>57</v>
      </c>
      <c r="AA66" s="395">
        <f>ROUND((AA64/AA65),0)</f>
        <v>107</v>
      </c>
      <c r="AB66" s="86"/>
      <c r="AC66" s="328" t="s">
        <v>57</v>
      </c>
      <c r="AD66" s="396">
        <f>AD64/AD65</f>
        <v>23.722222222222221</v>
      </c>
      <c r="AE66" s="44"/>
      <c r="AF66" s="440" t="s">
        <v>93</v>
      </c>
      <c r="AG66" s="441">
        <f>(AA64+AD64)/AG65</f>
        <v>4990</v>
      </c>
      <c r="AH66" s="442"/>
      <c r="AI66" s="92"/>
      <c r="AJ66" s="92"/>
      <c r="AK66" s="92"/>
      <c r="AL66" s="339"/>
      <c r="AM66" s="8"/>
    </row>
    <row r="67" spans="1:40" ht="19.5" customHeight="1" x14ac:dyDescent="0.2">
      <c r="A67" s="86"/>
      <c r="B67" s="338" t="s">
        <v>94</v>
      </c>
      <c r="C67" s="339">
        <v>46</v>
      </c>
      <c r="D67" s="92"/>
      <c r="E67" s="338" t="s">
        <v>94</v>
      </c>
      <c r="F67" s="339">
        <v>0.4</v>
      </c>
      <c r="G67" s="92"/>
      <c r="H67" s="338" t="s">
        <v>94</v>
      </c>
      <c r="I67" s="339">
        <f>I66*2</f>
        <v>58</v>
      </c>
      <c r="J67" s="92"/>
      <c r="K67" s="347" t="s">
        <v>94</v>
      </c>
      <c r="L67" s="338">
        <f>L66*2</f>
        <v>23</v>
      </c>
      <c r="M67" s="92"/>
      <c r="N67" s="347" t="s">
        <v>94</v>
      </c>
      <c r="O67" s="338">
        <f>O66*2</f>
        <v>68</v>
      </c>
      <c r="P67" s="92"/>
      <c r="Q67" s="347" t="s">
        <v>94</v>
      </c>
      <c r="R67" s="338">
        <f>R66*2</f>
        <v>120</v>
      </c>
      <c r="S67" s="92"/>
      <c r="T67" s="347" t="s">
        <v>94</v>
      </c>
      <c r="U67" s="338">
        <f>U66*2</f>
        <v>124</v>
      </c>
      <c r="V67" s="92"/>
      <c r="W67" s="347" t="s">
        <v>94</v>
      </c>
      <c r="X67" s="338">
        <f>X66*2</f>
        <v>124</v>
      </c>
      <c r="Y67" s="92"/>
      <c r="Z67" s="559" t="s">
        <v>95</v>
      </c>
      <c r="AA67" s="560"/>
      <c r="AB67" s="92"/>
      <c r="AC67" s="571" t="s">
        <v>95</v>
      </c>
      <c r="AD67" s="571"/>
      <c r="AE67" s="159"/>
      <c r="AF67" s="443" t="s">
        <v>96</v>
      </c>
      <c r="AG67" s="241">
        <f>C16*AG63</f>
        <v>0.15140000000000001</v>
      </c>
      <c r="AH67" s="347"/>
      <c r="AI67" s="592" t="s">
        <v>97</v>
      </c>
      <c r="AJ67" s="593"/>
      <c r="AK67" s="594"/>
      <c r="AL67" s="339"/>
      <c r="AM67" s="8"/>
    </row>
    <row r="68" spans="1:40" ht="15.75" customHeight="1" x14ac:dyDescent="0.2">
      <c r="A68" s="86"/>
      <c r="B68" s="340" t="s">
        <v>98</v>
      </c>
      <c r="C68" s="331">
        <f>C67*C65</f>
        <v>32583.333333333336</v>
      </c>
      <c r="D68" s="92"/>
      <c r="E68" s="341" t="s">
        <v>98</v>
      </c>
      <c r="F68" s="342">
        <f>F67*F65</f>
        <v>538.66666666666674</v>
      </c>
      <c r="G68" s="92"/>
      <c r="H68" s="341" t="s">
        <v>98</v>
      </c>
      <c r="I68" s="342">
        <f>I65*I67</f>
        <v>116966.66666666667</v>
      </c>
      <c r="J68" s="92"/>
      <c r="K68" s="385" t="s">
        <v>98</v>
      </c>
      <c r="L68" s="342">
        <f>L65*L67</f>
        <v>2146.6666666666665</v>
      </c>
      <c r="M68" s="92"/>
      <c r="N68" s="386" t="s">
        <v>98</v>
      </c>
      <c r="O68" s="342">
        <f>O65*O67</f>
        <v>9520</v>
      </c>
      <c r="P68" s="92"/>
      <c r="Q68" s="386" t="s">
        <v>98</v>
      </c>
      <c r="R68" s="342">
        <f>R67*R65</f>
        <v>33080</v>
      </c>
      <c r="S68" s="92"/>
      <c r="T68" s="386" t="s">
        <v>98</v>
      </c>
      <c r="U68" s="342">
        <f>U65*U67</f>
        <v>3017.333333333333</v>
      </c>
      <c r="V68" s="92"/>
      <c r="W68" s="386" t="s">
        <v>98</v>
      </c>
      <c r="X68" s="342">
        <f>X67*X65</f>
        <v>62000</v>
      </c>
      <c r="Y68" s="92"/>
      <c r="Z68" s="397" t="s">
        <v>99</v>
      </c>
      <c r="AA68" s="327">
        <f>1280-H28</f>
        <v>1080.2</v>
      </c>
      <c r="AB68" s="92"/>
      <c r="AC68" s="397" t="s">
        <v>99</v>
      </c>
      <c r="AD68" s="398">
        <f>2700-H32</f>
        <v>2340</v>
      </c>
      <c r="AE68" s="44"/>
      <c r="AF68" s="443" t="s">
        <v>100</v>
      </c>
      <c r="AG68" s="241">
        <f>C17*AG63</f>
        <v>0.1124</v>
      </c>
      <c r="AH68" s="347"/>
      <c r="AI68" s="338" t="s">
        <v>79</v>
      </c>
      <c r="AJ68" s="339"/>
      <c r="AK68" s="431">
        <f>AK69/1000</f>
        <v>0.19980000000000001</v>
      </c>
      <c r="AL68" s="339"/>
      <c r="AM68" s="8"/>
      <c r="AN68" s="163"/>
    </row>
    <row r="69" spans="1:40" ht="15.75" customHeight="1" x14ac:dyDescent="0.2">
      <c r="A69" s="92"/>
      <c r="B69" s="580" t="s">
        <v>95</v>
      </c>
      <c r="C69" s="580"/>
      <c r="D69" s="92"/>
      <c r="E69" s="578" t="s">
        <v>95</v>
      </c>
      <c r="F69" s="579"/>
      <c r="G69" s="92"/>
      <c r="H69" s="578" t="s">
        <v>95</v>
      </c>
      <c r="I69" s="579"/>
      <c r="J69" s="92"/>
      <c r="K69" s="578" t="s">
        <v>95</v>
      </c>
      <c r="L69" s="579"/>
      <c r="M69" s="92"/>
      <c r="N69" s="578" t="s">
        <v>95</v>
      </c>
      <c r="O69" s="579"/>
      <c r="P69" s="92"/>
      <c r="Q69" s="578" t="s">
        <v>95</v>
      </c>
      <c r="R69" s="579"/>
      <c r="S69" s="92"/>
      <c r="T69" s="581" t="s">
        <v>95</v>
      </c>
      <c r="U69" s="582"/>
      <c r="V69" s="92"/>
      <c r="W69" s="581" t="s">
        <v>95</v>
      </c>
      <c r="X69" s="582"/>
      <c r="Y69" s="92"/>
      <c r="Z69" s="330" t="s">
        <v>60</v>
      </c>
      <c r="AA69" s="331">
        <f>AA68*AA66</f>
        <v>115581.40000000001</v>
      </c>
      <c r="AB69" s="92"/>
      <c r="AC69" s="341" t="s">
        <v>60</v>
      </c>
      <c r="AD69" s="399">
        <f>AD68*AD66</f>
        <v>55510</v>
      </c>
      <c r="AE69" s="44"/>
      <c r="AF69" s="443" t="s">
        <v>101</v>
      </c>
      <c r="AG69" s="241">
        <f>AG67+AG68</f>
        <v>0.26380000000000003</v>
      </c>
      <c r="AH69" s="347"/>
      <c r="AI69" s="259" t="s">
        <v>85</v>
      </c>
      <c r="AJ69" s="320"/>
      <c r="AK69" s="433">
        <f>H28</f>
        <v>199.8</v>
      </c>
      <c r="AL69" s="339"/>
      <c r="AM69" s="8"/>
    </row>
    <row r="70" spans="1:40" ht="29.25" customHeight="1" x14ac:dyDescent="0.2">
      <c r="A70" s="86"/>
      <c r="B70" s="343" t="s">
        <v>102</v>
      </c>
      <c r="C70" s="344">
        <f>($C$14+$C$15)/2*(C67*$D$25)</f>
        <v>2.3870089999999997E-2</v>
      </c>
      <c r="D70" s="92"/>
      <c r="E70" s="345" t="s">
        <v>103</v>
      </c>
      <c r="F70" s="346">
        <f>F66*C16</f>
        <v>3.0279999999999999E-4</v>
      </c>
      <c r="G70" s="347"/>
      <c r="H70" s="345" t="s">
        <v>102</v>
      </c>
      <c r="I70" s="344">
        <f>($C$14+$C$15)/2*(I67*$D$25)</f>
        <v>3.009707E-2</v>
      </c>
      <c r="J70" s="92"/>
      <c r="K70" s="345" t="s">
        <v>102</v>
      </c>
      <c r="L70" s="344">
        <f>($C$14+$C$15)/2*(L67*$D$25)</f>
        <v>1.1935044999999998E-2</v>
      </c>
      <c r="M70" s="92"/>
      <c r="N70" s="345" t="s">
        <v>102</v>
      </c>
      <c r="O70" s="344">
        <f>($C$14+$C$15)/2*(O67*$D$25)</f>
        <v>3.528622E-2</v>
      </c>
      <c r="P70" s="92"/>
      <c r="Q70" s="345" t="s">
        <v>102</v>
      </c>
      <c r="R70" s="344">
        <f>($C$14+$C$15)/2*(R67*$D$25)</f>
        <v>6.2269799999999993E-2</v>
      </c>
      <c r="S70" s="92"/>
      <c r="T70" s="345" t="s">
        <v>102</v>
      </c>
      <c r="U70" s="344">
        <f>($C$14+$C$15)/2*(U67*$D$25)</f>
        <v>6.4345459999999993E-2</v>
      </c>
      <c r="V70" s="92"/>
      <c r="W70" s="345" t="s">
        <v>102</v>
      </c>
      <c r="X70" s="344">
        <f>($C$14+$C$15)/2*(X67*$D$25)</f>
        <v>6.4345459999999993E-2</v>
      </c>
      <c r="Y70" s="92"/>
      <c r="Z70" s="332" t="s">
        <v>61</v>
      </c>
      <c r="AA70" s="333">
        <f>AA69*B20</f>
        <v>309.75815200000005</v>
      </c>
      <c r="AB70" s="92"/>
      <c r="AC70" s="359" t="s">
        <v>61</v>
      </c>
      <c r="AD70" s="400">
        <f>AD69*B20</f>
        <v>148.76680000000002</v>
      </c>
      <c r="AE70" s="44"/>
      <c r="AF70" s="444" t="s">
        <v>104</v>
      </c>
      <c r="AG70" s="445">
        <f>AG69*AG66</f>
        <v>1316.3620000000001</v>
      </c>
      <c r="AH70" s="347"/>
      <c r="AI70" s="259" t="s">
        <v>87</v>
      </c>
      <c r="AJ70" s="320"/>
      <c r="AK70" s="435">
        <f>AK69*B20</f>
        <v>0.53546400000000005</v>
      </c>
      <c r="AL70" s="339"/>
      <c r="AM70" s="8"/>
    </row>
    <row r="71" spans="1:40" ht="34" x14ac:dyDescent="0.2">
      <c r="A71" s="86"/>
      <c r="B71" s="348" t="s">
        <v>105</v>
      </c>
      <c r="C71" s="349">
        <f>($C$16+$C$17)/2*(C67*$D$24)</f>
        <v>2.0022419999999999E-2</v>
      </c>
      <c r="D71" s="264"/>
      <c r="E71" s="350" t="s">
        <v>106</v>
      </c>
      <c r="F71" s="351">
        <f>F66*C17</f>
        <v>2.2480000000000002E-4</v>
      </c>
      <c r="G71" s="352"/>
      <c r="H71" s="350" t="s">
        <v>105</v>
      </c>
      <c r="I71" s="349">
        <f>($C$16+$C$17)/2*(I67*$D$24)</f>
        <v>2.524566E-2</v>
      </c>
      <c r="J71" s="92"/>
      <c r="K71" s="350" t="s">
        <v>105</v>
      </c>
      <c r="L71" s="349">
        <f>($C$16+$C$17)/2*(L67*$D$24)</f>
        <v>1.001121E-2</v>
      </c>
      <c r="M71" s="264"/>
      <c r="N71" s="350" t="s">
        <v>105</v>
      </c>
      <c r="O71" s="349">
        <f>($C$16+$C$17)/2*(O67*$D$24)</f>
        <v>2.9598359999999997E-2</v>
      </c>
      <c r="P71" s="264"/>
      <c r="Q71" s="350" t="s">
        <v>105</v>
      </c>
      <c r="R71" s="349">
        <f>($C$16+$C$17)/2*(R67*$D$24)</f>
        <v>5.2232399999999998E-2</v>
      </c>
      <c r="S71" s="264"/>
      <c r="T71" s="350" t="s">
        <v>105</v>
      </c>
      <c r="U71" s="349">
        <f>($C$16+$C$17)/2*(U67*$D$24)</f>
        <v>5.3973479999999997E-2</v>
      </c>
      <c r="V71" s="92"/>
      <c r="W71" s="350" t="s">
        <v>105</v>
      </c>
      <c r="X71" s="349">
        <f>($C$16+$C$17)/2*(X67*$D$24)</f>
        <v>5.3973479999999997E-2</v>
      </c>
      <c r="Y71" s="92"/>
      <c r="Z71" s="92"/>
      <c r="AA71" s="92"/>
      <c r="AB71" s="86"/>
      <c r="AC71" s="86"/>
      <c r="AD71" s="92"/>
      <c r="AE71" s="44"/>
      <c r="AF71" s="446" t="s">
        <v>91</v>
      </c>
      <c r="AG71" s="447">
        <f>AG70*B20</f>
        <v>3.5278501600000003</v>
      </c>
      <c r="AH71" s="160"/>
      <c r="AI71" s="437" t="s">
        <v>91</v>
      </c>
      <c r="AJ71" s="438"/>
      <c r="AK71" s="439">
        <f>AK70*AA66</f>
        <v>57.294648000000002</v>
      </c>
      <c r="AL71" s="339"/>
      <c r="AM71" s="8"/>
    </row>
    <row r="72" spans="1:40" ht="16" x14ac:dyDescent="0.2">
      <c r="A72" s="86"/>
      <c r="B72" s="353" t="s">
        <v>107</v>
      </c>
      <c r="C72" s="354">
        <f>C70+C71</f>
        <v>4.3892509999999996E-2</v>
      </c>
      <c r="D72" s="92"/>
      <c r="E72" s="353" t="s">
        <v>107</v>
      </c>
      <c r="F72" s="355">
        <f>SUM(F70:F71)</f>
        <v>5.2760000000000003E-4</v>
      </c>
      <c r="G72" s="347"/>
      <c r="H72" s="353" t="s">
        <v>107</v>
      </c>
      <c r="I72" s="354">
        <f t="shared" ref="I72" si="0">SUM(I70:I71)</f>
        <v>5.534273E-2</v>
      </c>
      <c r="J72" s="92"/>
      <c r="K72" s="353" t="s">
        <v>107</v>
      </c>
      <c r="L72" s="387">
        <f>L70+L71</f>
        <v>2.1946254999999998E-2</v>
      </c>
      <c r="M72" s="92"/>
      <c r="N72" s="353" t="s">
        <v>107</v>
      </c>
      <c r="O72" s="387">
        <f>SUM(O70:O71)</f>
        <v>6.4884579999999997E-2</v>
      </c>
      <c r="P72" s="92"/>
      <c r="Q72" s="353" t="s">
        <v>107</v>
      </c>
      <c r="R72" s="387">
        <f t="shared" ref="R72" si="1">SUM(R70:R71)</f>
        <v>0.1145022</v>
      </c>
      <c r="S72" s="92"/>
      <c r="T72" s="353" t="s">
        <v>107</v>
      </c>
      <c r="U72" s="387">
        <f>SUM(U70:U71)</f>
        <v>0.11831893999999998</v>
      </c>
      <c r="V72" s="92"/>
      <c r="W72" s="353" t="s">
        <v>107</v>
      </c>
      <c r="X72" s="387">
        <f>SUM(X70:X71)</f>
        <v>0.11831893999999998</v>
      </c>
      <c r="Y72" s="92"/>
      <c r="Z72" s="86"/>
      <c r="AA72" s="86"/>
      <c r="AB72" s="86"/>
      <c r="AC72" s="86"/>
      <c r="AD72" s="92"/>
      <c r="AE72" s="52"/>
      <c r="AF72" s="92"/>
      <c r="AG72" s="92"/>
      <c r="AH72" s="92"/>
      <c r="AI72" s="92"/>
      <c r="AJ72" s="92"/>
      <c r="AK72" s="448"/>
      <c r="AL72" s="339"/>
      <c r="AM72" s="8"/>
    </row>
    <row r="73" spans="1:40" ht="18" x14ac:dyDescent="0.2">
      <c r="A73" s="92"/>
      <c r="B73" s="356" t="s">
        <v>108</v>
      </c>
      <c r="C73" s="357">
        <f>C72*C65</f>
        <v>31.090527916666666</v>
      </c>
      <c r="D73" s="358"/>
      <c r="E73" s="359" t="s">
        <v>61</v>
      </c>
      <c r="F73" s="360">
        <f>F72*F65</f>
        <v>0.71050133333333343</v>
      </c>
      <c r="G73" s="361"/>
      <c r="H73" s="359" t="s">
        <v>61</v>
      </c>
      <c r="I73" s="362">
        <f>I72*I65</f>
        <v>111.60783883333333</v>
      </c>
      <c r="J73" s="92"/>
      <c r="K73" s="359" t="s">
        <v>61</v>
      </c>
      <c r="L73" s="388">
        <f>L72*L65</f>
        <v>2.0483171333333332</v>
      </c>
      <c r="M73" s="389"/>
      <c r="N73" s="359" t="s">
        <v>61</v>
      </c>
      <c r="O73" s="388">
        <f>O72*O65</f>
        <v>9.0838412000000002</v>
      </c>
      <c r="P73" s="389"/>
      <c r="Q73" s="359" t="s">
        <v>61</v>
      </c>
      <c r="R73" s="388">
        <f>R72*R65</f>
        <v>31.564439800000002</v>
      </c>
      <c r="S73" s="389"/>
      <c r="T73" s="359" t="s">
        <v>61</v>
      </c>
      <c r="U73" s="388">
        <f>U72*U65</f>
        <v>2.8790942066666663</v>
      </c>
      <c r="V73" s="92"/>
      <c r="W73" s="359" t="s">
        <v>61</v>
      </c>
      <c r="X73" s="388">
        <f>X72*X65</f>
        <v>59.159469999999992</v>
      </c>
      <c r="Y73" s="264"/>
      <c r="Z73" s="86"/>
      <c r="AA73" s="86"/>
      <c r="AB73" s="86"/>
      <c r="AC73" s="86"/>
      <c r="AD73" s="92"/>
      <c r="AE73" s="44"/>
      <c r="AF73" s="599" t="s">
        <v>109</v>
      </c>
      <c r="AG73" s="599"/>
      <c r="AH73" s="86"/>
      <c r="AI73" s="595" t="s">
        <v>110</v>
      </c>
      <c r="AJ73" s="596"/>
      <c r="AK73" s="597"/>
      <c r="AL73" s="339"/>
      <c r="AM73" s="8"/>
    </row>
    <row r="74" spans="1:40" ht="18" customHeight="1" x14ac:dyDescent="0.2">
      <c r="A74" s="92"/>
      <c r="B74" s="347"/>
      <c r="C74" s="92"/>
      <c r="D74" s="363"/>
      <c r="E74" s="364"/>
      <c r="F74" s="264"/>
      <c r="G74" s="365"/>
      <c r="H74" s="264"/>
      <c r="I74" s="366"/>
      <c r="J74" s="92"/>
      <c r="K74" s="352"/>
      <c r="L74" s="364"/>
      <c r="M74" s="390"/>
      <c r="N74" s="364"/>
      <c r="O74" s="390"/>
      <c r="P74" s="364"/>
      <c r="Q74" s="390"/>
      <c r="R74" s="364"/>
      <c r="S74" s="390"/>
      <c r="T74" s="317"/>
      <c r="U74" s="366"/>
      <c r="V74" s="92"/>
      <c r="W74" s="347"/>
      <c r="X74" s="92"/>
      <c r="Y74" s="92"/>
      <c r="Z74" s="86"/>
      <c r="AA74" s="86"/>
      <c r="AB74" s="86"/>
      <c r="AC74" s="86"/>
      <c r="AD74" s="92"/>
      <c r="AE74" s="82"/>
      <c r="AF74" s="245" t="s">
        <v>111</v>
      </c>
      <c r="AG74" s="449">
        <v>17</v>
      </c>
      <c r="AH74" s="92"/>
      <c r="AI74" s="338" t="s">
        <v>79</v>
      </c>
      <c r="AJ74" s="339"/>
      <c r="AK74" s="431">
        <f>AK75/1800</f>
        <v>0.2</v>
      </c>
      <c r="AL74" s="339"/>
      <c r="AM74" s="8"/>
    </row>
    <row r="75" spans="1:40" ht="21.75" customHeight="1" x14ac:dyDescent="0.2">
      <c r="A75" s="92"/>
      <c r="B75" s="162" t="s">
        <v>112</v>
      </c>
      <c r="C75" s="367"/>
      <c r="D75" s="367"/>
      <c r="E75" s="368"/>
      <c r="F75" s="264"/>
      <c r="G75" s="369"/>
      <c r="H75" s="264"/>
      <c r="I75" s="339"/>
      <c r="J75" s="92"/>
      <c r="K75" s="161" t="s">
        <v>113</v>
      </c>
      <c r="L75" s="391"/>
      <c r="M75" s="391"/>
      <c r="N75" s="369"/>
      <c r="O75" s="368"/>
      <c r="P75" s="369"/>
      <c r="Q75" s="369"/>
      <c r="R75" s="369"/>
      <c r="S75" s="264"/>
      <c r="T75" s="92"/>
      <c r="U75" s="339"/>
      <c r="V75" s="92"/>
      <c r="W75" s="160" t="s">
        <v>114</v>
      </c>
      <c r="X75" s="92"/>
      <c r="Y75" s="92"/>
      <c r="Z75" s="86"/>
      <c r="AA75" s="86"/>
      <c r="AB75" s="86"/>
      <c r="AC75" s="86"/>
      <c r="AD75" s="92"/>
      <c r="AE75" s="19"/>
      <c r="AF75" s="259" t="s">
        <v>115</v>
      </c>
      <c r="AG75" s="242">
        <v>3000</v>
      </c>
      <c r="AH75" s="92"/>
      <c r="AI75" s="259" t="s">
        <v>85</v>
      </c>
      <c r="AJ75" s="320"/>
      <c r="AK75" s="313">
        <f>H32</f>
        <v>360</v>
      </c>
      <c r="AL75" s="339"/>
      <c r="AM75" s="8"/>
    </row>
    <row r="76" spans="1:40" ht="15.75" customHeight="1" x14ac:dyDescent="0.2">
      <c r="A76" s="92"/>
      <c r="B76" s="353" t="s">
        <v>116</v>
      </c>
      <c r="C76" s="370"/>
      <c r="D76" s="371">
        <f>C73</f>
        <v>31.090527916666666</v>
      </c>
      <c r="E76" s="368"/>
      <c r="F76" s="264"/>
      <c r="G76" s="369"/>
      <c r="H76" s="529"/>
      <c r="I76" s="372"/>
      <c r="J76" s="92"/>
      <c r="K76" s="353" t="s">
        <v>116</v>
      </c>
      <c r="L76" s="370"/>
      <c r="M76" s="371">
        <f>L73</f>
        <v>2.0483171333333332</v>
      </c>
      <c r="N76" s="369"/>
      <c r="O76" s="264"/>
      <c r="P76" s="369"/>
      <c r="Q76" s="264"/>
      <c r="R76" s="86"/>
      <c r="S76" s="264"/>
      <c r="T76" s="92"/>
      <c r="U76" s="339"/>
      <c r="V76" s="92"/>
      <c r="W76" s="381" t="s">
        <v>116</v>
      </c>
      <c r="X76" s="401"/>
      <c r="Y76" s="402">
        <v>0</v>
      </c>
      <c r="Z76" s="347"/>
      <c r="AA76" s="369"/>
      <c r="AB76" s="264"/>
      <c r="AC76" s="264"/>
      <c r="AD76" s="264"/>
      <c r="AE76" s="19"/>
      <c r="AF76" s="245" t="s">
        <v>104</v>
      </c>
      <c r="AG76" s="242">
        <f>AG74*AG75</f>
        <v>51000</v>
      </c>
      <c r="AH76" s="92"/>
      <c r="AI76" s="259" t="s">
        <v>87</v>
      </c>
      <c r="AJ76" s="320"/>
      <c r="AK76" s="450">
        <f>AK75*B20</f>
        <v>0.96479999999999999</v>
      </c>
      <c r="AL76" s="451"/>
      <c r="AM76" s="8"/>
    </row>
    <row r="77" spans="1:40" ht="15.75" customHeight="1" x14ac:dyDescent="0.2">
      <c r="A77" s="92"/>
      <c r="B77" s="373" t="s">
        <v>117</v>
      </c>
      <c r="C77" s="314"/>
      <c r="D77" s="374">
        <f>F73+I73</f>
        <v>112.31834016666667</v>
      </c>
      <c r="E77" s="368"/>
      <c r="F77" s="264"/>
      <c r="G77" s="375"/>
      <c r="H77" s="529"/>
      <c r="I77" s="366"/>
      <c r="J77" s="92"/>
      <c r="K77" s="373" t="s">
        <v>117</v>
      </c>
      <c r="L77" s="314"/>
      <c r="M77" s="374">
        <f>O73+R73+U73</f>
        <v>43.527375206666669</v>
      </c>
      <c r="N77" s="369"/>
      <c r="O77" s="264"/>
      <c r="P77" s="369"/>
      <c r="Q77" s="369"/>
      <c r="R77" s="86"/>
      <c r="S77" s="264"/>
      <c r="T77" s="92"/>
      <c r="U77" s="339"/>
      <c r="V77" s="92"/>
      <c r="W77" s="352" t="s">
        <v>118</v>
      </c>
      <c r="X77" s="92"/>
      <c r="Y77" s="369">
        <f>AA70+AD70</f>
        <v>458.5249520000001</v>
      </c>
      <c r="Z77" s="347"/>
      <c r="AA77" s="264"/>
      <c r="AB77" s="264"/>
      <c r="AC77" s="264"/>
      <c r="AD77" s="264"/>
      <c r="AE77" s="19"/>
      <c r="AF77" s="437" t="s">
        <v>91</v>
      </c>
      <c r="AG77" s="452">
        <f>AG76*B20</f>
        <v>136.68</v>
      </c>
      <c r="AH77" s="92"/>
      <c r="AI77" s="437" t="s">
        <v>91</v>
      </c>
      <c r="AJ77" s="438"/>
      <c r="AK77" s="439">
        <f>AK76*AD66</f>
        <v>22.8872</v>
      </c>
      <c r="AL77" s="339"/>
      <c r="AM77" s="8"/>
    </row>
    <row r="78" spans="1:40" ht="17.25" customHeight="1" x14ac:dyDescent="0.2">
      <c r="A78" s="86"/>
      <c r="B78" s="376" t="s">
        <v>119</v>
      </c>
      <c r="C78" s="377"/>
      <c r="D78" s="378">
        <f>D76+D77</f>
        <v>143.40886808333335</v>
      </c>
      <c r="E78" s="92"/>
      <c r="F78" s="92"/>
      <c r="G78" s="312"/>
      <c r="H78" s="379"/>
      <c r="I78" s="339"/>
      <c r="J78" s="92"/>
      <c r="K78" s="376" t="s">
        <v>119</v>
      </c>
      <c r="L78" s="377"/>
      <c r="M78" s="378">
        <f>SUM(M76:M77)</f>
        <v>45.575692340000003</v>
      </c>
      <c r="N78" s="264"/>
      <c r="O78" s="86"/>
      <c r="P78" s="264"/>
      <c r="Q78" s="264"/>
      <c r="R78" s="86"/>
      <c r="S78" s="264"/>
      <c r="T78" s="92"/>
      <c r="U78" s="339"/>
      <c r="V78" s="92"/>
      <c r="W78" s="386" t="s">
        <v>120</v>
      </c>
      <c r="X78" s="403"/>
      <c r="Y78" s="404">
        <f>X73</f>
        <v>59.159469999999992</v>
      </c>
      <c r="Z78" s="347"/>
      <c r="AA78" s="86"/>
      <c r="AB78" s="264"/>
      <c r="AC78" s="264"/>
      <c r="AD78" s="92"/>
      <c r="AE78" s="44"/>
      <c r="AF78" s="92"/>
      <c r="AG78" s="453"/>
      <c r="AH78" s="86"/>
      <c r="AI78" s="92"/>
      <c r="AJ78" s="92"/>
      <c r="AK78" s="448"/>
      <c r="AL78" s="339"/>
      <c r="AM78" s="8"/>
    </row>
    <row r="79" spans="1:40" ht="16.5" customHeight="1" x14ac:dyDescent="0.2">
      <c r="A79" s="92"/>
      <c r="B79" s="347"/>
      <c r="C79" s="92"/>
      <c r="D79" s="92"/>
      <c r="E79" s="86"/>
      <c r="F79" s="86"/>
      <c r="G79" s="92"/>
      <c r="H79" s="92"/>
      <c r="I79" s="339"/>
      <c r="J79" s="92"/>
      <c r="K79" s="347"/>
      <c r="L79" s="86"/>
      <c r="M79" s="92"/>
      <c r="N79" s="92"/>
      <c r="O79" s="92"/>
      <c r="P79" s="92"/>
      <c r="Q79" s="92"/>
      <c r="R79" s="92"/>
      <c r="S79" s="92"/>
      <c r="T79" s="92"/>
      <c r="U79" s="339"/>
      <c r="V79" s="92"/>
      <c r="W79" s="359" t="s">
        <v>119</v>
      </c>
      <c r="X79" s="405"/>
      <c r="Y79" s="406">
        <f>SUM(Y76:Y78)</f>
        <v>517.68442200000004</v>
      </c>
      <c r="Z79" s="347"/>
      <c r="AA79" s="92"/>
      <c r="AB79" s="92"/>
      <c r="AC79" s="407"/>
      <c r="AD79" s="92"/>
      <c r="AE79" s="19"/>
      <c r="AF79" s="347"/>
      <c r="AG79" s="86"/>
      <c r="AH79" s="86"/>
      <c r="AI79" s="86"/>
      <c r="AJ79" s="86"/>
      <c r="AK79" s="86"/>
      <c r="AL79" s="339"/>
      <c r="AM79" s="8"/>
    </row>
    <row r="80" spans="1:40" ht="16.5" customHeight="1" x14ac:dyDescent="0.2">
      <c r="A80" s="8"/>
      <c r="B80" s="19"/>
      <c r="C80" s="8"/>
      <c r="E80" s="8"/>
      <c r="F80" s="8"/>
      <c r="G80" s="8"/>
      <c r="H80" s="8"/>
      <c r="I80" s="18"/>
      <c r="J80" s="92"/>
      <c r="K80" s="347"/>
      <c r="L80" s="86"/>
      <c r="M80" s="92"/>
      <c r="N80" s="92"/>
      <c r="O80" s="92"/>
      <c r="P80" s="92"/>
      <c r="Q80" s="92"/>
      <c r="R80" s="92"/>
      <c r="S80" s="92"/>
      <c r="T80" s="92"/>
      <c r="U80" s="339"/>
      <c r="V80" s="92"/>
      <c r="W80" s="408"/>
      <c r="X80" s="264"/>
      <c r="Y80" s="369"/>
      <c r="Z80" s="92"/>
      <c r="AA80" s="92"/>
      <c r="AB80" s="92"/>
      <c r="AC80" s="407"/>
      <c r="AD80" s="339"/>
      <c r="AE80" s="8"/>
      <c r="AF80" s="160" t="s">
        <v>121</v>
      </c>
      <c r="AG80" s="86"/>
      <c r="AH80" s="86"/>
      <c r="AI80" s="86"/>
      <c r="AJ80" s="86"/>
      <c r="AK80" s="86"/>
      <c r="AL80" s="339"/>
      <c r="AM80" s="8"/>
    </row>
    <row r="81" spans="1:39" ht="16.5" customHeight="1" x14ac:dyDescent="0.2">
      <c r="A81" s="8"/>
      <c r="B81" s="19"/>
      <c r="C81" s="8"/>
      <c r="D81" s="8"/>
      <c r="G81" s="8"/>
      <c r="H81" s="8"/>
      <c r="I81" s="18"/>
      <c r="J81" s="8"/>
      <c r="K81" s="19"/>
      <c r="M81" s="8"/>
      <c r="N81" s="8"/>
      <c r="O81" s="8"/>
      <c r="P81" s="8"/>
      <c r="Q81" s="8"/>
      <c r="R81" s="8"/>
      <c r="S81" s="8"/>
      <c r="T81" s="8"/>
      <c r="U81" s="18"/>
      <c r="V81" s="8"/>
      <c r="W81" s="158"/>
      <c r="X81" s="38"/>
      <c r="Y81" s="14"/>
      <c r="Z81" s="8"/>
      <c r="AA81" s="8"/>
      <c r="AB81" s="8"/>
      <c r="AC81" s="56"/>
      <c r="AD81" s="18"/>
      <c r="AE81" s="8"/>
      <c r="AF81" s="353" t="s">
        <v>122</v>
      </c>
      <c r="AG81" s="370"/>
      <c r="AH81" s="454">
        <f>AK65+AK71+AK77</f>
        <v>309.67446140206187</v>
      </c>
      <c r="AI81" s="347"/>
      <c r="AJ81" s="86"/>
      <c r="AK81" s="86"/>
      <c r="AL81" s="339"/>
      <c r="AM81" s="8"/>
    </row>
    <row r="82" spans="1:39" s="86" customFormat="1" ht="24.75" customHeight="1" x14ac:dyDescent="0.2">
      <c r="B82" s="334" t="s">
        <v>123</v>
      </c>
      <c r="C82" s="409"/>
      <c r="D82" s="409"/>
      <c r="E82" s="409"/>
      <c r="F82" s="409"/>
      <c r="G82" s="409"/>
      <c r="H82" s="409"/>
      <c r="I82" s="410"/>
      <c r="J82" s="339"/>
      <c r="K82" s="411" t="s">
        <v>123</v>
      </c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347"/>
      <c r="W82" s="334" t="s">
        <v>123</v>
      </c>
      <c r="X82" s="412"/>
      <c r="Y82" s="413"/>
      <c r="Z82" s="413"/>
      <c r="AA82" s="413"/>
      <c r="AB82" s="414"/>
      <c r="AC82" s="413"/>
      <c r="AD82" s="415"/>
      <c r="AE82" s="264"/>
      <c r="AF82" s="352" t="s">
        <v>124</v>
      </c>
      <c r="AG82" s="92"/>
      <c r="AH82" s="416">
        <f>AG71+AG77</f>
        <v>140.20785016000002</v>
      </c>
      <c r="AL82" s="339"/>
      <c r="AM82" s="92"/>
    </row>
    <row r="83" spans="1:39" ht="15.75" customHeight="1" x14ac:dyDescent="0.2">
      <c r="B83" s="57"/>
      <c r="C83" s="58"/>
      <c r="D83" s="58"/>
      <c r="E83" s="58"/>
      <c r="F83" s="58"/>
      <c r="G83" s="58"/>
      <c r="H83" s="58"/>
      <c r="I83" s="59"/>
      <c r="J83" s="18"/>
      <c r="V83" s="19"/>
      <c r="W83" s="19"/>
      <c r="Y83" s="38"/>
      <c r="Z83" s="38"/>
      <c r="AA83" s="38"/>
      <c r="AB83" s="38"/>
      <c r="AC83" s="38"/>
      <c r="AD83" s="62"/>
      <c r="AE83" s="38"/>
      <c r="AF83" s="356" t="s">
        <v>119</v>
      </c>
      <c r="AG83" s="455"/>
      <c r="AH83" s="516">
        <f>AH81+AH82</f>
        <v>449.88231156206189</v>
      </c>
      <c r="AI83" s="86"/>
      <c r="AJ83" s="86"/>
      <c r="AK83" s="86"/>
      <c r="AL83" s="339"/>
      <c r="AM83" s="8"/>
    </row>
    <row r="84" spans="1:39" ht="23.25" customHeight="1" x14ac:dyDescent="0.2">
      <c r="A84" s="8"/>
      <c r="B84" s="19"/>
      <c r="D84" s="58"/>
      <c r="E84" s="574" t="s">
        <v>125</v>
      </c>
      <c r="F84" s="575"/>
      <c r="G84" s="60"/>
      <c r="H84" s="61"/>
      <c r="I84" s="62"/>
      <c r="J84" s="18"/>
      <c r="N84" s="574" t="s">
        <v>126</v>
      </c>
      <c r="O84" s="575"/>
      <c r="V84" s="19"/>
      <c r="W84" s="19"/>
      <c r="Y84" s="38"/>
      <c r="Z84" s="574" t="s">
        <v>127</v>
      </c>
      <c r="AA84" s="575"/>
      <c r="AB84" s="38"/>
      <c r="AC84" s="38"/>
      <c r="AD84" s="62"/>
      <c r="AE84" s="38"/>
      <c r="AF84" s="239"/>
      <c r="AG84" s="314"/>
      <c r="AH84" s="314"/>
      <c r="AI84" s="314"/>
      <c r="AJ84" s="314"/>
      <c r="AK84" s="314"/>
      <c r="AL84" s="456"/>
      <c r="AM84" s="8"/>
    </row>
    <row r="85" spans="1:39" s="86" customFormat="1" ht="15.75" customHeight="1" x14ac:dyDescent="0.2">
      <c r="A85" s="92"/>
      <c r="B85" s="347"/>
      <c r="D85" s="417"/>
      <c r="E85" s="576" t="s">
        <v>128</v>
      </c>
      <c r="F85" s="577"/>
      <c r="G85" s="92"/>
      <c r="I85" s="339"/>
      <c r="J85" s="339"/>
      <c r="N85" s="576" t="s">
        <v>128</v>
      </c>
      <c r="O85" s="577"/>
      <c r="V85" s="347"/>
      <c r="W85" s="347"/>
      <c r="Y85" s="264"/>
      <c r="Z85" s="576" t="s">
        <v>128</v>
      </c>
      <c r="AA85" s="577"/>
      <c r="AB85" s="264"/>
      <c r="AC85" s="264"/>
      <c r="AD85" s="418"/>
      <c r="AE85" s="264"/>
      <c r="AI85" s="92"/>
      <c r="AJ85" s="92"/>
      <c r="AK85" s="92"/>
      <c r="AL85" s="92"/>
    </row>
    <row r="86" spans="1:39" s="86" customFormat="1" ht="20.25" customHeight="1" x14ac:dyDescent="0.2">
      <c r="A86" s="92"/>
      <c r="B86" s="347"/>
      <c r="D86" s="417"/>
      <c r="E86" s="338" t="s">
        <v>129</v>
      </c>
      <c r="F86" s="419">
        <v>53500</v>
      </c>
      <c r="G86" s="92"/>
      <c r="I86" s="339"/>
      <c r="J86" s="92"/>
      <c r="K86" s="347"/>
      <c r="N86" s="338" t="s">
        <v>129</v>
      </c>
      <c r="O86" s="419">
        <v>7550</v>
      </c>
      <c r="V86" s="347"/>
      <c r="W86" s="347"/>
      <c r="Y86" s="264"/>
      <c r="Z86" s="338" t="s">
        <v>129</v>
      </c>
      <c r="AA86" s="255">
        <v>92500</v>
      </c>
      <c r="AB86" s="264"/>
      <c r="AC86" s="264"/>
      <c r="AD86" s="418"/>
      <c r="AE86" s="264"/>
    </row>
    <row r="87" spans="1:39" s="86" customFormat="1" ht="17.25" customHeight="1" x14ac:dyDescent="0.2">
      <c r="A87" s="92"/>
      <c r="B87" s="347"/>
      <c r="D87" s="417"/>
      <c r="E87" s="380" t="s">
        <v>130</v>
      </c>
      <c r="F87" s="420">
        <f>F86*D29/1000</f>
        <v>128400</v>
      </c>
      <c r="G87" s="92"/>
      <c r="H87" s="280"/>
      <c r="I87" s="339"/>
      <c r="J87" s="284"/>
      <c r="K87" s="347"/>
      <c r="N87" s="380" t="s">
        <v>130</v>
      </c>
      <c r="O87" s="420">
        <f>O86*D29/1000</f>
        <v>18120</v>
      </c>
      <c r="V87" s="347"/>
      <c r="W87" s="347"/>
      <c r="Y87" s="264"/>
      <c r="Z87" s="380" t="s">
        <v>130</v>
      </c>
      <c r="AA87" s="420">
        <f>AA86*D29/1000</f>
        <v>222000</v>
      </c>
      <c r="AB87" s="264"/>
      <c r="AC87" s="264"/>
      <c r="AD87" s="418"/>
      <c r="AE87" s="264"/>
    </row>
    <row r="88" spans="1:39" s="86" customFormat="1" ht="14.25" customHeight="1" x14ac:dyDescent="0.2">
      <c r="A88" s="92"/>
      <c r="B88" s="347"/>
      <c r="D88" s="417"/>
      <c r="E88" s="383" t="s">
        <v>88</v>
      </c>
      <c r="F88" s="419">
        <f>F86/H15</f>
        <v>8916.6666666666661</v>
      </c>
      <c r="G88" s="92"/>
      <c r="H88" s="280"/>
      <c r="I88" s="421"/>
      <c r="J88" s="284"/>
      <c r="K88" s="347"/>
      <c r="N88" s="422" t="s">
        <v>88</v>
      </c>
      <c r="O88" s="419">
        <f>O86/H15</f>
        <v>1258.3333333333333</v>
      </c>
      <c r="V88" s="347"/>
      <c r="W88" s="347"/>
      <c r="Y88" s="264"/>
      <c r="Z88" s="422" t="s">
        <v>88</v>
      </c>
      <c r="AA88" s="419">
        <f>AA86/H15</f>
        <v>15416.666666666666</v>
      </c>
      <c r="AB88" s="264"/>
      <c r="AC88" s="264"/>
      <c r="AD88" s="418"/>
      <c r="AE88" s="264"/>
    </row>
    <row r="89" spans="1:39" s="86" customFormat="1" ht="31" customHeight="1" x14ac:dyDescent="0.2">
      <c r="A89" s="92"/>
      <c r="B89" s="347"/>
      <c r="D89" s="417"/>
      <c r="E89" s="423" t="s">
        <v>131</v>
      </c>
      <c r="F89" s="330">
        <v>12.88</v>
      </c>
      <c r="G89" s="92"/>
      <c r="I89" s="339"/>
      <c r="J89" s="92"/>
      <c r="K89" s="347"/>
      <c r="N89" s="423" t="s">
        <v>131</v>
      </c>
      <c r="O89" s="330">
        <v>11.77</v>
      </c>
      <c r="V89" s="347"/>
      <c r="W89" s="347"/>
      <c r="Y89" s="264"/>
      <c r="Z89" s="423" t="s">
        <v>131</v>
      </c>
      <c r="AA89" s="330">
        <v>10.44</v>
      </c>
      <c r="AB89" s="264"/>
      <c r="AC89" s="264"/>
      <c r="AD89" s="418"/>
      <c r="AE89" s="264"/>
      <c r="AF89" s="92"/>
    </row>
    <row r="90" spans="1:39" s="86" customFormat="1" ht="15.75" customHeight="1" x14ac:dyDescent="0.2">
      <c r="A90" s="92"/>
      <c r="B90" s="347"/>
      <c r="D90" s="417"/>
      <c r="E90" s="347" t="s">
        <v>94</v>
      </c>
      <c r="F90" s="338">
        <f>F89*2</f>
        <v>25.76</v>
      </c>
      <c r="G90" s="92"/>
      <c r="I90" s="339"/>
      <c r="J90" s="92"/>
      <c r="K90" s="347"/>
      <c r="N90" s="347" t="s">
        <v>94</v>
      </c>
      <c r="O90" s="338">
        <f>O89*2</f>
        <v>23.54</v>
      </c>
      <c r="V90" s="347"/>
      <c r="W90" s="347"/>
      <c r="Y90" s="264"/>
      <c r="Z90" s="347" t="s">
        <v>94</v>
      </c>
      <c r="AA90" s="338">
        <f>AA89*2</f>
        <v>20.88</v>
      </c>
      <c r="AB90" s="264"/>
      <c r="AC90" s="264"/>
      <c r="AD90" s="418"/>
      <c r="AE90" s="264"/>
      <c r="AF90" s="92"/>
    </row>
    <row r="91" spans="1:39" s="86" customFormat="1" ht="15" customHeight="1" x14ac:dyDescent="0.2">
      <c r="A91" s="92"/>
      <c r="B91" s="347"/>
      <c r="D91" s="417"/>
      <c r="E91" s="380" t="s">
        <v>132</v>
      </c>
      <c r="F91" s="424">
        <v>114</v>
      </c>
      <c r="G91" s="92"/>
      <c r="H91" s="417"/>
      <c r="I91" s="425"/>
      <c r="J91" s="92"/>
      <c r="K91" s="347"/>
      <c r="N91" s="380" t="s">
        <v>132</v>
      </c>
      <c r="O91" s="424">
        <v>99.4</v>
      </c>
      <c r="V91" s="347"/>
      <c r="W91" s="347"/>
      <c r="Y91" s="92"/>
      <c r="Z91" s="380" t="s">
        <v>132</v>
      </c>
      <c r="AA91" s="424">
        <v>88.4</v>
      </c>
      <c r="AB91" s="92"/>
      <c r="AC91" s="92"/>
      <c r="AD91" s="339"/>
      <c r="AE91" s="92"/>
    </row>
    <row r="92" spans="1:39" s="86" customFormat="1" ht="17" x14ac:dyDescent="0.2">
      <c r="A92" s="92"/>
      <c r="B92" s="347"/>
      <c r="D92" s="417"/>
      <c r="E92" s="426" t="s">
        <v>98</v>
      </c>
      <c r="F92" s="427">
        <f>F90*F88</f>
        <v>229693.33333333334</v>
      </c>
      <c r="G92" s="417"/>
      <c r="I92" s="339"/>
      <c r="J92" s="92"/>
      <c r="K92" s="347"/>
      <c r="N92" s="347" t="s">
        <v>98</v>
      </c>
      <c r="O92" s="419">
        <f>O90*O88</f>
        <v>29621.166666666664</v>
      </c>
      <c r="V92" s="347"/>
      <c r="W92" s="347"/>
      <c r="Z92" s="422" t="s">
        <v>98</v>
      </c>
      <c r="AA92" s="419">
        <f>AA90*AA88</f>
        <v>321900</v>
      </c>
      <c r="AD92" s="339"/>
      <c r="AE92" s="92"/>
    </row>
    <row r="93" spans="1:39" s="86" customFormat="1" ht="17" x14ac:dyDescent="0.2">
      <c r="A93" s="92"/>
      <c r="B93" s="347"/>
      <c r="D93" s="92"/>
      <c r="E93" s="428" t="s">
        <v>133</v>
      </c>
      <c r="F93" s="429">
        <f>D30*F92</f>
        <v>133222.13333333333</v>
      </c>
      <c r="G93" s="417"/>
      <c r="I93" s="339"/>
      <c r="J93" s="339"/>
      <c r="N93" s="380" t="s">
        <v>133</v>
      </c>
      <c r="O93" s="420">
        <f>O92*D30</f>
        <v>17180.276666666665</v>
      </c>
      <c r="V93" s="347"/>
      <c r="W93" s="347"/>
      <c r="Z93" s="380" t="s">
        <v>133</v>
      </c>
      <c r="AA93" s="420">
        <f>AA92*D30</f>
        <v>186702</v>
      </c>
      <c r="AD93" s="339"/>
      <c r="AE93" s="92"/>
    </row>
    <row r="94" spans="1:39" s="86" customFormat="1" ht="34" x14ac:dyDescent="0.2">
      <c r="A94" s="92"/>
      <c r="B94" s="347"/>
      <c r="D94" s="92"/>
      <c r="E94" s="430" t="s">
        <v>119</v>
      </c>
      <c r="F94" s="333">
        <f>F93*B20</f>
        <v>357.03531733333335</v>
      </c>
      <c r="G94" s="417"/>
      <c r="I94" s="339"/>
      <c r="J94" s="339"/>
      <c r="M94" s="92"/>
      <c r="N94" s="430" t="s">
        <v>119</v>
      </c>
      <c r="O94" s="333">
        <f>O93*B20</f>
        <v>46.043141466666661</v>
      </c>
      <c r="U94" s="92"/>
      <c r="V94" s="347"/>
      <c r="W94" s="347"/>
      <c r="Z94" s="430" t="s">
        <v>119</v>
      </c>
      <c r="AA94" s="333">
        <f>AA93*B20</f>
        <v>500.36135999999999</v>
      </c>
      <c r="AD94" s="339"/>
      <c r="AE94" s="92"/>
    </row>
    <row r="95" spans="1:39" ht="14" x14ac:dyDescent="0.15">
      <c r="B95" s="28"/>
      <c r="C95" s="10"/>
      <c r="D95" s="10"/>
      <c r="E95" s="10"/>
      <c r="F95" s="10"/>
      <c r="G95" s="64"/>
      <c r="H95" s="10"/>
      <c r="I95" s="65"/>
      <c r="J95" s="18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65"/>
      <c r="V95" s="19"/>
      <c r="W95" s="28"/>
      <c r="X95" s="10"/>
      <c r="Y95" s="10"/>
      <c r="Z95" s="10"/>
      <c r="AA95" s="10"/>
      <c r="AB95" s="10"/>
      <c r="AC95" s="10"/>
      <c r="AD95" s="65"/>
      <c r="AE95" s="8"/>
    </row>
    <row r="96" spans="1:39" ht="14" x14ac:dyDescent="0.15">
      <c r="D96" s="8"/>
      <c r="E96" s="8"/>
      <c r="F96" s="8"/>
      <c r="G96" s="58"/>
      <c r="I96" s="8"/>
      <c r="J96" s="8"/>
      <c r="K96" s="8"/>
      <c r="M96" s="8"/>
      <c r="N96" s="8"/>
      <c r="O96" s="8"/>
      <c r="U96" s="15"/>
      <c r="V96" s="8"/>
      <c r="W96" s="8"/>
      <c r="X96" s="8"/>
      <c r="Y96" s="8"/>
      <c r="Z96" s="8"/>
      <c r="AA96" s="8"/>
      <c r="AB96" s="8"/>
      <c r="AC96" s="8"/>
      <c r="AD96" s="8"/>
    </row>
    <row r="97" spans="1:61" ht="14" x14ac:dyDescent="0.15">
      <c r="H97" s="58"/>
      <c r="I97" s="8"/>
      <c r="J97" s="8"/>
      <c r="K97" s="8"/>
      <c r="T97" s="8"/>
      <c r="U97" s="8"/>
      <c r="V97" s="8"/>
    </row>
    <row r="98" spans="1:61" ht="14" x14ac:dyDescent="0.15">
      <c r="H98" s="58"/>
      <c r="I98" s="8"/>
      <c r="J98" s="8"/>
      <c r="K98" s="8"/>
      <c r="T98" s="8"/>
      <c r="U98" s="8"/>
      <c r="V98" s="8"/>
    </row>
    <row r="99" spans="1:61" s="87" customFormat="1" ht="20.25" customHeight="1" x14ac:dyDescent="0.15">
      <c r="A99" s="89"/>
      <c r="B99" s="221" t="s">
        <v>134</v>
      </c>
      <c r="C99" s="89"/>
      <c r="D99" s="89"/>
      <c r="H99" s="89"/>
      <c r="K99" s="3"/>
      <c r="L99" s="4"/>
      <c r="M99" s="3"/>
    </row>
    <row r="100" spans="1:61" ht="14" x14ac:dyDescent="0.15">
      <c r="F100" s="167"/>
      <c r="G100" s="167"/>
      <c r="H100" s="58"/>
      <c r="I100" s="8"/>
      <c r="J100" s="8"/>
      <c r="K100" s="8"/>
      <c r="T100" s="8"/>
      <c r="U100" s="8"/>
      <c r="V100" s="8"/>
    </row>
    <row r="101" spans="1:61" ht="14" x14ac:dyDescent="0.15">
      <c r="G101" s="189"/>
      <c r="H101" s="58"/>
      <c r="I101" s="8"/>
      <c r="J101" s="8"/>
      <c r="K101" s="8"/>
      <c r="T101" s="8"/>
      <c r="U101" s="8"/>
      <c r="V101" s="8"/>
    </row>
    <row r="102" spans="1:61" ht="21.75" customHeight="1" x14ac:dyDescent="0.15">
      <c r="B102" s="572" t="s">
        <v>54</v>
      </c>
      <c r="C102" s="586"/>
      <c r="H102" s="58"/>
      <c r="I102" s="8"/>
      <c r="J102" s="8"/>
      <c r="K102" s="8"/>
      <c r="T102" s="8"/>
      <c r="U102" s="8"/>
      <c r="V102" s="8"/>
    </row>
    <row r="103" spans="1:61" ht="16" x14ac:dyDescent="0.2">
      <c r="B103" s="559" t="s">
        <v>46</v>
      </c>
      <c r="C103" s="560"/>
      <c r="D103" s="86"/>
      <c r="H103" s="58"/>
      <c r="I103" s="8"/>
      <c r="J103" s="8"/>
      <c r="K103" s="8"/>
      <c r="T103" s="8"/>
      <c r="U103" s="8"/>
      <c r="V103" s="8"/>
    </row>
    <row r="104" spans="1:61" ht="15.75" customHeight="1" x14ac:dyDescent="0.2">
      <c r="B104" s="324" t="s">
        <v>55</v>
      </c>
      <c r="C104" s="325">
        <f>C48</f>
        <v>59650</v>
      </c>
      <c r="D104" s="86"/>
      <c r="E104" s="58"/>
      <c r="F104" s="58"/>
      <c r="G104" s="188"/>
      <c r="I104" s="8"/>
      <c r="J104" s="8"/>
      <c r="K104" s="8"/>
      <c r="T104" s="8"/>
      <c r="U104" s="8"/>
      <c r="V104" s="8"/>
    </row>
    <row r="105" spans="1:61" ht="15.75" customHeight="1" x14ac:dyDescent="0.2">
      <c r="B105" s="326" t="s">
        <v>56</v>
      </c>
      <c r="C105" s="327">
        <v>6000</v>
      </c>
      <c r="D105" s="86"/>
      <c r="J105" s="8"/>
      <c r="K105" s="8"/>
      <c r="T105" s="8"/>
      <c r="U105" s="8"/>
      <c r="V105" s="8"/>
    </row>
    <row r="106" spans="1:61" s="50" customFormat="1" ht="15.75" customHeight="1" x14ac:dyDescent="0.2">
      <c r="A106" s="7"/>
      <c r="B106" s="328" t="s">
        <v>57</v>
      </c>
      <c r="C106" s="325">
        <f>C104/C105</f>
        <v>9.9416666666666664</v>
      </c>
      <c r="D106" s="86"/>
      <c r="E106" s="7"/>
      <c r="F106" s="7"/>
      <c r="G106" s="7"/>
      <c r="H106" s="7"/>
      <c r="I106" s="7"/>
      <c r="J106" s="8"/>
      <c r="K106" s="8"/>
      <c r="L106" s="7"/>
      <c r="M106" s="7"/>
      <c r="N106" s="7"/>
      <c r="O106" s="7"/>
      <c r="P106" s="7"/>
      <c r="Q106" s="7"/>
      <c r="R106" s="7"/>
      <c r="S106" s="7"/>
      <c r="T106" s="8"/>
      <c r="U106" s="8"/>
      <c r="V106" s="8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1:61" ht="15.75" customHeight="1" x14ac:dyDescent="0.2">
      <c r="B107" s="559" t="s">
        <v>58</v>
      </c>
      <c r="C107" s="560"/>
      <c r="D107" s="86"/>
      <c r="J107" s="8"/>
      <c r="K107" s="8"/>
      <c r="L107" s="8"/>
      <c r="T107" s="8"/>
      <c r="U107" s="8"/>
      <c r="V107" s="8"/>
    </row>
    <row r="108" spans="1:61" ht="27" customHeight="1" x14ac:dyDescent="0.2">
      <c r="B108" s="329" t="s">
        <v>59</v>
      </c>
      <c r="C108" s="327">
        <f>(17000/300)*91*1.6</f>
        <v>8250.6666666666661</v>
      </c>
      <c r="D108" s="86"/>
      <c r="J108" s="8"/>
      <c r="K108" s="8"/>
      <c r="T108" s="8"/>
      <c r="U108" s="8"/>
      <c r="V108" s="8"/>
    </row>
    <row r="109" spans="1:61" ht="15.75" customHeight="1" x14ac:dyDescent="0.2">
      <c r="B109" s="330" t="s">
        <v>60</v>
      </c>
      <c r="C109" s="331">
        <f>C108*C106</f>
        <v>82025.377777777772</v>
      </c>
      <c r="D109" s="86"/>
      <c r="I109" s="8"/>
      <c r="J109" s="8"/>
      <c r="T109" s="8"/>
      <c r="U109" s="8"/>
      <c r="V109" s="8"/>
    </row>
    <row r="110" spans="1:61" ht="16" x14ac:dyDescent="0.2">
      <c r="B110" s="332" t="s">
        <v>61</v>
      </c>
      <c r="C110" s="333">
        <f>C109*B20</f>
        <v>219.82801244444443</v>
      </c>
      <c r="D110" s="86"/>
      <c r="I110" s="8"/>
      <c r="T110" s="8"/>
      <c r="U110" s="8"/>
      <c r="V110" s="8"/>
    </row>
    <row r="111" spans="1:61" ht="15.75" customHeight="1" x14ac:dyDescent="0.2">
      <c r="B111" s="86"/>
      <c r="C111" s="86"/>
      <c r="D111" s="86"/>
      <c r="I111" s="8"/>
      <c r="T111" s="8"/>
      <c r="U111" s="8"/>
      <c r="V111" s="8"/>
    </row>
    <row r="112" spans="1:61" ht="14" x14ac:dyDescent="0.15">
      <c r="I112" s="8"/>
      <c r="T112" s="8"/>
      <c r="U112" s="8"/>
      <c r="V112" s="8"/>
    </row>
    <row r="113" spans="1:32" ht="28.5" customHeight="1" x14ac:dyDescent="0.15">
      <c r="B113" s="602" t="s">
        <v>135</v>
      </c>
      <c r="C113" s="603"/>
      <c r="D113" s="603"/>
      <c r="E113" s="603"/>
      <c r="F113" s="19"/>
      <c r="H113" s="584" t="s">
        <v>136</v>
      </c>
      <c r="I113" s="562"/>
      <c r="J113" s="562"/>
      <c r="K113" s="562"/>
      <c r="L113" s="562"/>
      <c r="M113" s="19"/>
      <c r="T113" s="8"/>
      <c r="U113" s="8"/>
      <c r="V113" s="8"/>
    </row>
    <row r="114" spans="1:32" ht="15.75" customHeight="1" x14ac:dyDescent="0.15">
      <c r="B114" s="19"/>
      <c r="E114" s="8"/>
      <c r="F114" s="19"/>
      <c r="H114" s="19"/>
      <c r="L114" s="8"/>
      <c r="M114" s="19"/>
      <c r="T114" s="8"/>
      <c r="U114" s="8"/>
      <c r="V114" s="8"/>
    </row>
    <row r="115" spans="1:32" ht="15.75" customHeight="1" x14ac:dyDescent="0.2">
      <c r="A115" s="86"/>
      <c r="B115" s="334" t="s">
        <v>66</v>
      </c>
      <c r="C115" s="412"/>
      <c r="D115" s="412"/>
      <c r="E115" s="413"/>
      <c r="F115" s="347"/>
      <c r="G115" s="86"/>
      <c r="H115" s="334" t="s">
        <v>66</v>
      </c>
      <c r="I115" s="412"/>
      <c r="J115" s="412"/>
      <c r="K115" s="412"/>
      <c r="L115" s="413"/>
      <c r="M115" s="19"/>
      <c r="T115" s="8"/>
      <c r="U115" s="8"/>
      <c r="V115" s="8"/>
    </row>
    <row r="116" spans="1:32" ht="15.75" customHeight="1" x14ac:dyDescent="0.2">
      <c r="A116" s="86"/>
      <c r="B116" s="347"/>
      <c r="C116" s="86"/>
      <c r="D116" s="86"/>
      <c r="E116" s="92"/>
      <c r="F116" s="347"/>
      <c r="G116" s="92"/>
      <c r="H116" s="347"/>
      <c r="I116" s="92"/>
      <c r="J116" s="92"/>
      <c r="K116" s="86"/>
      <c r="L116" s="92"/>
      <c r="M116" s="19"/>
      <c r="T116" s="8"/>
      <c r="U116" s="8"/>
      <c r="V116" s="8"/>
    </row>
    <row r="117" spans="1:32" ht="15.75" customHeight="1" x14ac:dyDescent="0.2">
      <c r="A117" s="92"/>
      <c r="B117" s="600" t="s">
        <v>137</v>
      </c>
      <c r="C117" s="601"/>
      <c r="D117" s="86"/>
      <c r="E117" s="92"/>
      <c r="F117" s="347"/>
      <c r="G117" s="92"/>
      <c r="H117" s="347"/>
      <c r="I117" s="92" t="s">
        <v>138</v>
      </c>
      <c r="J117" s="92"/>
      <c r="K117" s="312">
        <f>C119</f>
        <v>278800</v>
      </c>
      <c r="L117" s="92"/>
      <c r="M117" s="19"/>
      <c r="T117" s="8"/>
      <c r="U117" s="8"/>
      <c r="V117" s="8"/>
    </row>
    <row r="118" spans="1:32" ht="16" x14ac:dyDescent="0.2">
      <c r="A118" s="86"/>
      <c r="B118" s="559" t="s">
        <v>139</v>
      </c>
      <c r="C118" s="560"/>
      <c r="D118" s="92"/>
      <c r="E118" s="92"/>
      <c r="F118" s="347"/>
      <c r="G118" s="92"/>
      <c r="H118" s="347"/>
      <c r="I118" s="457" t="s">
        <v>140</v>
      </c>
      <c r="J118" s="92"/>
      <c r="K118" s="458">
        <v>0.35</v>
      </c>
      <c r="L118" s="92" t="s">
        <v>141</v>
      </c>
      <c r="M118" s="19"/>
      <c r="T118" s="8"/>
      <c r="U118" s="8"/>
      <c r="V118" s="8"/>
    </row>
    <row r="119" spans="1:32" ht="15.75" customHeight="1" x14ac:dyDescent="0.2">
      <c r="A119" s="92"/>
      <c r="B119" s="380" t="s">
        <v>55</v>
      </c>
      <c r="C119" s="331">
        <f>D31</f>
        <v>278800</v>
      </c>
      <c r="D119" s="86"/>
      <c r="E119" s="92"/>
      <c r="F119" s="347"/>
      <c r="G119" s="86"/>
      <c r="H119" s="459"/>
      <c r="I119" s="457"/>
      <c r="J119" s="86"/>
      <c r="K119" s="458">
        <v>0.65</v>
      </c>
      <c r="L119" s="92" t="s">
        <v>142</v>
      </c>
      <c r="M119" s="19"/>
      <c r="T119" s="8"/>
      <c r="U119" s="8"/>
      <c r="V119" s="8"/>
    </row>
    <row r="120" spans="1:32" ht="14.25" customHeight="1" x14ac:dyDescent="0.2">
      <c r="A120" s="92"/>
      <c r="B120" s="338" t="s">
        <v>56</v>
      </c>
      <c r="C120" s="327">
        <v>6000</v>
      </c>
      <c r="D120" s="86"/>
      <c r="E120" s="92"/>
      <c r="F120" s="347"/>
      <c r="G120" s="86"/>
      <c r="H120" s="347"/>
      <c r="I120" s="92"/>
      <c r="J120" s="92"/>
      <c r="K120" s="92"/>
      <c r="L120" s="92"/>
      <c r="M120" s="19"/>
      <c r="T120" s="8"/>
      <c r="U120" s="8"/>
      <c r="V120" s="8"/>
    </row>
    <row r="121" spans="1:32" ht="15.75" customHeight="1" x14ac:dyDescent="0.2">
      <c r="A121" s="92"/>
      <c r="B121" s="328" t="s">
        <v>57</v>
      </c>
      <c r="C121" s="460">
        <f>ROUND((C119/C120),0)</f>
        <v>46</v>
      </c>
      <c r="D121" s="86"/>
      <c r="E121" s="92"/>
      <c r="F121" s="347"/>
      <c r="G121" s="86"/>
      <c r="H121" s="585" t="s">
        <v>76</v>
      </c>
      <c r="I121" s="586"/>
      <c r="J121" s="74"/>
      <c r="K121" s="585" t="s">
        <v>77</v>
      </c>
      <c r="L121" s="587"/>
      <c r="M121" s="19"/>
      <c r="N121" s="8"/>
      <c r="O121" s="8"/>
      <c r="P121" s="8"/>
      <c r="Q121" s="8"/>
      <c r="R121" s="8"/>
      <c r="S121" s="8"/>
      <c r="T121" s="8"/>
      <c r="U121" s="8"/>
      <c r="V121" s="8"/>
      <c r="AF121" s="8"/>
    </row>
    <row r="122" spans="1:32" ht="15.75" customHeight="1" x14ac:dyDescent="0.2">
      <c r="A122" s="86"/>
      <c r="B122" s="461" t="s">
        <v>58</v>
      </c>
      <c r="C122" s="462"/>
      <c r="D122" s="86"/>
      <c r="E122" s="92"/>
      <c r="F122" s="347"/>
      <c r="G122" s="86"/>
      <c r="H122" s="559" t="s">
        <v>81</v>
      </c>
      <c r="I122" s="560"/>
      <c r="J122" s="92"/>
      <c r="K122" s="559" t="s">
        <v>80</v>
      </c>
      <c r="L122" s="583"/>
      <c r="M122" s="19"/>
      <c r="T122" s="8"/>
      <c r="U122" s="8"/>
      <c r="V122" s="8"/>
    </row>
    <row r="123" spans="1:32" ht="15.75" customHeight="1" x14ac:dyDescent="0.2">
      <c r="A123" s="86"/>
      <c r="B123" s="329" t="s">
        <v>59</v>
      </c>
      <c r="C123" s="463">
        <f>D40</f>
        <v>13033.333333333334</v>
      </c>
      <c r="D123" s="86"/>
      <c r="E123" s="92"/>
      <c r="F123" s="347"/>
      <c r="G123" s="86"/>
      <c r="H123" s="380" t="s">
        <v>55</v>
      </c>
      <c r="I123" s="331">
        <f>K117*K119</f>
        <v>181220</v>
      </c>
      <c r="J123" s="86"/>
      <c r="K123" s="380" t="s">
        <v>55</v>
      </c>
      <c r="L123" s="464">
        <f>K117*K118</f>
        <v>97580</v>
      </c>
      <c r="M123" s="19"/>
      <c r="U123" s="8"/>
      <c r="V123" s="8"/>
    </row>
    <row r="124" spans="1:32" ht="15.75" customHeight="1" x14ac:dyDescent="0.2">
      <c r="A124" s="86"/>
      <c r="B124" s="330" t="s">
        <v>60</v>
      </c>
      <c r="C124" s="331">
        <f>C123*C121</f>
        <v>599533.33333333337</v>
      </c>
      <c r="D124" s="86"/>
      <c r="E124" s="92"/>
      <c r="F124" s="347"/>
      <c r="G124" s="92"/>
      <c r="H124" s="338" t="s">
        <v>56</v>
      </c>
      <c r="I124" s="327">
        <v>1000</v>
      </c>
      <c r="J124" s="86"/>
      <c r="K124" s="338" t="s">
        <v>56</v>
      </c>
      <c r="L124" s="394">
        <v>4000</v>
      </c>
      <c r="M124" s="19"/>
    </row>
    <row r="125" spans="1:32" ht="15.75" customHeight="1" x14ac:dyDescent="0.2">
      <c r="A125" s="92"/>
      <c r="B125" s="332" t="s">
        <v>61</v>
      </c>
      <c r="C125" s="465">
        <f>C124*B20</f>
        <v>1606.7493333333334</v>
      </c>
      <c r="D125" s="86"/>
      <c r="E125" s="92"/>
      <c r="F125" s="347"/>
      <c r="G125" s="92"/>
      <c r="H125" s="328" t="s">
        <v>57</v>
      </c>
      <c r="I125" s="460">
        <f>I123/I124</f>
        <v>181.22</v>
      </c>
      <c r="J125" s="86"/>
      <c r="K125" s="328" t="s">
        <v>57</v>
      </c>
      <c r="L125" s="466">
        <f>L123/L124</f>
        <v>24.395</v>
      </c>
      <c r="M125" s="82"/>
    </row>
    <row r="126" spans="1:32" ht="15.75" customHeight="1" x14ac:dyDescent="0.2">
      <c r="A126" s="92"/>
      <c r="B126" s="347"/>
      <c r="C126" s="92"/>
      <c r="D126" s="86"/>
      <c r="E126" s="92"/>
      <c r="F126" s="347"/>
      <c r="G126" s="92"/>
      <c r="H126" s="559" t="s">
        <v>95</v>
      </c>
      <c r="I126" s="560"/>
      <c r="J126" s="86"/>
      <c r="K126" s="559" t="s">
        <v>95</v>
      </c>
      <c r="L126" s="583"/>
      <c r="M126" s="19"/>
    </row>
    <row r="127" spans="1:32" ht="15.75" customHeight="1" x14ac:dyDescent="0.2">
      <c r="A127" s="92"/>
      <c r="B127" s="347"/>
      <c r="C127" s="92"/>
      <c r="D127" s="86"/>
      <c r="E127" s="92"/>
      <c r="F127" s="347"/>
      <c r="G127" s="92"/>
      <c r="H127" s="329" t="s">
        <v>143</v>
      </c>
      <c r="I127" s="463">
        <f>E40</f>
        <v>1080.2</v>
      </c>
      <c r="J127" s="86"/>
      <c r="K127" s="329" t="s">
        <v>59</v>
      </c>
      <c r="L127" s="398">
        <f>F40</f>
        <v>5500</v>
      </c>
      <c r="M127" s="19"/>
    </row>
    <row r="128" spans="1:32" ht="18" customHeight="1" x14ac:dyDescent="0.2">
      <c r="A128" s="92"/>
      <c r="B128" s="468" t="s">
        <v>144</v>
      </c>
      <c r="C128" s="469"/>
      <c r="D128" s="470">
        <f>C125</f>
        <v>1606.7493333333334</v>
      </c>
      <c r="E128" s="471" t="s">
        <v>145</v>
      </c>
      <c r="F128" s="347"/>
      <c r="G128" s="92"/>
      <c r="H128" s="330" t="s">
        <v>60</v>
      </c>
      <c r="I128" s="331">
        <f>I127*I125</f>
        <v>195753.84400000001</v>
      </c>
      <c r="J128" s="86"/>
      <c r="K128" s="330" t="s">
        <v>60</v>
      </c>
      <c r="L128" s="464">
        <f>L127*L125</f>
        <v>134172.5</v>
      </c>
      <c r="M128" s="19"/>
    </row>
    <row r="129" spans="1:13" ht="15.75" customHeight="1" x14ac:dyDescent="0.2">
      <c r="A129" s="92"/>
      <c r="B129" s="86"/>
      <c r="C129" s="86"/>
      <c r="D129" s="86"/>
      <c r="E129" s="86"/>
      <c r="F129" s="86"/>
      <c r="G129" s="92"/>
      <c r="H129" s="332" t="s">
        <v>61</v>
      </c>
      <c r="I129" s="333">
        <f>I128*B20</f>
        <v>524.62030192000009</v>
      </c>
      <c r="J129" s="86"/>
      <c r="K129" s="332" t="s">
        <v>61</v>
      </c>
      <c r="L129" s="467">
        <f>L128*B20</f>
        <v>359.58230000000003</v>
      </c>
      <c r="M129" s="19"/>
    </row>
    <row r="130" spans="1:13" ht="15.75" customHeight="1" x14ac:dyDescent="0.2">
      <c r="A130" s="92"/>
      <c r="B130" s="86"/>
      <c r="C130" s="86"/>
      <c r="D130" s="86"/>
      <c r="E130" s="86"/>
      <c r="F130" s="86"/>
      <c r="G130" s="92"/>
      <c r="H130" s="347"/>
      <c r="I130" s="92"/>
      <c r="J130" s="86"/>
      <c r="K130" s="92"/>
      <c r="L130" s="92"/>
      <c r="M130" s="19"/>
    </row>
    <row r="131" spans="1:13" ht="15.75" customHeight="1" x14ac:dyDescent="0.2">
      <c r="A131" s="92"/>
      <c r="B131" s="86"/>
      <c r="C131" s="86"/>
      <c r="D131" s="86"/>
      <c r="E131" s="86"/>
      <c r="F131" s="86"/>
      <c r="G131" s="92"/>
      <c r="H131" s="347"/>
      <c r="I131" s="86"/>
      <c r="J131" s="86"/>
      <c r="K131" s="86"/>
      <c r="L131" s="92"/>
      <c r="M131" s="19"/>
    </row>
    <row r="132" spans="1:13" ht="16.5" customHeight="1" x14ac:dyDescent="0.2">
      <c r="A132" s="92"/>
      <c r="B132" s="86"/>
      <c r="C132" s="86"/>
      <c r="D132" s="86"/>
      <c r="E132" s="86"/>
      <c r="F132" s="86"/>
      <c r="G132" s="92"/>
      <c r="H132" s="468" t="s">
        <v>146</v>
      </c>
      <c r="I132" s="471"/>
      <c r="J132" s="472"/>
      <c r="K132" s="473">
        <f>I129+L129</f>
        <v>884.20260192000012</v>
      </c>
      <c r="L132" s="471" t="s">
        <v>145</v>
      </c>
      <c r="M132" s="19"/>
    </row>
    <row r="133" spans="1:13" ht="15.75" customHeight="1" x14ac:dyDescent="0.2">
      <c r="A133" s="86"/>
      <c r="B133" s="92"/>
      <c r="C133" s="92"/>
      <c r="D133" s="92"/>
      <c r="E133" s="92"/>
      <c r="F133" s="92"/>
      <c r="G133" s="86"/>
      <c r="H133" s="86"/>
      <c r="I133" s="86"/>
      <c r="J133" s="86"/>
      <c r="K133" s="86"/>
      <c r="L133" s="86"/>
    </row>
    <row r="134" spans="1:13" ht="15.75" customHeight="1" x14ac:dyDescent="0.2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</row>
    <row r="135" spans="1:13" ht="15.75" customHeight="1" x14ac:dyDescent="0.2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</row>
  </sheetData>
  <mergeCells count="72">
    <mergeCell ref="H126:I126"/>
    <mergeCell ref="K126:L126"/>
    <mergeCell ref="B117:C117"/>
    <mergeCell ref="B118:C118"/>
    <mergeCell ref="B23:D23"/>
    <mergeCell ref="F27:H27"/>
    <mergeCell ref="B102:C102"/>
    <mergeCell ref="B103:C103"/>
    <mergeCell ref="B107:C107"/>
    <mergeCell ref="B113:E113"/>
    <mergeCell ref="K58:U58"/>
    <mergeCell ref="B63:C63"/>
    <mergeCell ref="E62:F62"/>
    <mergeCell ref="B58:I58"/>
    <mergeCell ref="E63:F63"/>
    <mergeCell ref="H122:I122"/>
    <mergeCell ref="K122:L122"/>
    <mergeCell ref="H113:L113"/>
    <mergeCell ref="H121:I121"/>
    <mergeCell ref="K121:L121"/>
    <mergeCell ref="AF58:AL58"/>
    <mergeCell ref="AI61:AK61"/>
    <mergeCell ref="AI67:AK67"/>
    <mergeCell ref="AI73:AK73"/>
    <mergeCell ref="AF62:AG62"/>
    <mergeCell ref="AF73:AG73"/>
    <mergeCell ref="H63:I63"/>
    <mergeCell ref="K62:L62"/>
    <mergeCell ref="N63:O63"/>
    <mergeCell ref="Q62:R62"/>
    <mergeCell ref="T62:U62"/>
    <mergeCell ref="T63:U63"/>
    <mergeCell ref="Q63:R63"/>
    <mergeCell ref="K63:L63"/>
    <mergeCell ref="H62:I62"/>
    <mergeCell ref="Z85:AA85"/>
    <mergeCell ref="Z84:AA84"/>
    <mergeCell ref="B69:C69"/>
    <mergeCell ref="E69:F69"/>
    <mergeCell ref="H69:I69"/>
    <mergeCell ref="K69:L69"/>
    <mergeCell ref="W69:X69"/>
    <mergeCell ref="Q69:R69"/>
    <mergeCell ref="T69:U69"/>
    <mergeCell ref="E84:F84"/>
    <mergeCell ref="E85:F85"/>
    <mergeCell ref="N84:O84"/>
    <mergeCell ref="N85:O85"/>
    <mergeCell ref="N69:O69"/>
    <mergeCell ref="AC63:AD63"/>
    <mergeCell ref="W63:X63"/>
    <mergeCell ref="W62:X62"/>
    <mergeCell ref="AC67:AD67"/>
    <mergeCell ref="Z62:AA62"/>
    <mergeCell ref="Z63:AA63"/>
    <mergeCell ref="Z67:AA67"/>
    <mergeCell ref="F12:H12"/>
    <mergeCell ref="B12:C12"/>
    <mergeCell ref="B13:C13"/>
    <mergeCell ref="B19:C19"/>
    <mergeCell ref="AC62:AD62"/>
    <mergeCell ref="B47:C47"/>
    <mergeCell ref="F31:H31"/>
    <mergeCell ref="W58:AD58"/>
    <mergeCell ref="N62:O62"/>
    <mergeCell ref="D36:F36"/>
    <mergeCell ref="B62:C62"/>
    <mergeCell ref="B51:C51"/>
    <mergeCell ref="F23:H23"/>
    <mergeCell ref="B28:D28"/>
    <mergeCell ref="B46:C46"/>
    <mergeCell ref="B20:C20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82CE-FD31-4E5D-8628-5BF06FE0790F}">
  <sheetPr>
    <tabColor rgb="FF44546A"/>
  </sheetPr>
  <dimension ref="B2:X160"/>
  <sheetViews>
    <sheetView showGridLines="0" workbookViewId="0"/>
  </sheetViews>
  <sheetFormatPr baseColWidth="10" defaultColWidth="11.5" defaultRowHeight="14" x14ac:dyDescent="0.15"/>
  <cols>
    <col min="1" max="1" width="4.33203125" style="7" customWidth="1"/>
    <col min="2" max="2" width="4.83203125" style="7" customWidth="1"/>
    <col min="3" max="3" width="5.6640625" style="7" customWidth="1"/>
    <col min="4" max="4" width="28.33203125" style="7" customWidth="1"/>
    <col min="5" max="5" width="16" style="7" customWidth="1"/>
    <col min="6" max="6" width="13.83203125" style="7" customWidth="1"/>
    <col min="7" max="7" width="15.5" style="7" customWidth="1"/>
    <col min="8" max="9" width="14.5" style="7" customWidth="1"/>
    <col min="10" max="10" width="13.33203125" style="7" customWidth="1"/>
    <col min="11" max="13" width="14.83203125" style="7" customWidth="1"/>
    <col min="14" max="14" width="14" style="7" customWidth="1"/>
    <col min="15" max="15" width="11.5" style="7"/>
    <col min="16" max="16" width="10.1640625" style="7" bestFit="1" customWidth="1"/>
    <col min="17" max="17" width="12.5" style="7" bestFit="1" customWidth="1"/>
    <col min="18" max="18" width="13.1640625" style="7" customWidth="1"/>
    <col min="19" max="19" width="14.33203125" style="7" bestFit="1" customWidth="1"/>
    <col min="20" max="20" width="13.5" style="7" customWidth="1"/>
    <col min="21" max="21" width="10.83203125" style="7" customWidth="1"/>
    <col min="22" max="22" width="14.33203125" style="7" bestFit="1" customWidth="1"/>
    <col min="23" max="23" width="11.5" style="7" customWidth="1"/>
    <col min="24" max="16384" width="11.5" style="7"/>
  </cols>
  <sheetData>
    <row r="2" spans="2:14" s="293" customFormat="1" ht="25" x14ac:dyDescent="0.25">
      <c r="C2" s="296" t="s">
        <v>9</v>
      </c>
    </row>
    <row r="3" spans="2:14" ht="24" customHeight="1" x14ac:dyDescent="0.2">
      <c r="C3" s="299" t="s">
        <v>3</v>
      </c>
    </row>
    <row r="5" spans="2:14" ht="18" x14ac:dyDescent="0.2">
      <c r="C5" s="300" t="s">
        <v>10</v>
      </c>
    </row>
    <row r="6" spans="2:14" ht="18" x14ac:dyDescent="0.2">
      <c r="C6" s="300" t="s">
        <v>147</v>
      </c>
    </row>
    <row r="7" spans="2:14" ht="18" x14ac:dyDescent="0.2">
      <c r="C7" s="300" t="s">
        <v>148</v>
      </c>
    </row>
    <row r="9" spans="2:14" s="87" customFormat="1" ht="18" x14ac:dyDescent="0.2">
      <c r="C9" s="88" t="s">
        <v>13</v>
      </c>
    </row>
    <row r="10" spans="2:14" x14ac:dyDescent="0.15">
      <c r="B10" s="8"/>
      <c r="C10" s="8"/>
      <c r="G10" s="8"/>
      <c r="K10" s="8"/>
    </row>
    <row r="11" spans="2:14" x14ac:dyDescent="0.15">
      <c r="B11" s="8"/>
      <c r="C11" s="8"/>
      <c r="D11" s="605" t="s">
        <v>13</v>
      </c>
      <c r="E11" s="605"/>
      <c r="F11" s="605"/>
      <c r="G11" s="81"/>
      <c r="I11" s="58"/>
    </row>
    <row r="12" spans="2:14" x14ac:dyDescent="0.15">
      <c r="B12" s="8"/>
      <c r="C12" s="8"/>
      <c r="D12" s="23" t="s">
        <v>149</v>
      </c>
      <c r="E12" s="15"/>
      <c r="F12" s="27">
        <f>'1.1. CO2 analysis'!D31</f>
        <v>278800</v>
      </c>
      <c r="G12" s="81"/>
      <c r="H12" s="16"/>
      <c r="J12" s="81"/>
    </row>
    <row r="13" spans="2:14" x14ac:dyDescent="0.15">
      <c r="B13" s="8"/>
      <c r="C13" s="8"/>
      <c r="D13" s="25" t="s">
        <v>150</v>
      </c>
      <c r="E13" s="26"/>
      <c r="F13" s="27">
        <f>'1.1. CO2 analysis'!C104</f>
        <v>59650</v>
      </c>
      <c r="G13" s="8"/>
    </row>
    <row r="14" spans="2:14" x14ac:dyDescent="0.15">
      <c r="B14" s="8"/>
      <c r="C14" s="8"/>
      <c r="D14" s="28" t="s">
        <v>151</v>
      </c>
      <c r="E14" s="10"/>
      <c r="F14" s="27">
        <f>'1.1. CO2 analysis'!D33</f>
        <v>153550</v>
      </c>
      <c r="G14" s="8"/>
    </row>
    <row r="15" spans="2:14" x14ac:dyDescent="0.15">
      <c r="B15" s="8"/>
      <c r="C15" s="8"/>
      <c r="D15" s="8"/>
      <c r="E15" s="8"/>
      <c r="F15" s="8"/>
      <c r="G15" s="8"/>
    </row>
    <row r="16" spans="2:14" x14ac:dyDescent="0.15">
      <c r="D16" s="25" t="s">
        <v>152</v>
      </c>
      <c r="E16" s="21"/>
      <c r="F16" s="27">
        <v>153150</v>
      </c>
      <c r="N16" s="8"/>
    </row>
    <row r="17" spans="2:14" x14ac:dyDescent="0.15">
      <c r="D17" s="25" t="s">
        <v>153</v>
      </c>
      <c r="E17" s="21"/>
      <c r="F17" s="27">
        <f>F16/30</f>
        <v>5105</v>
      </c>
      <c r="N17" s="8"/>
    </row>
    <row r="18" spans="2:14" x14ac:dyDescent="0.15">
      <c r="D18" s="8"/>
      <c r="E18" s="8"/>
      <c r="F18" s="51"/>
      <c r="N18" s="8"/>
    </row>
    <row r="19" spans="2:14" x14ac:dyDescent="0.15">
      <c r="D19" s="8"/>
      <c r="E19" s="8"/>
      <c r="F19" s="8"/>
      <c r="N19" s="8"/>
    </row>
    <row r="20" spans="2:14" x14ac:dyDescent="0.15">
      <c r="E20" s="606" t="s">
        <v>45</v>
      </c>
      <c r="F20" s="606"/>
      <c r="G20" s="606"/>
      <c r="H20" s="173" t="s">
        <v>46</v>
      </c>
      <c r="N20" s="8"/>
    </row>
    <row r="21" spans="2:14" x14ac:dyDescent="0.15">
      <c r="D21" s="16"/>
      <c r="E21" s="493" t="s">
        <v>47</v>
      </c>
      <c r="F21" s="170" t="s">
        <v>48</v>
      </c>
      <c r="G21" s="493" t="s">
        <v>49</v>
      </c>
      <c r="H21" s="493" t="s">
        <v>47</v>
      </c>
      <c r="N21" s="8"/>
    </row>
    <row r="22" spans="2:14" x14ac:dyDescent="0.15">
      <c r="D22" s="168" t="s">
        <v>50</v>
      </c>
      <c r="E22" s="169">
        <v>17000</v>
      </c>
      <c r="F22" s="169">
        <v>1280</v>
      </c>
      <c r="G22" s="268">
        <v>6300</v>
      </c>
      <c r="H22" s="132">
        <f>H24+H23</f>
        <v>16864.068728522336</v>
      </c>
      <c r="N22" s="8"/>
    </row>
    <row r="23" spans="2:14" x14ac:dyDescent="0.15">
      <c r="D23" s="20" t="s">
        <v>51</v>
      </c>
      <c r="E23" s="169">
        <f>(17000/300)*70</f>
        <v>3966.6666666666665</v>
      </c>
      <c r="F23" s="169">
        <f>'1.1. CO2 analysis'!AK69</f>
        <v>199.8</v>
      </c>
      <c r="G23" s="268">
        <f>4000/300*60</f>
        <v>800</v>
      </c>
      <c r="H23" s="172">
        <f>'1.1. CO2 analysis'!AK63</f>
        <v>8613.4020618556697</v>
      </c>
      <c r="N23" s="8"/>
    </row>
    <row r="24" spans="2:14" x14ac:dyDescent="0.15">
      <c r="D24" s="20" t="s">
        <v>52</v>
      </c>
      <c r="E24" s="169">
        <f>E22-E23</f>
        <v>13033.333333333334</v>
      </c>
      <c r="F24" s="169">
        <f>F22-F23</f>
        <v>1080.2</v>
      </c>
      <c r="G24" s="268">
        <f>G22-G23</f>
        <v>5500</v>
      </c>
      <c r="H24" s="172">
        <f>'1.1. CO2 analysis'!G40</f>
        <v>8250.6666666666661</v>
      </c>
      <c r="N24" s="8"/>
    </row>
    <row r="25" spans="2:14" x14ac:dyDescent="0.15">
      <c r="D25" s="8"/>
      <c r="E25" s="8"/>
      <c r="F25" s="8"/>
      <c r="N25" s="8"/>
    </row>
    <row r="26" spans="2:14" x14ac:dyDescent="0.15">
      <c r="D26" s="8"/>
      <c r="E26" s="8"/>
      <c r="F26" s="8"/>
      <c r="N26" s="8"/>
    </row>
    <row r="27" spans="2:14" s="87" customFormat="1" ht="18" x14ac:dyDescent="0.2">
      <c r="C27" s="88" t="s">
        <v>154</v>
      </c>
      <c r="N27" s="89"/>
    </row>
    <row r="28" spans="2:14" ht="18" x14ac:dyDescent="0.2">
      <c r="D28" s="286"/>
      <c r="N28" s="8"/>
    </row>
    <row r="29" spans="2:14" ht="16" x14ac:dyDescent="0.2">
      <c r="B29" s="281" t="s">
        <v>155</v>
      </c>
      <c r="C29" s="285"/>
      <c r="D29" s="284" t="s">
        <v>156</v>
      </c>
      <c r="E29" s="8"/>
      <c r="N29" s="8"/>
    </row>
    <row r="30" spans="2:14" ht="16" x14ac:dyDescent="0.2">
      <c r="B30" s="281"/>
      <c r="C30" s="281"/>
      <c r="D30" s="8"/>
      <c r="N30" s="8"/>
    </row>
    <row r="31" spans="2:14" x14ac:dyDescent="0.15">
      <c r="D31" s="8" t="s">
        <v>157</v>
      </c>
      <c r="E31" s="197">
        <f>'1.1. CO2 analysis'!X73/'1.1. CO2 analysis'!X64*1000</f>
        <v>3.9439646666666657</v>
      </c>
      <c r="F31" s="7" t="s">
        <v>158</v>
      </c>
      <c r="N31" s="8"/>
    </row>
    <row r="32" spans="2:14" x14ac:dyDescent="0.15">
      <c r="D32" s="7" t="s">
        <v>159</v>
      </c>
      <c r="E32" s="197">
        <f>'1.1. CO2 analysis'!AA70/'1.1. CO2 analysis'!AA64*1000</f>
        <v>2.8949360000000004</v>
      </c>
      <c r="F32" s="7" t="s">
        <v>158</v>
      </c>
      <c r="N32" s="8"/>
    </row>
    <row r="33" spans="2:14" x14ac:dyDescent="0.15">
      <c r="D33" s="10" t="s">
        <v>160</v>
      </c>
      <c r="E33" s="10">
        <f>'1.1. CO2 analysis'!AD70/'1.1. CO2 analysis'!AD64*1000</f>
        <v>3.4840000000000004</v>
      </c>
      <c r="F33" s="10" t="s">
        <v>158</v>
      </c>
      <c r="N33" s="8"/>
    </row>
    <row r="34" spans="2:14" x14ac:dyDescent="0.15">
      <c r="E34" s="55"/>
      <c r="N34" s="8"/>
    </row>
    <row r="35" spans="2:14" x14ac:dyDescent="0.15">
      <c r="D35" s="8"/>
      <c r="E35" s="55"/>
      <c r="N35" s="8"/>
    </row>
    <row r="36" spans="2:14" ht="16" x14ac:dyDescent="0.2">
      <c r="B36" s="281" t="s">
        <v>161</v>
      </c>
      <c r="C36" s="285"/>
      <c r="D36" s="284" t="s">
        <v>162</v>
      </c>
      <c r="E36" s="55"/>
      <c r="N36" s="8"/>
    </row>
    <row r="37" spans="2:14" x14ac:dyDescent="0.15">
      <c r="D37" s="8"/>
      <c r="N37" s="8"/>
    </row>
    <row r="38" spans="2:14" x14ac:dyDescent="0.15">
      <c r="C38" s="8"/>
      <c r="D38" s="10"/>
      <c r="E38" s="30" t="s">
        <v>163</v>
      </c>
      <c r="N38" s="8"/>
    </row>
    <row r="39" spans="2:14" x14ac:dyDescent="0.15">
      <c r="D39" s="8" t="s">
        <v>164</v>
      </c>
      <c r="E39" s="8"/>
      <c r="N39" s="8"/>
    </row>
    <row r="40" spans="2:14" x14ac:dyDescent="0.15">
      <c r="D40" s="16" t="s">
        <v>165</v>
      </c>
      <c r="E40" s="45">
        <f>'1.1. CO2 analysis'!AK65</f>
        <v>229.49261340206183</v>
      </c>
      <c r="N40" s="8"/>
    </row>
    <row r="41" spans="2:14" x14ac:dyDescent="0.15">
      <c r="D41" s="16" t="s">
        <v>166</v>
      </c>
      <c r="E41" s="45">
        <f>'1.1. CO2 analysis'!AK71</f>
        <v>57.294648000000002</v>
      </c>
      <c r="N41" s="8"/>
    </row>
    <row r="42" spans="2:14" x14ac:dyDescent="0.15">
      <c r="D42" s="16" t="s">
        <v>167</v>
      </c>
      <c r="E42" s="45">
        <f>'1.1. CO2 analysis'!AK77</f>
        <v>22.8872</v>
      </c>
      <c r="N42" s="8"/>
    </row>
    <row r="43" spans="2:14" x14ac:dyDescent="0.15">
      <c r="D43" s="7" t="s">
        <v>168</v>
      </c>
      <c r="N43" s="8"/>
    </row>
    <row r="44" spans="2:14" x14ac:dyDescent="0.15">
      <c r="D44" s="16" t="s">
        <v>169</v>
      </c>
      <c r="E44" s="45">
        <f>'1.1. CO2 analysis'!AG71</f>
        <v>3.5278501600000003</v>
      </c>
      <c r="N44" s="8"/>
    </row>
    <row r="45" spans="2:14" x14ac:dyDescent="0.15">
      <c r="D45" s="190" t="s">
        <v>170</v>
      </c>
      <c r="E45" s="191">
        <f>'1.1. CO2 analysis'!AG77</f>
        <v>136.68</v>
      </c>
      <c r="N45" s="8"/>
    </row>
    <row r="46" spans="2:14" x14ac:dyDescent="0.15">
      <c r="D46" s="10" t="s">
        <v>171</v>
      </c>
      <c r="E46" s="191">
        <f>SUM(E40:E45)</f>
        <v>449.88231156206189</v>
      </c>
      <c r="N46" s="8"/>
    </row>
    <row r="47" spans="2:14" x14ac:dyDescent="0.15">
      <c r="D47" s="8"/>
      <c r="E47" s="8"/>
      <c r="F47" s="196"/>
      <c r="N47" s="8"/>
    </row>
    <row r="48" spans="2:14" x14ac:dyDescent="0.15">
      <c r="D48" s="8"/>
      <c r="E48" s="196"/>
      <c r="N48" s="8"/>
    </row>
    <row r="49" spans="2:14" ht="16" x14ac:dyDescent="0.2">
      <c r="B49" s="282" t="s">
        <v>172</v>
      </c>
      <c r="C49" s="282"/>
      <c r="D49" s="283" t="s">
        <v>173</v>
      </c>
      <c r="N49" s="8"/>
    </row>
    <row r="50" spans="2:14" x14ac:dyDescent="0.15">
      <c r="E50" s="38"/>
      <c r="F50" s="38"/>
      <c r="G50" s="38"/>
      <c r="H50" s="38"/>
      <c r="N50" s="8"/>
    </row>
    <row r="51" spans="2:14" ht="15" x14ac:dyDescent="0.15">
      <c r="B51" s="8"/>
      <c r="C51" s="8"/>
      <c r="D51" s="10"/>
      <c r="E51" s="195" t="s">
        <v>174</v>
      </c>
      <c r="F51" s="195" t="s">
        <v>175</v>
      </c>
      <c r="G51" s="195" t="s">
        <v>176</v>
      </c>
      <c r="H51" s="67" t="s">
        <v>177</v>
      </c>
      <c r="I51" s="8"/>
      <c r="N51" s="8"/>
    </row>
    <row r="52" spans="2:14" x14ac:dyDescent="0.15">
      <c r="B52" s="8"/>
      <c r="C52" s="8"/>
      <c r="D52" s="38" t="s">
        <v>178</v>
      </c>
      <c r="E52" s="38"/>
      <c r="F52" s="38"/>
      <c r="G52" s="38"/>
      <c r="H52" s="38"/>
      <c r="I52" s="8"/>
      <c r="N52" s="8"/>
    </row>
    <row r="53" spans="2:14" x14ac:dyDescent="0.15">
      <c r="B53" s="8"/>
      <c r="C53" s="8"/>
      <c r="D53" s="66" t="s">
        <v>179</v>
      </c>
      <c r="E53" s="38"/>
      <c r="G53" s="38"/>
      <c r="H53" s="14">
        <f>'1.1. CO2 analysis'!C54</f>
        <v>219.82801244444443</v>
      </c>
      <c r="I53" s="8"/>
      <c r="N53" s="8"/>
    </row>
    <row r="54" spans="2:14" ht="16" x14ac:dyDescent="0.2">
      <c r="B54" s="8"/>
      <c r="C54" s="8"/>
      <c r="D54" s="66" t="s">
        <v>180</v>
      </c>
      <c r="E54" s="14">
        <f>'1.1. CO2 analysis'!D76</f>
        <v>31.090527916666666</v>
      </c>
      <c r="F54" s="14">
        <f>'1.1. CO2 analysis'!M76</f>
        <v>2.0483171333333332</v>
      </c>
      <c r="G54" s="14">
        <v>0</v>
      </c>
      <c r="H54" s="14">
        <f>SUM(E54:G54)</f>
        <v>33.13884505</v>
      </c>
      <c r="I54" s="8"/>
      <c r="L54" s="86"/>
      <c r="N54" s="8"/>
    </row>
    <row r="55" spans="2:14" x14ac:dyDescent="0.15">
      <c r="B55" s="8"/>
      <c r="C55" s="8"/>
      <c r="D55" s="66" t="s">
        <v>181</v>
      </c>
      <c r="E55" s="14">
        <f>'1.1. CO2 analysis'!D77</f>
        <v>112.31834016666667</v>
      </c>
      <c r="F55" s="14">
        <f>'1.1. CO2 analysis'!M77</f>
        <v>43.527375206666669</v>
      </c>
      <c r="G55" s="14">
        <f>'1.1. CO2 analysis'!Y79</f>
        <v>517.68442200000004</v>
      </c>
      <c r="H55" s="14">
        <f>SUM(E55:G55)</f>
        <v>673.53013737333345</v>
      </c>
      <c r="I55" s="51"/>
      <c r="N55" s="8"/>
    </row>
    <row r="56" spans="2:14" x14ac:dyDescent="0.15">
      <c r="B56" s="8"/>
      <c r="C56" s="8"/>
      <c r="D56" s="38" t="s">
        <v>182</v>
      </c>
      <c r="E56" s="38"/>
      <c r="F56" s="38"/>
      <c r="G56" s="38"/>
      <c r="H56" s="38"/>
      <c r="I56" s="8"/>
      <c r="N56" s="8"/>
    </row>
    <row r="57" spans="2:14" x14ac:dyDescent="0.15">
      <c r="B57" s="8"/>
      <c r="C57" s="8"/>
      <c r="D57" s="66" t="s">
        <v>183</v>
      </c>
      <c r="E57" s="14">
        <f>'1.1. CO2 analysis'!F94</f>
        <v>357.03531733333335</v>
      </c>
      <c r="F57" s="14">
        <f>'1.1. CO2 analysis'!O94</f>
        <v>46.043141466666661</v>
      </c>
      <c r="G57" s="14">
        <f>'1.1. CO2 analysis'!AA94</f>
        <v>500.36135999999999</v>
      </c>
      <c r="H57" s="14">
        <f>SUM(E57:G57)</f>
        <v>903.43981880000001</v>
      </c>
      <c r="I57" s="8"/>
      <c r="N57" s="8"/>
    </row>
    <row r="58" spans="2:14" x14ac:dyDescent="0.15">
      <c r="B58" s="8"/>
      <c r="C58" s="8"/>
      <c r="D58" s="68" t="s">
        <v>171</v>
      </c>
      <c r="E58" s="69">
        <f>E54+E55+E57</f>
        <v>500.4441854166667</v>
      </c>
      <c r="F58" s="69">
        <f>F54+F55+F57</f>
        <v>91.618833806666657</v>
      </c>
      <c r="G58" s="69">
        <f>G54+G55+G57</f>
        <v>1018.045782</v>
      </c>
      <c r="H58" s="84">
        <f>SUM(H53:H57)</f>
        <v>1829.9368136677779</v>
      </c>
      <c r="I58" s="8"/>
      <c r="N58" s="8"/>
    </row>
    <row r="59" spans="2:14" x14ac:dyDescent="0.15">
      <c r="B59" s="8"/>
      <c r="C59" s="8"/>
      <c r="D59" s="70" t="s">
        <v>184</v>
      </c>
      <c r="E59" s="10"/>
      <c r="F59" s="10"/>
      <c r="G59" s="10"/>
      <c r="H59" s="71">
        <f>H58+E46</f>
        <v>2279.8191252298398</v>
      </c>
      <c r="I59" s="51"/>
      <c r="N59" s="8"/>
    </row>
    <row r="60" spans="2:14" x14ac:dyDescent="0.15">
      <c r="B60" s="8"/>
      <c r="C60" s="8"/>
      <c r="D60" s="37"/>
      <c r="E60" s="8"/>
      <c r="F60" s="8"/>
      <c r="G60" s="8"/>
      <c r="H60" s="39"/>
      <c r="I60" s="51"/>
      <c r="N60" s="8"/>
    </row>
    <row r="61" spans="2:14" x14ac:dyDescent="0.15">
      <c r="B61" s="8"/>
      <c r="C61" s="8"/>
      <c r="D61" s="37"/>
      <c r="E61" s="8"/>
      <c r="F61" s="8"/>
      <c r="G61" s="8"/>
      <c r="H61" s="39"/>
      <c r="I61" s="51"/>
      <c r="N61" s="8"/>
    </row>
    <row r="62" spans="2:14" ht="16" x14ac:dyDescent="0.2">
      <c r="B62" s="282" t="s">
        <v>185</v>
      </c>
      <c r="C62" s="282"/>
      <c r="D62" s="284" t="s">
        <v>186</v>
      </c>
      <c r="E62" s="8"/>
      <c r="F62" s="8"/>
      <c r="G62" s="8"/>
      <c r="H62" s="8"/>
      <c r="N62" s="8"/>
    </row>
    <row r="63" spans="2:14" x14ac:dyDescent="0.15">
      <c r="B63" s="8"/>
      <c r="C63" s="8"/>
      <c r="D63" s="37"/>
      <c r="E63" s="8"/>
      <c r="F63" s="8"/>
      <c r="G63" s="8"/>
      <c r="H63" s="39"/>
      <c r="I63" s="51"/>
      <c r="N63" s="8"/>
    </row>
    <row r="64" spans="2:14" x14ac:dyDescent="0.15">
      <c r="B64" s="8"/>
      <c r="C64" s="8"/>
      <c r="D64" s="10"/>
      <c r="E64" s="30" t="s">
        <v>46</v>
      </c>
      <c r="F64" s="30" t="s">
        <v>187</v>
      </c>
      <c r="G64" s="30" t="s">
        <v>81</v>
      </c>
      <c r="H64" s="30" t="s">
        <v>128</v>
      </c>
      <c r="I64" s="51"/>
      <c r="N64" s="8"/>
    </row>
    <row r="65" spans="2:19" x14ac:dyDescent="0.15">
      <c r="B65" s="8"/>
      <c r="C65" s="8"/>
      <c r="D65" s="31" t="s">
        <v>176</v>
      </c>
      <c r="E65" s="32"/>
      <c r="F65" s="32">
        <f>('1.1. CO2 analysis'!X73+'1.1. CO2 analysis'!AD70)/('1.1. CO2 analysis'!X64+'1.1. CO2 analysis'!AD64)*1000</f>
        <v>3.6035748700173311</v>
      </c>
      <c r="G65" s="32">
        <f>'1.1. CO2 analysis'!AA70/'1.1. CO2 analysis'!AA64*1000</f>
        <v>2.8949360000000004</v>
      </c>
      <c r="H65" s="32">
        <f>'1.1. CO2 analysis'!AA94/'1.1. CO2 analysis'!AA87*1000</f>
        <v>2.2538799999999997</v>
      </c>
      <c r="I65" s="51"/>
      <c r="N65" s="8"/>
    </row>
    <row r="66" spans="2:19" x14ac:dyDescent="0.15">
      <c r="B66" s="8"/>
      <c r="C66" s="8"/>
      <c r="D66" s="31" t="s">
        <v>175</v>
      </c>
      <c r="E66" s="32">
        <f>('1.1. CO2 analysis'!L73/'1.1. CO2 analysis'!L64)*1000</f>
        <v>0.73154183333333322</v>
      </c>
      <c r="F66" s="32">
        <f>('1.1. CO2 analysis'!O73+'1.1. CO2 analysis'!U73)/('1.1. CO2 analysis'!O64+'1.1. CO2 analysis'!U64)*1000</f>
        <v>2.4265589060175792</v>
      </c>
      <c r="G66" s="32">
        <f>'1.1. CO2 analysis'!R73/'1.1. CO2 analysis'!R64*1000</f>
        <v>3.8167400000000002</v>
      </c>
      <c r="H66" s="32">
        <f>'1.1. CO2 analysis'!O94/'1.1. CO2 analysis'!O87*1000</f>
        <v>2.5410122222222222</v>
      </c>
      <c r="I66" s="51"/>
      <c r="N66" s="8"/>
    </row>
    <row r="67" spans="2:19" x14ac:dyDescent="0.15">
      <c r="B67" s="8"/>
      <c r="C67" s="8"/>
      <c r="D67" s="79" t="s">
        <v>174</v>
      </c>
      <c r="E67" s="72">
        <f>('1.1. CO2 analysis'!C73/'1.1. CO2 analysis'!C64)*1000</f>
        <v>1.4630836666666664</v>
      </c>
      <c r="F67" s="72">
        <f>('1.1. CO2 analysis'!F73/'1.1. CO2 analysis'!F64)*1000</f>
        <v>1.7586666666666667E-2</v>
      </c>
      <c r="G67" s="72">
        <f>'1.1. CO2 analysis'!I73/'1.1. CO2 analysis'!I64*1000</f>
        <v>1.8447576666666665</v>
      </c>
      <c r="H67" s="72">
        <f>'1.1. CO2 analysis'!F94/'1.1. CO2 analysis'!F87*1000</f>
        <v>2.7806488888888889</v>
      </c>
      <c r="I67" s="51"/>
      <c r="N67" s="8"/>
    </row>
    <row r="68" spans="2:19" x14ac:dyDescent="0.15">
      <c r="B68" s="8"/>
      <c r="C68" s="8"/>
      <c r="D68" s="37"/>
      <c r="E68" s="8"/>
      <c r="F68" s="8"/>
      <c r="G68" s="8"/>
      <c r="H68" s="39"/>
      <c r="I68" s="51"/>
      <c r="N68" s="8"/>
    </row>
    <row r="69" spans="2:19" ht="18" x14ac:dyDescent="0.2">
      <c r="D69" s="17"/>
      <c r="G69" s="7" t="s">
        <v>188</v>
      </c>
      <c r="N69" s="8"/>
    </row>
    <row r="70" spans="2:19" ht="16" x14ac:dyDescent="0.2">
      <c r="B70" s="282" t="s">
        <v>189</v>
      </c>
      <c r="C70" s="85"/>
      <c r="D70" s="283" t="s">
        <v>190</v>
      </c>
      <c r="E70" s="8"/>
      <c r="F70" s="8"/>
      <c r="M70" s="32"/>
    </row>
    <row r="71" spans="2:19" ht="16" x14ac:dyDescent="0.2">
      <c r="B71" s="282"/>
      <c r="C71" s="85"/>
      <c r="D71" s="283"/>
      <c r="E71" s="8"/>
      <c r="F71" s="8"/>
      <c r="K71" s="6"/>
      <c r="M71" s="32"/>
    </row>
    <row r="72" spans="2:19" ht="16" x14ac:dyDescent="0.2">
      <c r="B72" s="282"/>
      <c r="C72" s="85"/>
      <c r="D72" s="8"/>
      <c r="E72" s="195" t="s">
        <v>174</v>
      </c>
      <c r="F72" s="195" t="s">
        <v>175</v>
      </c>
      <c r="G72" s="195" t="s">
        <v>176</v>
      </c>
      <c r="H72" s="195" t="s">
        <v>177</v>
      </c>
      <c r="K72" s="6"/>
      <c r="M72" s="32"/>
    </row>
    <row r="73" spans="2:19" ht="16" x14ac:dyDescent="0.2">
      <c r="B73" s="282"/>
      <c r="C73" s="85"/>
      <c r="D73" s="192" t="s">
        <v>191</v>
      </c>
      <c r="E73" s="203">
        <f>E58/'1.1. CO2 analysis'!F86*1000</f>
        <v>9.3540969236760141</v>
      </c>
      <c r="F73" s="203">
        <f>F58/'1.1. CO2 analysis'!O86*1000</f>
        <v>12.134944875055186</v>
      </c>
      <c r="G73" s="203">
        <f>G58/'1.1. CO2 analysis'!AA86*1000</f>
        <v>11.005900345945946</v>
      </c>
      <c r="H73" s="203">
        <f>H58/F14*1000</f>
        <v>11.917530535120664</v>
      </c>
      <c r="J73" s="188"/>
      <c r="K73" s="6"/>
      <c r="M73" s="32"/>
    </row>
    <row r="74" spans="2:19" ht="16" x14ac:dyDescent="0.2">
      <c r="B74" s="282"/>
      <c r="C74" s="85"/>
      <c r="J74" s="188"/>
      <c r="K74" s="6"/>
      <c r="M74" s="32"/>
    </row>
    <row r="75" spans="2:19" ht="16" x14ac:dyDescent="0.2">
      <c r="B75" s="282"/>
      <c r="C75" s="85"/>
      <c r="D75" s="283"/>
      <c r="E75" s="8"/>
      <c r="F75" s="8"/>
      <c r="K75" s="6"/>
      <c r="M75" s="32"/>
    </row>
    <row r="76" spans="2:19" ht="16" x14ac:dyDescent="0.2">
      <c r="B76" s="282"/>
      <c r="C76" s="85"/>
      <c r="D76" s="283"/>
      <c r="E76" s="8"/>
      <c r="F76" s="8"/>
      <c r="K76" s="6"/>
      <c r="M76" s="32"/>
    </row>
    <row r="77" spans="2:19" ht="16" x14ac:dyDescent="0.2">
      <c r="B77" s="282" t="s">
        <v>192</v>
      </c>
      <c r="C77" s="85"/>
      <c r="D77" s="283" t="s">
        <v>193</v>
      </c>
      <c r="E77" s="8"/>
      <c r="F77" s="8"/>
      <c r="K77" s="6"/>
      <c r="M77" s="32"/>
    </row>
    <row r="78" spans="2:19" ht="16" x14ac:dyDescent="0.2">
      <c r="B78" s="282"/>
      <c r="C78" s="85"/>
      <c r="D78" s="283"/>
      <c r="E78" s="8"/>
      <c r="F78" s="8"/>
      <c r="K78" s="6"/>
      <c r="M78" s="32"/>
    </row>
    <row r="79" spans="2:19" ht="15" customHeight="1" x14ac:dyDescent="0.15">
      <c r="B79" s="8"/>
      <c r="C79" s="8"/>
      <c r="D79" s="38"/>
      <c r="E79" s="77" t="s">
        <v>135</v>
      </c>
      <c r="F79" s="77" t="s">
        <v>136</v>
      </c>
      <c r="G79" s="8"/>
    </row>
    <row r="80" spans="2:19" x14ac:dyDescent="0.15">
      <c r="B80" s="8"/>
      <c r="C80" s="8"/>
      <c r="D80" s="34" t="s">
        <v>194</v>
      </c>
      <c r="E80" s="68"/>
      <c r="F80" s="68"/>
      <c r="G80" s="8"/>
      <c r="Q80" s="8"/>
      <c r="R80" s="51"/>
      <c r="S80" s="36"/>
    </row>
    <row r="81" spans="2:24" x14ac:dyDescent="0.15">
      <c r="B81" s="8"/>
      <c r="C81" s="8"/>
      <c r="D81" s="66" t="s">
        <v>195</v>
      </c>
      <c r="E81" s="14">
        <f>'1.1. CO2 analysis'!C110</f>
        <v>219.82801244444443</v>
      </c>
      <c r="F81" s="14">
        <f>E81</f>
        <v>219.82801244444443</v>
      </c>
      <c r="G81" s="8"/>
      <c r="Q81" s="8"/>
      <c r="R81" s="186"/>
      <c r="S81" s="163"/>
    </row>
    <row r="82" spans="2:24" x14ac:dyDescent="0.15">
      <c r="B82" s="8"/>
      <c r="C82" s="8"/>
      <c r="D82" s="66" t="s">
        <v>181</v>
      </c>
      <c r="E82" s="14">
        <f>'1.1. CO2 analysis'!D128</f>
        <v>1606.7493333333334</v>
      </c>
      <c r="F82" s="14">
        <f>'1.1. CO2 analysis'!K132</f>
        <v>884.20260192000012</v>
      </c>
      <c r="G82" s="8"/>
      <c r="Q82" s="194"/>
      <c r="R82" s="214"/>
      <c r="S82" s="167"/>
    </row>
    <row r="83" spans="2:24" ht="15" customHeight="1" x14ac:dyDescent="0.15">
      <c r="B83" s="8"/>
      <c r="C83" s="8"/>
      <c r="D83" s="66" t="s">
        <v>196</v>
      </c>
      <c r="E83" s="38"/>
      <c r="F83" s="38"/>
      <c r="G83" s="8"/>
      <c r="Q83" s="73"/>
      <c r="R83" s="186"/>
      <c r="S83" s="163"/>
    </row>
    <row r="84" spans="2:24" ht="15.75" customHeight="1" x14ac:dyDescent="0.15">
      <c r="B84" s="8"/>
      <c r="C84" s="8"/>
      <c r="D84" s="66" t="s">
        <v>183</v>
      </c>
      <c r="E84" s="14">
        <v>0</v>
      </c>
      <c r="F84" s="14">
        <v>0</v>
      </c>
      <c r="G84" s="8"/>
      <c r="H84" s="76"/>
      <c r="O84" s="8"/>
      <c r="R84" s="216"/>
      <c r="S84" s="167"/>
    </row>
    <row r="85" spans="2:24" ht="15.75" customHeight="1" x14ac:dyDescent="0.15">
      <c r="B85" s="8"/>
      <c r="C85" s="8"/>
      <c r="D85" s="75" t="s">
        <v>184</v>
      </c>
      <c r="E85" s="35">
        <f>E81+E82+E84</f>
        <v>1826.5773457777777</v>
      </c>
      <c r="F85" s="35">
        <f>F81+F82+F84</f>
        <v>1104.0306143644445</v>
      </c>
      <c r="G85" s="76"/>
      <c r="H85" s="76"/>
      <c r="R85" s="217"/>
      <c r="S85" s="163"/>
    </row>
    <row r="86" spans="2:24" x14ac:dyDescent="0.15">
      <c r="B86" s="8"/>
      <c r="C86" s="8"/>
      <c r="D86" s="80"/>
      <c r="E86" s="78"/>
      <c r="F86" s="78"/>
      <c r="G86" s="8"/>
    </row>
    <row r="87" spans="2:24" ht="21.75" customHeight="1" x14ac:dyDescent="0.15">
      <c r="B87" s="8"/>
      <c r="C87" s="8"/>
      <c r="D87" s="8"/>
      <c r="E87" s="8"/>
      <c r="F87" s="8"/>
      <c r="S87" s="16"/>
    </row>
    <row r="88" spans="2:24" x14ac:dyDescent="0.15">
      <c r="R88" s="167"/>
    </row>
    <row r="89" spans="2:24" ht="16" x14ac:dyDescent="0.2">
      <c r="B89" s="282" t="s">
        <v>197</v>
      </c>
      <c r="D89" s="283" t="s">
        <v>198</v>
      </c>
      <c r="P89" s="8"/>
      <c r="S89" s="8"/>
    </row>
    <row r="90" spans="2:24" ht="15" customHeight="1" x14ac:dyDescent="0.15">
      <c r="S90" s="8"/>
      <c r="T90" s="8"/>
      <c r="U90" s="8"/>
      <c r="V90" s="8"/>
      <c r="W90" s="8"/>
      <c r="X90" s="8"/>
    </row>
    <row r="91" spans="2:24" ht="18" customHeight="1" x14ac:dyDescent="0.15">
      <c r="C91" s="10"/>
      <c r="D91" s="10"/>
      <c r="E91" s="30" t="s">
        <v>199</v>
      </c>
      <c r="F91" s="200" t="s">
        <v>135</v>
      </c>
      <c r="G91" s="200" t="s">
        <v>136</v>
      </c>
      <c r="Q91" s="8"/>
      <c r="R91" s="8"/>
      <c r="S91" s="8"/>
      <c r="T91" s="8"/>
      <c r="U91" s="8"/>
      <c r="V91" s="8"/>
      <c r="W91" s="8"/>
      <c r="X91" s="8"/>
    </row>
    <row r="92" spans="2:24" ht="18" customHeight="1" x14ac:dyDescent="0.15">
      <c r="C92" s="7" t="s">
        <v>178</v>
      </c>
      <c r="D92" s="8"/>
      <c r="F92" s="15"/>
      <c r="G92" s="15"/>
      <c r="K92" s="6"/>
      <c r="N92" s="8"/>
      <c r="P92" s="6"/>
      <c r="Q92" s="8"/>
      <c r="R92" s="8"/>
      <c r="S92" s="8"/>
      <c r="T92" s="8"/>
      <c r="U92" s="8"/>
      <c r="V92" s="8"/>
      <c r="W92" s="8"/>
      <c r="X92" s="8"/>
    </row>
    <row r="93" spans="2:24" ht="15.75" customHeight="1" x14ac:dyDescent="0.15">
      <c r="C93" s="16" t="s">
        <v>179</v>
      </c>
      <c r="E93" s="36">
        <f>H53</f>
        <v>219.82801244444443</v>
      </c>
      <c r="F93" s="36">
        <f>E81</f>
        <v>219.82801244444443</v>
      </c>
      <c r="G93" s="36">
        <f>F81</f>
        <v>219.82801244444443</v>
      </c>
      <c r="O93" s="8"/>
      <c r="P93" s="8"/>
      <c r="Q93" s="8"/>
      <c r="R93" s="8"/>
      <c r="S93" s="8"/>
      <c r="T93" s="8"/>
      <c r="V93" s="8"/>
      <c r="W93" s="8"/>
      <c r="X93" s="8"/>
    </row>
    <row r="94" spans="2:24" ht="17.25" customHeight="1" x14ac:dyDescent="0.15">
      <c r="C94" s="16" t="s">
        <v>180</v>
      </c>
      <c r="E94" s="36">
        <f>H54</f>
        <v>33.13884505</v>
      </c>
      <c r="F94" s="7">
        <v>0</v>
      </c>
      <c r="G94" s="7">
        <v>0</v>
      </c>
      <c r="O94" s="8"/>
      <c r="P94" s="8"/>
      <c r="Q94" s="8"/>
      <c r="R94" s="8"/>
      <c r="S94" s="8"/>
      <c r="T94" s="8"/>
      <c r="U94" s="194"/>
      <c r="V94" s="8"/>
      <c r="W94" s="8"/>
      <c r="X94" s="8"/>
    </row>
    <row r="95" spans="2:24" ht="16.5" customHeight="1" x14ac:dyDescent="0.15">
      <c r="C95" s="16" t="s">
        <v>181</v>
      </c>
      <c r="E95" s="36">
        <f>H55</f>
        <v>673.53013737333345</v>
      </c>
      <c r="F95" s="36">
        <f>E82</f>
        <v>1606.7493333333334</v>
      </c>
      <c r="G95" s="36">
        <f>F82</f>
        <v>884.20260192000012</v>
      </c>
      <c r="H95" s="8"/>
      <c r="I95" s="8"/>
      <c r="J95" s="493" t="s">
        <v>135</v>
      </c>
      <c r="K95" s="493" t="s">
        <v>136</v>
      </c>
      <c r="O95" s="8"/>
      <c r="P95" s="8"/>
      <c r="Q95" s="8"/>
      <c r="R95" s="8"/>
      <c r="S95" s="8"/>
      <c r="T95" s="8"/>
      <c r="V95" s="8"/>
      <c r="W95" s="8"/>
      <c r="X95" s="8"/>
    </row>
    <row r="96" spans="2:24" ht="17.25" customHeight="1" x14ac:dyDescent="0.15">
      <c r="C96" s="7" t="s">
        <v>200</v>
      </c>
      <c r="E96" s="45">
        <f>E46</f>
        <v>449.88231156206189</v>
      </c>
      <c r="F96" s="7">
        <v>0</v>
      </c>
      <c r="G96" s="45">
        <v>0</v>
      </c>
      <c r="H96" s="8"/>
      <c r="I96" s="168" t="s">
        <v>201</v>
      </c>
      <c r="J96" s="287">
        <f>E99-F99</f>
        <v>453.24177945206202</v>
      </c>
      <c r="K96" s="148">
        <f>E99-G99</f>
        <v>1175.7885108653952</v>
      </c>
      <c r="O96" s="8"/>
      <c r="P96" s="8"/>
      <c r="Q96" s="8"/>
      <c r="R96" s="8"/>
      <c r="S96" s="8"/>
      <c r="T96" s="8"/>
      <c r="V96" s="8"/>
      <c r="W96" s="8"/>
      <c r="X96" s="8"/>
    </row>
    <row r="97" spans="2:24" ht="15" customHeight="1" x14ac:dyDescent="0.15">
      <c r="C97" s="7" t="s">
        <v>182</v>
      </c>
      <c r="I97" s="168" t="s">
        <v>202</v>
      </c>
      <c r="J97" s="210">
        <f>J96/E99</f>
        <v>0.19880602563432243</v>
      </c>
      <c r="K97" s="210">
        <f>K96/E99</f>
        <v>0.51573762929410383</v>
      </c>
      <c r="L97" s="8"/>
      <c r="M97" s="8"/>
      <c r="N97" s="8"/>
      <c r="O97" s="8"/>
      <c r="P97" s="8"/>
      <c r="Q97" s="8"/>
      <c r="R97" s="8"/>
      <c r="S97" s="8"/>
      <c r="T97" s="8"/>
      <c r="V97" s="8"/>
      <c r="W97" s="8"/>
      <c r="X97" s="8"/>
    </row>
    <row r="98" spans="2:24" x14ac:dyDescent="0.15">
      <c r="C98" s="16" t="s">
        <v>183</v>
      </c>
      <c r="D98" s="10"/>
      <c r="E98" s="95">
        <f>H57</f>
        <v>903.43981880000001</v>
      </c>
      <c r="F98" s="36">
        <v>0</v>
      </c>
      <c r="G98" s="36"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2:24" x14ac:dyDescent="0.15">
      <c r="C99" s="201" t="s">
        <v>184</v>
      </c>
      <c r="D99" s="10"/>
      <c r="E99" s="100">
        <f>SUM(E93:E98)</f>
        <v>2279.8191252298398</v>
      </c>
      <c r="F99" s="182">
        <f>F93+F95+F98</f>
        <v>1826.5773457777777</v>
      </c>
      <c r="G99" s="182">
        <f>G93+G95+G96+G98</f>
        <v>1104.0306143644445</v>
      </c>
      <c r="I99" s="36"/>
      <c r="P99" s="8"/>
    </row>
    <row r="100" spans="2:24" x14ac:dyDescent="0.15">
      <c r="B100" s="8"/>
      <c r="C100" s="8"/>
      <c r="D100" s="8"/>
      <c r="P100" s="63"/>
    </row>
    <row r="101" spans="2:24" x14ac:dyDescent="0.15">
      <c r="B101" s="8"/>
      <c r="C101" s="8"/>
      <c r="I101" s="513"/>
      <c r="P101" s="8"/>
      <c r="V101" s="16"/>
    </row>
    <row r="102" spans="2:24" ht="16" x14ac:dyDescent="0.2">
      <c r="B102" s="282" t="s">
        <v>203</v>
      </c>
      <c r="C102" s="8"/>
      <c r="D102" s="280" t="s">
        <v>204</v>
      </c>
      <c r="I102" s="198"/>
    </row>
    <row r="103" spans="2:24" ht="16" x14ac:dyDescent="0.2">
      <c r="B103" s="282"/>
      <c r="C103" s="8"/>
      <c r="D103" s="280"/>
      <c r="I103" s="198"/>
    </row>
    <row r="104" spans="2:24" x14ac:dyDescent="0.15">
      <c r="B104" s="8"/>
      <c r="D104" s="9"/>
      <c r="E104" s="11" t="s">
        <v>199</v>
      </c>
      <c r="F104" s="11" t="s">
        <v>135</v>
      </c>
      <c r="G104" s="11" t="s">
        <v>136</v>
      </c>
      <c r="I104" s="198"/>
    </row>
    <row r="105" spans="2:24" ht="30" x14ac:dyDescent="0.15">
      <c r="B105" s="8"/>
      <c r="D105" s="12" t="s">
        <v>205</v>
      </c>
      <c r="E105" s="14">
        <f>H59</f>
        <v>2279.8191252298398</v>
      </c>
      <c r="F105" s="14">
        <f>E85</f>
        <v>1826.5773457777777</v>
      </c>
      <c r="G105" s="14">
        <f>F85</f>
        <v>1104.0306143644445</v>
      </c>
    </row>
    <row r="106" spans="2:24" ht="30" x14ac:dyDescent="0.15">
      <c r="D106" s="204" t="s">
        <v>206</v>
      </c>
      <c r="E106" s="78">
        <f>E105/F14*1000</f>
        <v>14.847405569715661</v>
      </c>
      <c r="F106" s="78">
        <f>F105/F14*1000</f>
        <v>11.895651877419589</v>
      </c>
      <c r="G106" s="78">
        <f>G105/F16*1000</f>
        <v>7.2088188988863502</v>
      </c>
    </row>
    <row r="107" spans="2:24" x14ac:dyDescent="0.15">
      <c r="D107" s="12"/>
      <c r="E107" s="13"/>
      <c r="F107" s="13"/>
      <c r="G107" s="13"/>
    </row>
    <row r="110" spans="2:24" s="278" customFormat="1" ht="21.75" customHeight="1" x14ac:dyDescent="0.2">
      <c r="D110" s="279" t="s">
        <v>207</v>
      </c>
    </row>
    <row r="111" spans="2:24" s="91" customFormat="1" ht="12.75" customHeight="1" x14ac:dyDescent="0.2"/>
    <row r="112" spans="2:24" s="494" customFormat="1" ht="18.75" customHeight="1" thickBot="1" x14ac:dyDescent="0.25">
      <c r="D112" s="608" t="s">
        <v>208</v>
      </c>
      <c r="E112" s="608"/>
      <c r="F112" s="608"/>
      <c r="G112" s="608"/>
      <c r="H112" s="608"/>
      <c r="I112" s="608"/>
      <c r="J112" s="608"/>
      <c r="K112" s="608"/>
    </row>
    <row r="113" spans="2:17" s="86" customFormat="1" ht="19.5" customHeight="1" x14ac:dyDescent="0.2">
      <c r="B113" s="85"/>
      <c r="C113" s="85"/>
      <c r="D113" s="86" t="s">
        <v>209</v>
      </c>
      <c r="E113" s="7"/>
      <c r="F113" s="7"/>
      <c r="G113" s="7"/>
      <c r="H113" s="7"/>
      <c r="I113" s="7"/>
    </row>
    <row r="114" spans="2:17" ht="16" x14ac:dyDescent="0.2">
      <c r="B114" s="8"/>
      <c r="C114" s="92"/>
      <c r="D114" s="495"/>
      <c r="M114" s="86"/>
    </row>
    <row r="115" spans="2:17" ht="16" x14ac:dyDescent="0.2">
      <c r="B115" s="8"/>
      <c r="C115" s="92"/>
      <c r="D115" s="561" t="s">
        <v>210</v>
      </c>
      <c r="E115" s="561"/>
      <c r="F115" s="92"/>
      <c r="Q115" s="8"/>
    </row>
    <row r="116" spans="2:17" ht="16" x14ac:dyDescent="0.2">
      <c r="B116" s="8"/>
      <c r="C116" s="92"/>
      <c r="D116" s="304" t="s">
        <v>211</v>
      </c>
      <c r="E116" s="304">
        <f>100000/1000</f>
        <v>100</v>
      </c>
      <c r="F116" s="92"/>
      <c r="G116" s="8"/>
    </row>
    <row r="117" spans="2:17" ht="16" x14ac:dyDescent="0.2">
      <c r="B117" s="8"/>
      <c r="C117" s="92"/>
      <c r="D117" s="245" t="s">
        <v>212</v>
      </c>
      <c r="E117" s="243">
        <v>1080</v>
      </c>
      <c r="F117" s="92"/>
      <c r="M117" s="8"/>
    </row>
    <row r="118" spans="2:17" ht="16" x14ac:dyDescent="0.2">
      <c r="B118" s="8"/>
      <c r="C118" s="92"/>
      <c r="D118" s="245" t="s">
        <v>213</v>
      </c>
      <c r="E118" s="243">
        <f>E117*E116</f>
        <v>108000</v>
      </c>
      <c r="F118" s="92"/>
      <c r="G118" s="86"/>
      <c r="H118" s="92"/>
      <c r="I118" s="610" t="s">
        <v>214</v>
      </c>
      <c r="J118" s="610"/>
      <c r="K118" s="19"/>
      <c r="M118" s="524"/>
      <c r="N118" s="164"/>
    </row>
    <row r="119" spans="2:17" ht="16" x14ac:dyDescent="0.2">
      <c r="B119" s="8"/>
      <c r="C119" s="92"/>
      <c r="D119" s="245" t="s">
        <v>215</v>
      </c>
      <c r="E119" s="225">
        <f>'2.1. NOx and SO2 analysis'!E16</f>
        <v>105.60000000000001</v>
      </c>
      <c r="F119" s="92"/>
      <c r="G119" s="86"/>
      <c r="H119" s="92"/>
      <c r="I119" s="550" t="s">
        <v>216</v>
      </c>
      <c r="J119" s="550" t="s">
        <v>217</v>
      </c>
      <c r="K119" s="19"/>
      <c r="M119" s="524"/>
      <c r="N119" s="164"/>
    </row>
    <row r="120" spans="2:17" ht="16" x14ac:dyDescent="0.2">
      <c r="B120" s="8"/>
      <c r="C120" s="92"/>
      <c r="D120" s="92"/>
      <c r="E120" s="312"/>
      <c r="F120" s="92"/>
      <c r="G120" s="499" t="s">
        <v>218</v>
      </c>
      <c r="H120" s="504"/>
      <c r="I120" s="522">
        <f>E119</f>
        <v>105.60000000000001</v>
      </c>
      <c r="J120" s="522">
        <f>E123</f>
        <v>91.001000000000005</v>
      </c>
      <c r="K120" s="19"/>
      <c r="M120" s="525"/>
      <c r="N120" s="521"/>
    </row>
    <row r="121" spans="2:17" ht="16" x14ac:dyDescent="0.2">
      <c r="B121" s="8"/>
      <c r="C121" s="92"/>
      <c r="D121" s="561" t="s">
        <v>219</v>
      </c>
      <c r="E121" s="561"/>
      <c r="F121" s="92"/>
      <c r="G121" s="241" t="s">
        <v>220</v>
      </c>
      <c r="H121" s="504"/>
      <c r="I121" s="304">
        <f>E116</f>
        <v>100</v>
      </c>
      <c r="J121" s="506">
        <f>E136/30</f>
        <v>3333.3333333333335</v>
      </c>
      <c r="K121" s="19"/>
      <c r="M121" s="63"/>
      <c r="N121" s="164"/>
    </row>
    <row r="122" spans="2:17" ht="16" x14ac:dyDescent="0.2">
      <c r="C122" s="86"/>
      <c r="D122" s="304" t="s">
        <v>221</v>
      </c>
      <c r="E122" s="243">
        <f>100000/30</f>
        <v>3333.3333333333335</v>
      </c>
      <c r="F122" s="86"/>
      <c r="G122" s="254" t="s">
        <v>222</v>
      </c>
      <c r="H122" s="320"/>
      <c r="I122" s="509">
        <f>$E$117*$D$129</f>
        <v>2.8944000000000001</v>
      </c>
      <c r="J122" s="508">
        <f>E126</f>
        <v>8.6831789185000008E-2</v>
      </c>
      <c r="K122" s="19"/>
      <c r="M122" s="8"/>
    </row>
    <row r="123" spans="2:17" ht="17" thickBot="1" x14ac:dyDescent="0.25">
      <c r="C123" s="86"/>
      <c r="D123" s="245" t="s">
        <v>223</v>
      </c>
      <c r="E123" s="243">
        <v>91.001000000000005</v>
      </c>
      <c r="F123" s="92"/>
      <c r="G123" s="639" t="s">
        <v>61</v>
      </c>
      <c r="H123" s="640"/>
      <c r="I123" s="439">
        <f>I122*I121</f>
        <v>289.44</v>
      </c>
      <c r="J123" s="507">
        <f>J122*J121</f>
        <v>289.43929728333336</v>
      </c>
      <c r="K123" s="19"/>
      <c r="M123" s="8"/>
    </row>
    <row r="124" spans="2:17" ht="16" x14ac:dyDescent="0.2">
      <c r="C124" s="86"/>
      <c r="D124" s="496" t="s">
        <v>224</v>
      </c>
      <c r="E124" s="512">
        <f>('1.1. CO2 analysis'!C14+'1.1. CO2 analysis'!C15)/2*'1.1. CO2 analysis'!D25*E123</f>
        <v>4.7221783915000003E-2</v>
      </c>
      <c r="F124" s="86"/>
      <c r="G124" s="193"/>
      <c r="H124" s="8"/>
    </row>
    <row r="125" spans="2:17" ht="16" x14ac:dyDescent="0.2">
      <c r="B125" s="8"/>
      <c r="C125" s="92"/>
      <c r="D125" s="496" t="s">
        <v>225</v>
      </c>
      <c r="E125" s="497">
        <f>('1.1. CO2 analysis'!C16+'1.1. CO2 analysis'!C17)/2*'1.1. CO2 analysis'!D24*E123</f>
        <v>3.9610005269999998E-2</v>
      </c>
      <c r="F125" s="92"/>
      <c r="K125" s="36"/>
      <c r="L125" s="511"/>
      <c r="M125" s="197"/>
    </row>
    <row r="126" spans="2:17" ht="16" x14ac:dyDescent="0.2">
      <c r="D126" s="245" t="s">
        <v>222</v>
      </c>
      <c r="E126" s="498">
        <f>E124+E125</f>
        <v>8.6831789185000008E-2</v>
      </c>
      <c r="L126" s="45"/>
      <c r="M126" s="45"/>
      <c r="P126" s="45"/>
    </row>
    <row r="127" spans="2:17" x14ac:dyDescent="0.15">
      <c r="G127" s="188"/>
    </row>
    <row r="128" spans="2:17" ht="16" x14ac:dyDescent="0.2">
      <c r="D128" s="561" t="s">
        <v>27</v>
      </c>
      <c r="E128" s="561"/>
      <c r="G128" s="505"/>
      <c r="H128" s="505"/>
    </row>
    <row r="129" spans="3:16" ht="16" x14ac:dyDescent="0.2">
      <c r="D129" s="570">
        <f>2.68/1000</f>
        <v>2.6800000000000001E-3</v>
      </c>
      <c r="E129" s="570"/>
      <c r="G129" s="505"/>
      <c r="H129" s="505"/>
    </row>
    <row r="130" spans="3:16" ht="16" x14ac:dyDescent="0.2">
      <c r="D130" s="505"/>
      <c r="E130" s="505"/>
      <c r="G130" s="505"/>
      <c r="H130" s="505"/>
    </row>
    <row r="131" spans="3:16" ht="16" x14ac:dyDescent="0.2">
      <c r="D131" s="505"/>
      <c r="E131" s="505"/>
      <c r="G131" s="505"/>
      <c r="H131" s="505"/>
    </row>
    <row r="133" spans="3:16" ht="19" thickBot="1" x14ac:dyDescent="0.25">
      <c r="D133" s="608" t="s">
        <v>226</v>
      </c>
      <c r="E133" s="608"/>
      <c r="F133" s="608"/>
      <c r="G133" s="608"/>
      <c r="H133" s="608"/>
      <c r="I133" s="608"/>
      <c r="J133" s="608"/>
      <c r="K133" s="608"/>
    </row>
    <row r="134" spans="3:16" ht="16" x14ac:dyDescent="0.2">
      <c r="D134" s="448"/>
    </row>
    <row r="135" spans="3:16" ht="16" x14ac:dyDescent="0.2">
      <c r="D135" s="561" t="s">
        <v>227</v>
      </c>
      <c r="E135" s="561"/>
    </row>
    <row r="136" spans="3:16" ht="16.5" customHeight="1" x14ac:dyDescent="0.2">
      <c r="C136" s="92"/>
      <c r="D136" s="245" t="s">
        <v>228</v>
      </c>
      <c r="E136" s="243">
        <v>100000</v>
      </c>
      <c r="F136" s="92"/>
    </row>
    <row r="137" spans="3:16" ht="16.5" customHeight="1" x14ac:dyDescent="0.2">
      <c r="C137" s="92"/>
      <c r="D137" s="245" t="s">
        <v>229</v>
      </c>
      <c r="E137" s="245">
        <f>'1.1. CO2 analysis'!R67</f>
        <v>120</v>
      </c>
      <c r="F137" s="92"/>
    </row>
    <row r="138" spans="3:16" ht="16.5" customHeight="1" x14ac:dyDescent="0.2">
      <c r="C138" s="92"/>
      <c r="D138" s="245" t="s">
        <v>230</v>
      </c>
      <c r="E138" s="243">
        <f>E136/30</f>
        <v>3333.3333333333335</v>
      </c>
      <c r="F138" s="92"/>
      <c r="K138" s="518"/>
      <c r="M138" s="518"/>
      <c r="N138" s="8"/>
    </row>
    <row r="139" spans="3:16" ht="30.75" customHeight="1" x14ac:dyDescent="0.2">
      <c r="C139" s="86"/>
      <c r="D139" s="92"/>
      <c r="E139" s="92"/>
      <c r="G139" s="86"/>
      <c r="H139" s="86"/>
      <c r="I139" s="551" t="s">
        <v>231</v>
      </c>
      <c r="J139" s="519" t="s">
        <v>232</v>
      </c>
      <c r="K139" s="520" t="s">
        <v>233</v>
      </c>
      <c r="N139" s="8"/>
    </row>
    <row r="140" spans="3:16" ht="19.5" customHeight="1" x14ac:dyDescent="0.2">
      <c r="C140" s="86"/>
      <c r="D140" s="561" t="s">
        <v>234</v>
      </c>
      <c r="E140" s="561"/>
      <c r="F140" s="86"/>
      <c r="G140" s="499" t="s">
        <v>235</v>
      </c>
      <c r="H140" s="500"/>
      <c r="I140" s="501">
        <v>0.7</v>
      </c>
      <c r="J140" s="501">
        <f>1/3</f>
        <v>0.33333333333333331</v>
      </c>
      <c r="K140" s="501">
        <v>0.1</v>
      </c>
      <c r="N140" s="8"/>
    </row>
    <row r="141" spans="3:16" ht="19.5" customHeight="1" x14ac:dyDescent="0.2">
      <c r="C141" s="86"/>
      <c r="D141" s="245" t="s">
        <v>236</v>
      </c>
      <c r="E141" s="523">
        <f>('1.1. CO2 analysis'!C16+'1.1. CO2 analysis'!C17)/2</f>
        <v>1.3189999999999999E-3</v>
      </c>
      <c r="F141" s="86"/>
      <c r="G141" s="499" t="s">
        <v>237</v>
      </c>
      <c r="H141" s="500"/>
      <c r="I141" s="501">
        <f>1-I140</f>
        <v>0.30000000000000004</v>
      </c>
      <c r="J141" s="501">
        <f>2/3</f>
        <v>0.66666666666666663</v>
      </c>
      <c r="K141" s="501">
        <f>1-K140</f>
        <v>0.9</v>
      </c>
      <c r="N141" s="8"/>
    </row>
    <row r="142" spans="3:16" ht="21" customHeight="1" x14ac:dyDescent="0.2">
      <c r="C142" s="92"/>
      <c r="D142" s="245" t="s">
        <v>238</v>
      </c>
      <c r="E142" s="245">
        <f>('1.1. CO2 analysis'!C14+'1.1. CO2 analysis'!C15)/2</f>
        <v>7.7450000000000001E-4</v>
      </c>
      <c r="F142" s="92"/>
      <c r="G142" s="241" t="s">
        <v>239</v>
      </c>
      <c r="H142" s="303"/>
      <c r="I142" s="245">
        <f>I140*$E$137*$E$141</f>
        <v>0.11079599999999999</v>
      </c>
      <c r="J142" s="245">
        <f>J140*$E$137*$E$141</f>
        <v>5.2759999999999994E-2</v>
      </c>
      <c r="K142" s="245">
        <f>K140*$E$137*$E$141</f>
        <v>1.5827999999999998E-2</v>
      </c>
      <c r="N142" s="8"/>
    </row>
    <row r="143" spans="3:16" ht="16" x14ac:dyDescent="0.2">
      <c r="C143" s="92"/>
      <c r="D143" s="7" t="s">
        <v>240</v>
      </c>
      <c r="F143" s="8"/>
      <c r="G143" s="254" t="s">
        <v>241</v>
      </c>
      <c r="H143" s="303"/>
      <c r="I143" s="245">
        <f>I141*$E$137*$E$142</f>
        <v>2.7882000000000007E-2</v>
      </c>
      <c r="J143" s="245">
        <f>J141*$E$137*$E$142</f>
        <v>6.1960000000000001E-2</v>
      </c>
      <c r="K143" s="245">
        <f>K141*$E$137*$E$142</f>
        <v>8.3645999999999998E-2</v>
      </c>
      <c r="N143" s="8"/>
    </row>
    <row r="144" spans="3:16" ht="17" thickBot="1" x14ac:dyDescent="0.25">
      <c r="C144" s="86"/>
      <c r="D144" s="8"/>
      <c r="E144" s="8"/>
      <c r="G144" s="437" t="s">
        <v>242</v>
      </c>
      <c r="H144" s="502"/>
      <c r="I144" s="503">
        <f>(I142+I143)*$E$138</f>
        <v>462.26</v>
      </c>
      <c r="J144" s="452">
        <f>(J142+J143)*$E$138</f>
        <v>382.4</v>
      </c>
      <c r="K144" s="503">
        <f>(K142+K143)*$E$138</f>
        <v>331.58</v>
      </c>
      <c r="L144" s="19"/>
      <c r="M144" s="163"/>
      <c r="N144" s="8"/>
      <c r="P144" s="163"/>
    </row>
    <row r="145" spans="3:15" ht="16" x14ac:dyDescent="0.2">
      <c r="C145" s="86"/>
      <c r="E145" s="528"/>
      <c r="I145" s="92"/>
      <c r="J145" s="86"/>
      <c r="K145" s="86"/>
      <c r="L145" s="86"/>
      <c r="M145" s="532"/>
      <c r="N145" s="8"/>
      <c r="O145" s="8"/>
    </row>
    <row r="146" spans="3:15" ht="31.5" customHeight="1" x14ac:dyDescent="0.2">
      <c r="C146" s="86"/>
      <c r="D146" s="86"/>
      <c r="E146" s="86"/>
      <c r="F146" s="86"/>
      <c r="G146" s="609" t="s">
        <v>243</v>
      </c>
      <c r="H146" s="609"/>
      <c r="I146" s="526">
        <f>(I144-J144)/J144</f>
        <v>0.20883891213389127</v>
      </c>
      <c r="J146" s="526">
        <v>0</v>
      </c>
      <c r="K146" s="526">
        <f>(J144-K144)/J144</f>
        <v>0.13289748953974895</v>
      </c>
      <c r="N146" s="8"/>
    </row>
    <row r="147" spans="3:15" ht="31.5" customHeight="1" x14ac:dyDescent="0.2">
      <c r="C147" s="86"/>
      <c r="D147" s="86"/>
      <c r="E147" s="86"/>
      <c r="F147" s="86"/>
      <c r="G147" s="537"/>
      <c r="H147" s="537"/>
      <c r="I147" s="538"/>
      <c r="J147" s="538"/>
      <c r="K147" s="538"/>
      <c r="N147" s="8"/>
    </row>
    <row r="148" spans="3:15" ht="16" x14ac:dyDescent="0.2">
      <c r="C148" s="86"/>
      <c r="F148" s="86"/>
    </row>
    <row r="150" spans="3:15" ht="19" thickBot="1" x14ac:dyDescent="0.25">
      <c r="D150" s="608" t="s">
        <v>244</v>
      </c>
      <c r="E150" s="608"/>
      <c r="F150" s="608"/>
      <c r="G150" s="608"/>
      <c r="H150" s="608"/>
      <c r="I150" s="608"/>
      <c r="J150" s="608"/>
      <c r="K150" s="608"/>
    </row>
    <row r="151" spans="3:15" ht="18" x14ac:dyDescent="0.2">
      <c r="D151" s="539"/>
      <c r="E151" s="539"/>
      <c r="F151" s="539"/>
      <c r="G151" s="539"/>
      <c r="H151" s="539"/>
      <c r="I151" s="539"/>
      <c r="J151" s="539"/>
      <c r="K151" s="539"/>
    </row>
    <row r="152" spans="3:15" ht="17.25" customHeight="1" x14ac:dyDescent="0.15"/>
    <row r="153" spans="3:15" ht="23.25" customHeight="1" x14ac:dyDescent="0.15">
      <c r="E153" s="607" t="s">
        <v>109</v>
      </c>
      <c r="F153" s="607"/>
      <c r="G153" s="607"/>
    </row>
    <row r="154" spans="3:15" ht="17.25" customHeight="1" x14ac:dyDescent="0.2">
      <c r="D154" s="535" t="s">
        <v>115</v>
      </c>
      <c r="E154" s="536">
        <v>2000</v>
      </c>
      <c r="F154" s="536">
        <v>3000</v>
      </c>
      <c r="G154" s="540">
        <v>4000</v>
      </c>
    </row>
    <row r="155" spans="3:15" ht="16" x14ac:dyDescent="0.2">
      <c r="D155" s="245" t="s">
        <v>111</v>
      </c>
      <c r="E155" s="242">
        <v>17</v>
      </c>
      <c r="F155" s="245">
        <v>17</v>
      </c>
      <c r="G155" s="245">
        <v>17</v>
      </c>
    </row>
    <row r="156" spans="3:15" ht="16" x14ac:dyDescent="0.2">
      <c r="D156" s="245" t="s">
        <v>104</v>
      </c>
      <c r="E156" s="242">
        <f>E155*E154</f>
        <v>34000</v>
      </c>
      <c r="F156" s="242">
        <f>F155*F154</f>
        <v>51000</v>
      </c>
      <c r="G156" s="242">
        <f>G154*G155</f>
        <v>68000</v>
      </c>
    </row>
    <row r="157" spans="3:15" ht="17" thickBot="1" x14ac:dyDescent="0.25">
      <c r="D157" s="437" t="s">
        <v>91</v>
      </c>
      <c r="E157" s="452">
        <f>E156*$D$129</f>
        <v>91.12</v>
      </c>
      <c r="F157" s="452">
        <f>F156*$D$129</f>
        <v>136.68</v>
      </c>
      <c r="G157" s="452">
        <f>G156*D129</f>
        <v>182.24</v>
      </c>
    </row>
    <row r="159" spans="3:15" ht="16" x14ac:dyDescent="0.2">
      <c r="D159" s="526" t="s">
        <v>245</v>
      </c>
      <c r="E159" s="526">
        <f>E157/$E$46</f>
        <v>0.20254185963350524</v>
      </c>
      <c r="F159" s="526">
        <f>F157/$E$46</f>
        <v>0.30381278945025786</v>
      </c>
      <c r="G159" s="526">
        <f>G157/$E$46</f>
        <v>0.40508371926701048</v>
      </c>
    </row>
    <row r="160" spans="3:15" x14ac:dyDescent="0.15">
      <c r="F160" s="45"/>
      <c r="G160" s="45"/>
    </row>
  </sheetData>
  <mergeCells count="14">
    <mergeCell ref="E153:G153"/>
    <mergeCell ref="D112:K112"/>
    <mergeCell ref="D133:K133"/>
    <mergeCell ref="D150:K150"/>
    <mergeCell ref="G146:H146"/>
    <mergeCell ref="I118:J118"/>
    <mergeCell ref="D140:E140"/>
    <mergeCell ref="D11:F11"/>
    <mergeCell ref="E20:G20"/>
    <mergeCell ref="D115:E115"/>
    <mergeCell ref="D121:E121"/>
    <mergeCell ref="D135:E135"/>
    <mergeCell ref="D128:E128"/>
    <mergeCell ref="D129:E1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3A741-511F-4178-9A23-7377C7D778EF}">
  <sheetPr>
    <tabColor rgb="FF3A3838"/>
  </sheetPr>
  <dimension ref="A2:L63"/>
  <sheetViews>
    <sheetView showGridLines="0" workbookViewId="0"/>
  </sheetViews>
  <sheetFormatPr baseColWidth="10" defaultColWidth="9.1640625" defaultRowHeight="16" x14ac:dyDescent="0.2"/>
  <cols>
    <col min="1" max="1" width="9.1640625" style="86"/>
    <col min="2" max="2" width="27.6640625" style="86" customWidth="1"/>
    <col min="3" max="3" width="14.6640625" style="86" customWidth="1"/>
    <col min="4" max="4" width="13.5" style="86" customWidth="1"/>
    <col min="5" max="5" width="14.33203125" style="86" customWidth="1"/>
    <col min="6" max="6" width="27.83203125" style="86" customWidth="1"/>
    <col min="7" max="7" width="14.5" style="86" customWidth="1"/>
    <col min="8" max="8" width="9.1640625" style="86"/>
    <col min="9" max="9" width="13" style="86" bestFit="1" customWidth="1"/>
    <col min="10" max="16384" width="9.1640625" style="86"/>
  </cols>
  <sheetData>
    <row r="2" spans="1:6" s="481" customFormat="1" ht="25" x14ac:dyDescent="0.15">
      <c r="B2" s="481" t="s">
        <v>246</v>
      </c>
    </row>
    <row r="3" spans="1:6" ht="24" customHeight="1" x14ac:dyDescent="0.2">
      <c r="B3" s="299" t="s">
        <v>4</v>
      </c>
    </row>
    <row r="4" spans="1:6" ht="6.75" customHeight="1" x14ac:dyDescent="0.2">
      <c r="B4" s="7"/>
    </row>
    <row r="5" spans="1:6" ht="25.5" customHeight="1" x14ac:dyDescent="0.2">
      <c r="B5" s="300" t="s">
        <v>10</v>
      </c>
    </row>
    <row r="6" spans="1:6" ht="25.5" customHeight="1" x14ac:dyDescent="0.2">
      <c r="B6" s="300" t="s">
        <v>247</v>
      </c>
    </row>
    <row r="7" spans="1:6" ht="25.5" customHeight="1" x14ac:dyDescent="0.2">
      <c r="B7" s="300" t="s">
        <v>248</v>
      </c>
    </row>
    <row r="8" spans="1:6" x14ac:dyDescent="0.2">
      <c r="B8" s="92"/>
    </row>
    <row r="9" spans="1:6" x14ac:dyDescent="0.2">
      <c r="B9" s="92"/>
    </row>
    <row r="10" spans="1:6" s="87" customFormat="1" ht="18" x14ac:dyDescent="0.2">
      <c r="B10" s="88" t="s">
        <v>13</v>
      </c>
    </row>
    <row r="11" spans="1:6" x14ac:dyDescent="0.2">
      <c r="B11" s="92"/>
    </row>
    <row r="12" spans="1:6" x14ac:dyDescent="0.2">
      <c r="B12" s="92"/>
    </row>
    <row r="13" spans="1:6" x14ac:dyDescent="0.2">
      <c r="A13" s="92"/>
      <c r="B13" s="253" t="s">
        <v>249</v>
      </c>
      <c r="C13" s="92"/>
      <c r="D13" s="92"/>
      <c r="E13" s="92"/>
    </row>
    <row r="14" spans="1:6" x14ac:dyDescent="0.2">
      <c r="A14" s="92"/>
      <c r="B14" s="92"/>
      <c r="C14" s="277" t="s">
        <v>250</v>
      </c>
      <c r="D14" s="277" t="s">
        <v>251</v>
      </c>
      <c r="E14" s="277" t="s">
        <v>252</v>
      </c>
      <c r="F14" s="92"/>
    </row>
    <row r="15" spans="1:6" x14ac:dyDescent="0.2">
      <c r="A15" s="92"/>
      <c r="B15" s="222" t="s">
        <v>253</v>
      </c>
      <c r="C15" s="224">
        <v>91</v>
      </c>
      <c r="D15" s="225">
        <v>168.5</v>
      </c>
      <c r="E15" s="225">
        <f>D15*1.5</f>
        <v>252.75</v>
      </c>
      <c r="F15" s="92"/>
    </row>
    <row r="16" spans="1:6" x14ac:dyDescent="0.2">
      <c r="A16" s="92"/>
      <c r="B16" s="223" t="s">
        <v>254</v>
      </c>
      <c r="C16" s="226">
        <v>38</v>
      </c>
      <c r="D16" s="225">
        <v>70.400000000000006</v>
      </c>
      <c r="E16" s="225">
        <f>D16*1.5</f>
        <v>105.60000000000001</v>
      </c>
      <c r="F16" s="92"/>
    </row>
    <row r="17" spans="1:12" x14ac:dyDescent="0.2">
      <c r="A17" s="92"/>
      <c r="B17" s="227" t="s">
        <v>255</v>
      </c>
      <c r="C17" s="228">
        <v>98</v>
      </c>
      <c r="D17" s="225">
        <v>181.5</v>
      </c>
      <c r="E17" s="225">
        <f>D17*1.5</f>
        <v>272.25</v>
      </c>
      <c r="F17" s="92"/>
    </row>
    <row r="18" spans="1:12" x14ac:dyDescent="0.2">
      <c r="A18" s="92"/>
      <c r="B18" s="227" t="s">
        <v>256</v>
      </c>
      <c r="C18" s="229">
        <v>301</v>
      </c>
      <c r="D18" s="225">
        <v>557.5</v>
      </c>
      <c r="E18" s="225">
        <f>D18*1.5</f>
        <v>836.25</v>
      </c>
      <c r="F18" s="92"/>
    </row>
    <row r="19" spans="1:12" x14ac:dyDescent="0.2">
      <c r="A19" s="92"/>
      <c r="B19" s="230"/>
      <c r="C19" s="231"/>
      <c r="D19" s="232"/>
      <c r="E19" s="232"/>
      <c r="F19" s="92"/>
    </row>
    <row r="20" spans="1:12" x14ac:dyDescent="0.2">
      <c r="A20" s="92"/>
      <c r="B20" s="230"/>
      <c r="C20" s="231"/>
      <c r="D20" s="232"/>
      <c r="E20" s="232"/>
      <c r="F20" s="92"/>
    </row>
    <row r="21" spans="1:12" x14ac:dyDescent="0.2">
      <c r="A21" s="92"/>
      <c r="B21" s="7"/>
      <c r="C21" s="275" t="s">
        <v>257</v>
      </c>
      <c r="D21" s="275" t="s">
        <v>258</v>
      </c>
      <c r="E21" s="232"/>
      <c r="F21" s="92"/>
    </row>
    <row r="22" spans="1:12" x14ac:dyDescent="0.2">
      <c r="A22" s="92"/>
      <c r="B22" s="8"/>
      <c r="C22" s="276" t="s">
        <v>259</v>
      </c>
      <c r="D22" s="276" t="s">
        <v>259</v>
      </c>
      <c r="E22" s="232"/>
      <c r="F22" s="92"/>
    </row>
    <row r="23" spans="1:12" x14ac:dyDescent="0.2">
      <c r="A23" s="92"/>
      <c r="B23" s="25" t="s">
        <v>260</v>
      </c>
      <c r="C23" s="23">
        <v>950</v>
      </c>
      <c r="D23" s="22">
        <v>2000</v>
      </c>
      <c r="E23" s="232"/>
      <c r="F23" s="92"/>
    </row>
    <row r="24" spans="1:12" x14ac:dyDescent="0.2">
      <c r="A24" s="92"/>
      <c r="B24" s="28" t="s">
        <v>261</v>
      </c>
      <c r="C24" s="25">
        <v>350</v>
      </c>
      <c r="D24" s="20">
        <v>350</v>
      </c>
      <c r="E24" s="232"/>
      <c r="F24" s="92"/>
    </row>
    <row r="25" spans="1:12" x14ac:dyDescent="0.2">
      <c r="A25" s="92"/>
      <c r="B25" s="54" t="s">
        <v>262</v>
      </c>
      <c r="C25" s="231"/>
      <c r="D25" s="232"/>
      <c r="E25" s="232"/>
      <c r="F25" s="92"/>
    </row>
    <row r="26" spans="1:12" x14ac:dyDescent="0.2">
      <c r="A26" s="92"/>
      <c r="B26" s="230"/>
      <c r="C26" s="231"/>
      <c r="D26" s="232"/>
      <c r="E26" s="232"/>
      <c r="F26" s="92"/>
    </row>
    <row r="27" spans="1:12" x14ac:dyDescent="0.2">
      <c r="F27" s="233"/>
      <c r="G27" s="234"/>
      <c r="H27" s="233"/>
    </row>
    <row r="28" spans="1:12" s="220" customFormat="1" ht="20.25" customHeight="1" x14ac:dyDescent="0.2">
      <c r="A28" s="235"/>
      <c r="B28" s="221" t="s">
        <v>53</v>
      </c>
      <c r="C28" s="235"/>
      <c r="G28" s="235"/>
      <c r="J28" s="236"/>
      <c r="K28" s="237"/>
      <c r="L28" s="236"/>
    </row>
    <row r="29" spans="1:12" s="219" customFormat="1" ht="12.75" customHeight="1" x14ac:dyDescent="0.2">
      <c r="A29" s="264"/>
      <c r="B29" s="265"/>
      <c r="C29" s="264"/>
      <c r="G29" s="264"/>
      <c r="J29" s="266"/>
      <c r="K29" s="267"/>
      <c r="L29" s="266"/>
    </row>
    <row r="30" spans="1:12" x14ac:dyDescent="0.2">
      <c r="B30" s="92"/>
      <c r="C30" s="92"/>
      <c r="D30" s="238"/>
      <c r="F30" s="92"/>
      <c r="G30" s="92"/>
    </row>
    <row r="31" spans="1:12" s="74" customFormat="1" ht="18" x14ac:dyDescent="0.2">
      <c r="A31" s="252"/>
      <c r="B31" s="611" t="s">
        <v>263</v>
      </c>
      <c r="C31" s="612"/>
      <c r="D31" s="252"/>
      <c r="E31" s="252"/>
      <c r="F31" s="611" t="s">
        <v>264</v>
      </c>
      <c r="G31" s="612"/>
      <c r="H31" s="252"/>
    </row>
    <row r="32" spans="1:12" x14ac:dyDescent="0.2">
      <c r="A32" s="92"/>
      <c r="B32" s="239" t="s">
        <v>265</v>
      </c>
      <c r="C32" s="240">
        <f>'1.1. CO2 analysis'!C68+'1.1. CO2 analysis'!F68+'1.1. CO2 analysis'!I68+'1.1. CO2 analysis'!L68+'1.1. CO2 analysis'!O68+'1.1. CO2 analysis'!R68+'1.1. CO2 analysis'!U68+'1.1. CO2 analysis'!X68</f>
        <v>259852.66666666669</v>
      </c>
      <c r="D32" s="92"/>
      <c r="E32" s="92"/>
      <c r="F32" s="239" t="s">
        <v>265</v>
      </c>
      <c r="G32" s="240">
        <f>(E15*'1.1. CO2 analysis'!C50)+(E16*'1.1. CO2 analysis'!AA66)+(E17*'1.1. CO2 analysis'!AD66)</f>
        <v>20270.331250000003</v>
      </c>
      <c r="H32" s="92"/>
      <c r="I32" s="515"/>
    </row>
    <row r="33" spans="1:12" x14ac:dyDescent="0.2">
      <c r="A33" s="92"/>
      <c r="B33" s="241" t="s">
        <v>266</v>
      </c>
      <c r="C33" s="242">
        <f>'1.1. CO2 analysis'!C64+'1.1. CO2 analysis'!F64+'1.1. CO2 analysis'!I64+'1.1. CO2 analysis'!L64+'1.1. CO2 analysis'!O64+'1.1. CO2 analysis'!R64+'1.1. CO2 analysis'!U64+'1.1. CO2 analysis'!X64+'1.1. CO2 analysis'!F87+'1.1. CO2 analysis'!O87+'1.1. CO2 analysis'!AA87</f>
        <v>521670</v>
      </c>
      <c r="D33" s="92"/>
      <c r="E33" s="92"/>
      <c r="F33" s="241" t="s">
        <v>266</v>
      </c>
      <c r="G33" s="243">
        <f>'1.1. CO2 analysis'!C48+'1.1. CO2 analysis'!AA64+'1.1. CO2 analysis'!AD64</f>
        <v>209350</v>
      </c>
      <c r="H33" s="92"/>
    </row>
    <row r="34" spans="1:12" x14ac:dyDescent="0.2">
      <c r="A34" s="92"/>
      <c r="B34" s="241" t="s">
        <v>267</v>
      </c>
      <c r="C34" s="244">
        <f>('1.1. CO2 analysis'!C67+'1.1. CO2 analysis'!F67+'1.1. CO2 analysis'!I67+'1.1. CO2 analysis'!L67+'1.1. CO2 analysis'!O67+'1.1. CO2 analysis'!R67+'1.1. CO2 analysis'!U67+'1.1. CO2 analysis'!X67+'1.1. CO2 analysis'!F90+'1.1. CO2 analysis'!O90+'1.1. CO2 analysis'!AA90)/11</f>
        <v>57.598181818181814</v>
      </c>
      <c r="D34" s="92"/>
      <c r="E34" s="92"/>
      <c r="F34" s="241" t="s">
        <v>268</v>
      </c>
      <c r="G34" s="245">
        <f>(E16+E17+E15)/3</f>
        <v>210.20000000000002</v>
      </c>
      <c r="H34" s="92"/>
    </row>
    <row r="35" spans="1:12" x14ac:dyDescent="0.2">
      <c r="A35" s="92"/>
      <c r="B35" s="254" t="s">
        <v>269</v>
      </c>
      <c r="C35" s="255">
        <f>C33*C34</f>
        <v>30047243.509090908</v>
      </c>
      <c r="D35" s="92"/>
      <c r="E35" s="92"/>
      <c r="F35" s="254" t="s">
        <v>269</v>
      </c>
      <c r="G35" s="255">
        <f>G33*G34</f>
        <v>44005370</v>
      </c>
      <c r="H35" s="92"/>
      <c r="I35" s="514"/>
    </row>
    <row r="36" spans="1:12" x14ac:dyDescent="0.2">
      <c r="A36" s="92"/>
      <c r="B36" s="259" t="s">
        <v>270</v>
      </c>
      <c r="C36" s="261">
        <f>D23/1000000000</f>
        <v>1.9999999999999999E-6</v>
      </c>
      <c r="D36" s="92"/>
      <c r="E36" s="92"/>
      <c r="F36" s="259" t="s">
        <v>270</v>
      </c>
      <c r="G36" s="259">
        <f>D24/1000000000</f>
        <v>3.4999999999999998E-7</v>
      </c>
      <c r="H36" s="92"/>
    </row>
    <row r="37" spans="1:12" x14ac:dyDescent="0.2">
      <c r="A37" s="92"/>
      <c r="B37" s="245" t="s">
        <v>271</v>
      </c>
      <c r="C37" s="260">
        <f>C23/1000000000</f>
        <v>9.5000000000000001E-7</v>
      </c>
      <c r="D37" s="92"/>
      <c r="E37" s="92"/>
      <c r="F37" s="245" t="s">
        <v>271</v>
      </c>
      <c r="G37" s="258">
        <f>C24/1000000000</f>
        <v>3.4999999999999998E-7</v>
      </c>
      <c r="H37" s="92"/>
    </row>
    <row r="38" spans="1:12" x14ac:dyDescent="0.2">
      <c r="A38" s="92"/>
      <c r="B38" s="92"/>
      <c r="C38" s="262"/>
      <c r="D38" s="92"/>
      <c r="E38" s="92"/>
      <c r="F38" s="92"/>
      <c r="G38" s="263"/>
      <c r="H38" s="92"/>
    </row>
    <row r="39" spans="1:12" x14ac:dyDescent="0.2">
      <c r="B39" s="92"/>
      <c r="C39" s="92"/>
      <c r="F39" s="92"/>
      <c r="G39" s="92"/>
    </row>
    <row r="40" spans="1:12" x14ac:dyDescent="0.2">
      <c r="B40" s="613" t="s">
        <v>272</v>
      </c>
      <c r="C40" s="614"/>
      <c r="F40" s="613" t="s">
        <v>273</v>
      </c>
      <c r="G40" s="614"/>
      <c r="I40" s="246"/>
    </row>
    <row r="41" spans="1:12" x14ac:dyDescent="0.2">
      <c r="A41" s="92"/>
      <c r="B41" s="241" t="s">
        <v>263</v>
      </c>
      <c r="C41" s="256">
        <f>C35*C36</f>
        <v>60.094487018181816</v>
      </c>
      <c r="D41" s="92"/>
      <c r="F41" s="241" t="s">
        <v>263</v>
      </c>
      <c r="G41" s="256">
        <f>C35*C37</f>
        <v>28.544881333636361</v>
      </c>
      <c r="H41" s="92"/>
    </row>
    <row r="42" spans="1:12" x14ac:dyDescent="0.2">
      <c r="A42" s="92"/>
      <c r="B42" s="254" t="s">
        <v>264</v>
      </c>
      <c r="C42" s="257">
        <f>G35*G36</f>
        <v>15.4018795</v>
      </c>
      <c r="D42" s="92"/>
      <c r="F42" s="254" t="s">
        <v>264</v>
      </c>
      <c r="G42" s="257">
        <f>G35*G37</f>
        <v>15.4018795</v>
      </c>
      <c r="H42" s="247"/>
      <c r="I42" s="248"/>
      <c r="J42" s="92"/>
    </row>
    <row r="43" spans="1:12" x14ac:dyDescent="0.2">
      <c r="A43" s="92"/>
      <c r="B43" s="93" t="s">
        <v>274</v>
      </c>
      <c r="C43" s="273">
        <f>C41+C42</f>
        <v>75.496366518181816</v>
      </c>
      <c r="D43" s="92"/>
      <c r="F43" s="93" t="s">
        <v>275</v>
      </c>
      <c r="G43" s="273">
        <f>G41+G42</f>
        <v>43.946760833636361</v>
      </c>
    </row>
    <row r="44" spans="1:12" x14ac:dyDescent="0.2">
      <c r="B44" s="92"/>
      <c r="C44" s="92"/>
    </row>
    <row r="46" spans="1:12" x14ac:dyDescent="0.2">
      <c r="C46" s="249"/>
      <c r="D46" s="92"/>
      <c r="G46" s="250"/>
    </row>
    <row r="47" spans="1:12" s="220" customFormat="1" ht="20.25" customHeight="1" x14ac:dyDescent="0.2">
      <c r="A47" s="235"/>
      <c r="B47" s="221" t="s">
        <v>276</v>
      </c>
      <c r="C47" s="235"/>
      <c r="G47" s="235"/>
      <c r="J47" s="236"/>
      <c r="K47" s="237"/>
      <c r="L47" s="236"/>
    </row>
    <row r="48" spans="1:12" s="219" customFormat="1" ht="15.75" customHeight="1" x14ac:dyDescent="0.2">
      <c r="A48" s="264"/>
      <c r="B48" s="265"/>
      <c r="C48" s="264"/>
      <c r="G48" s="264"/>
      <c r="J48" s="266"/>
      <c r="K48" s="267"/>
      <c r="L48" s="266"/>
    </row>
    <row r="50" spans="1:8" ht="18" x14ac:dyDescent="0.2">
      <c r="B50" s="616" t="s">
        <v>264</v>
      </c>
      <c r="C50" s="617"/>
    </row>
    <row r="51" spans="1:8" x14ac:dyDescent="0.2">
      <c r="A51" s="92"/>
      <c r="B51" s="245" t="s">
        <v>270</v>
      </c>
      <c r="C51" s="245">
        <f>G36</f>
        <v>3.4999999999999998E-7</v>
      </c>
      <c r="D51" s="92"/>
    </row>
    <row r="52" spans="1:8" x14ac:dyDescent="0.2">
      <c r="A52" s="92"/>
      <c r="B52" s="245" t="s">
        <v>271</v>
      </c>
      <c r="C52" s="245">
        <f>G37</f>
        <v>3.4999999999999998E-7</v>
      </c>
      <c r="D52" s="92"/>
    </row>
    <row r="53" spans="1:8" x14ac:dyDescent="0.2">
      <c r="B53" s="92"/>
      <c r="C53" s="92"/>
    </row>
    <row r="55" spans="1:8" x14ac:dyDescent="0.2">
      <c r="B55" s="92"/>
      <c r="C55" s="53"/>
      <c r="D55" s="53"/>
      <c r="F55" s="92"/>
      <c r="G55" s="251"/>
    </row>
    <row r="56" spans="1:8" s="74" customFormat="1" ht="18" x14ac:dyDescent="0.2">
      <c r="A56" s="252"/>
      <c r="B56" s="615" t="s">
        <v>135</v>
      </c>
      <c r="C56" s="615"/>
      <c r="D56" s="252"/>
      <c r="E56" s="252"/>
      <c r="F56" s="615" t="s">
        <v>136</v>
      </c>
      <c r="G56" s="615" t="s">
        <v>136</v>
      </c>
      <c r="H56" s="252"/>
    </row>
    <row r="57" spans="1:8" x14ac:dyDescent="0.2">
      <c r="A57" s="92"/>
      <c r="B57" s="241" t="s">
        <v>265</v>
      </c>
      <c r="C57" s="242">
        <f>(E15*'1.1. CO2 analysis'!C106)+(E18*'1.1. CO2 analysis'!C121)</f>
        <v>40980.256249999999</v>
      </c>
      <c r="D57" s="92"/>
      <c r="E57" s="92"/>
      <c r="F57" s="245" t="s">
        <v>265</v>
      </c>
      <c r="G57" s="242">
        <f>(E15*'1.1. CO2 analysis'!C106)+('2.1. NOx and SO2 analysis'!E16*'1.1. CO2 analysis'!I125)+('2.1. NOx and SO2 analysis'!E17*'1.1. CO2 analysis'!L125)</f>
        <v>28291.127</v>
      </c>
      <c r="H57" s="92"/>
    </row>
    <row r="58" spans="1:8" x14ac:dyDescent="0.2">
      <c r="A58" s="92"/>
      <c r="B58" s="241" t="s">
        <v>266</v>
      </c>
      <c r="C58" s="271">
        <f>'1.1. CO2 analysis'!C104+'1.1. CO2 analysis'!C119</f>
        <v>338450</v>
      </c>
      <c r="D58" s="92"/>
      <c r="E58" s="92"/>
      <c r="F58" s="245" t="s">
        <v>266</v>
      </c>
      <c r="G58" s="269">
        <f>C58</f>
        <v>338450</v>
      </c>
      <c r="H58" s="92"/>
    </row>
    <row r="59" spans="1:8" x14ac:dyDescent="0.2">
      <c r="A59" s="92"/>
      <c r="B59" s="241" t="s">
        <v>277</v>
      </c>
      <c r="C59" s="260">
        <f>(E15+E18)/2</f>
        <v>544.5</v>
      </c>
      <c r="D59" s="92"/>
      <c r="E59" s="92"/>
      <c r="F59" s="245" t="s">
        <v>277</v>
      </c>
      <c r="G59" s="260">
        <f>(E15+E16+E17)/3</f>
        <v>210.20000000000002</v>
      </c>
      <c r="H59" s="92"/>
    </row>
    <row r="60" spans="1:8" x14ac:dyDescent="0.2">
      <c r="A60" s="92"/>
      <c r="B60" s="254" t="s">
        <v>278</v>
      </c>
      <c r="C60" s="255">
        <f>C59*C58</f>
        <v>184286025</v>
      </c>
      <c r="D60" s="92"/>
      <c r="E60" s="92"/>
      <c r="F60" s="245" t="s">
        <v>278</v>
      </c>
      <c r="G60" s="242">
        <f>G59*G58</f>
        <v>71142190</v>
      </c>
      <c r="H60" s="92"/>
    </row>
    <row r="61" spans="1:8" x14ac:dyDescent="0.2">
      <c r="A61" s="92"/>
      <c r="B61" s="270" t="s">
        <v>274</v>
      </c>
      <c r="C61" s="272">
        <f>C60*C51</f>
        <v>64.500108749999995</v>
      </c>
      <c r="D61" s="92"/>
      <c r="E61" s="92"/>
      <c r="F61" s="160" t="s">
        <v>274</v>
      </c>
      <c r="G61" s="274">
        <f>G60*C51</f>
        <v>24.899766499999998</v>
      </c>
      <c r="H61" s="92"/>
    </row>
    <row r="62" spans="1:8" x14ac:dyDescent="0.2">
      <c r="A62" s="92"/>
      <c r="B62" s="93" t="s">
        <v>275</v>
      </c>
      <c r="C62" s="273">
        <f>C60*C52</f>
        <v>64.500108749999995</v>
      </c>
      <c r="D62" s="92"/>
      <c r="E62" s="92"/>
      <c r="F62" s="93" t="s">
        <v>275</v>
      </c>
      <c r="G62" s="273">
        <f>G60*C52</f>
        <v>24.899766499999998</v>
      </c>
      <c r="H62" s="92"/>
    </row>
    <row r="63" spans="1:8" x14ac:dyDescent="0.2">
      <c r="B63" s="92"/>
      <c r="C63" s="92"/>
      <c r="F63" s="92"/>
      <c r="G63" s="92"/>
    </row>
  </sheetData>
  <mergeCells count="7">
    <mergeCell ref="B31:C31"/>
    <mergeCell ref="F31:G31"/>
    <mergeCell ref="B40:C40"/>
    <mergeCell ref="F40:G40"/>
    <mergeCell ref="F56:G56"/>
    <mergeCell ref="B56:C56"/>
    <mergeCell ref="B50:C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AE152-8F01-4348-A4CF-5A07709F1F3F}">
  <sheetPr>
    <tabColor rgb="FF3A3838"/>
  </sheetPr>
  <dimension ref="B2:N23"/>
  <sheetViews>
    <sheetView showGridLines="0" workbookViewId="0"/>
  </sheetViews>
  <sheetFormatPr baseColWidth="10" defaultColWidth="9.1640625" defaultRowHeight="16" x14ac:dyDescent="0.2"/>
  <cols>
    <col min="1" max="1" width="6" style="288" customWidth="1"/>
    <col min="2" max="2" width="5.5" style="86" customWidth="1"/>
    <col min="3" max="3" width="5.5" style="288" customWidth="1"/>
    <col min="4" max="4" width="20" style="288" customWidth="1"/>
    <col min="5" max="5" width="12.83203125" style="288" customWidth="1"/>
    <col min="6" max="6" width="12.5" style="288" bestFit="1" customWidth="1"/>
    <col min="7" max="7" width="11.5" style="288" bestFit="1" customWidth="1"/>
    <col min="8" max="10" width="9.1640625" style="288"/>
    <col min="11" max="11" width="11.5" style="288" bestFit="1" customWidth="1"/>
    <col min="12" max="12" width="12.5" style="288" bestFit="1" customWidth="1"/>
    <col min="13" max="13" width="11.5" style="288" bestFit="1" customWidth="1"/>
    <col min="14" max="16384" width="9.1640625" style="288"/>
  </cols>
  <sheetData>
    <row r="2" spans="2:14" s="481" customFormat="1" ht="25" x14ac:dyDescent="0.15">
      <c r="B2" s="481" t="s">
        <v>246</v>
      </c>
    </row>
    <row r="3" spans="2:14" ht="25.5" customHeight="1" x14ac:dyDescent="0.2">
      <c r="B3" s="299" t="s">
        <v>279</v>
      </c>
    </row>
    <row r="4" spans="2:14" ht="14" x14ac:dyDescent="0.15">
      <c r="B4" s="7"/>
    </row>
    <row r="5" spans="2:14" ht="18" x14ac:dyDescent="0.2">
      <c r="B5" s="300" t="s">
        <v>280</v>
      </c>
    </row>
    <row r="7" spans="2:14" s="87" customFormat="1" ht="18" x14ac:dyDescent="0.2">
      <c r="B7" s="88" t="s">
        <v>154</v>
      </c>
      <c r="N7" s="89"/>
    </row>
    <row r="9" spans="2:14" x14ac:dyDescent="0.2">
      <c r="B9" s="289" t="s">
        <v>281</v>
      </c>
      <c r="C9" s="280" t="s">
        <v>282</v>
      </c>
      <c r="H9" s="7"/>
      <c r="J9" s="8"/>
      <c r="K9" s="8"/>
      <c r="L9" s="8"/>
      <c r="M9" s="8"/>
    </row>
    <row r="10" spans="2:14" x14ac:dyDescent="0.2">
      <c r="H10" s="8"/>
      <c r="I10" s="8"/>
      <c r="J10" s="8"/>
      <c r="K10" s="7"/>
      <c r="L10" s="8"/>
      <c r="M10" s="7"/>
    </row>
    <row r="11" spans="2:14" x14ac:dyDescent="0.2">
      <c r="C11" s="10"/>
      <c r="D11" s="10"/>
      <c r="E11" s="30" t="s">
        <v>199</v>
      </c>
      <c r="F11" s="30" t="s">
        <v>135</v>
      </c>
      <c r="G11" s="30" t="s">
        <v>136</v>
      </c>
      <c r="H11" s="8"/>
    </row>
    <row r="12" spans="2:14" x14ac:dyDescent="0.2">
      <c r="C12" s="8" t="s">
        <v>278</v>
      </c>
      <c r="D12" s="8"/>
      <c r="E12" s="40">
        <f>E20</f>
        <v>74052613.5090909</v>
      </c>
      <c r="F12" s="40">
        <f>F20</f>
        <v>184286025</v>
      </c>
      <c r="G12" s="40">
        <f>G20</f>
        <v>71142190</v>
      </c>
      <c r="H12" s="8"/>
    </row>
    <row r="13" spans="2:14" x14ac:dyDescent="0.2">
      <c r="C13" s="8" t="s">
        <v>283</v>
      </c>
      <c r="D13" s="8"/>
      <c r="E13" s="8"/>
      <c r="F13" s="90">
        <f>350/1000000000</f>
        <v>3.4999999999999998E-7</v>
      </c>
      <c r="G13" s="90">
        <f>350/1000000000</f>
        <v>3.4999999999999998E-7</v>
      </c>
      <c r="H13" s="8"/>
    </row>
    <row r="14" spans="2:14" x14ac:dyDescent="0.2">
      <c r="C14" s="201" t="s">
        <v>284</v>
      </c>
      <c r="D14" s="26"/>
      <c r="E14" s="213">
        <f>'2.1. NOx and SO2 analysis'!G43</f>
        <v>43.946760833636361</v>
      </c>
      <c r="F14" s="213">
        <f>F12*F13</f>
        <v>64.500108749999995</v>
      </c>
      <c r="G14" s="213">
        <f>G12*G13</f>
        <v>24.899766499999998</v>
      </c>
      <c r="H14" s="8"/>
    </row>
    <row r="16" spans="2:14" x14ac:dyDescent="0.2">
      <c r="I16" s="542"/>
    </row>
    <row r="17" spans="2:7" x14ac:dyDescent="0.2">
      <c r="B17" s="281" t="s">
        <v>285</v>
      </c>
      <c r="C17" s="280" t="s">
        <v>286</v>
      </c>
    </row>
    <row r="18" spans="2:7" x14ac:dyDescent="0.2">
      <c r="D18" s="7"/>
      <c r="E18" s="7"/>
      <c r="F18" s="7"/>
      <c r="G18" s="7"/>
    </row>
    <row r="19" spans="2:7" x14ac:dyDescent="0.2">
      <c r="C19" s="8"/>
      <c r="D19" s="290"/>
      <c r="E19" s="10" t="s">
        <v>199</v>
      </c>
      <c r="F19" s="30" t="s">
        <v>135</v>
      </c>
      <c r="G19" s="30" t="s">
        <v>136</v>
      </c>
    </row>
    <row r="20" spans="2:7" x14ac:dyDescent="0.2">
      <c r="C20" s="15" t="s">
        <v>278</v>
      </c>
      <c r="D20" s="291"/>
      <c r="E20" s="40">
        <f>'2.1. NOx and SO2 analysis'!C35+'2.1. NOx and SO2 analysis'!G35</f>
        <v>74052613.5090909</v>
      </c>
      <c r="F20" s="40">
        <f>'2.1. NOx and SO2 analysis'!C60</f>
        <v>184286025</v>
      </c>
      <c r="G20" s="199">
        <f>'2.1. NOx and SO2 analysis'!G60</f>
        <v>71142190</v>
      </c>
    </row>
    <row r="21" spans="2:7" x14ac:dyDescent="0.2">
      <c r="C21" s="8" t="s">
        <v>287</v>
      </c>
      <c r="D21" s="290"/>
      <c r="E21" s="10"/>
      <c r="F21" s="90">
        <f>350/1000000000</f>
        <v>3.4999999999999998E-7</v>
      </c>
      <c r="G21" s="90">
        <f>350/1000000000</f>
        <v>3.4999999999999998E-7</v>
      </c>
    </row>
    <row r="22" spans="2:7" x14ac:dyDescent="0.2">
      <c r="C22" s="201" t="s">
        <v>288</v>
      </c>
      <c r="D22" s="290"/>
      <c r="E22" s="213">
        <f>'2.1. NOx and SO2 analysis'!C43</f>
        <v>75.496366518181816</v>
      </c>
      <c r="F22" s="213">
        <f>F20*F21</f>
        <v>64.500108749999995</v>
      </c>
      <c r="G22" s="213">
        <f>G20*G21</f>
        <v>24.899766499999998</v>
      </c>
    </row>
    <row r="23" spans="2:7" x14ac:dyDescent="0.2">
      <c r="D23" s="29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93A36-3D5F-4BE3-8E8B-1EB34DF0F905}">
  <sheetPr>
    <tabColor rgb="FF757171"/>
  </sheetPr>
  <dimension ref="A2:O96"/>
  <sheetViews>
    <sheetView showGridLines="0" workbookViewId="0"/>
  </sheetViews>
  <sheetFormatPr baseColWidth="10" defaultColWidth="9.1640625" defaultRowHeight="14" x14ac:dyDescent="0.15"/>
  <cols>
    <col min="1" max="2" width="9.1640625" style="36"/>
    <col min="3" max="3" width="15.33203125" style="36" customWidth="1"/>
    <col min="4" max="4" width="20" style="36" bestFit="1" customWidth="1"/>
    <col min="5" max="6" width="13.5" style="36" customWidth="1"/>
    <col min="7" max="7" width="14.6640625" style="36" customWidth="1"/>
    <col min="8" max="8" width="14.5" style="36" customWidth="1"/>
    <col min="9" max="9" width="14" style="36" customWidth="1"/>
    <col min="10" max="10" width="13.6640625" style="36" bestFit="1" customWidth="1"/>
    <col min="11" max="11" width="17.6640625" style="36" customWidth="1"/>
    <col min="12" max="12" width="12" style="36" customWidth="1"/>
    <col min="13" max="13" width="11.1640625" style="36" customWidth="1"/>
    <col min="14" max="14" width="18.33203125" style="36" customWidth="1"/>
    <col min="15" max="15" width="12.6640625" style="36" bestFit="1" customWidth="1"/>
    <col min="16" max="16" width="14.1640625" style="36" customWidth="1"/>
    <col min="17" max="17" width="9.5" style="36" bestFit="1" customWidth="1"/>
    <col min="18" max="18" width="6.5" style="36" customWidth="1"/>
    <col min="19" max="19" width="9.1640625" style="36"/>
    <col min="20" max="20" width="6.83203125" style="36" customWidth="1"/>
    <col min="21" max="16384" width="9.1640625" style="36"/>
  </cols>
  <sheetData>
    <row r="2" spans="2:11" s="480" customFormat="1" ht="25" x14ac:dyDescent="0.15">
      <c r="B2" s="482" t="s">
        <v>289</v>
      </c>
    </row>
    <row r="3" spans="2:11" ht="24" customHeight="1" x14ac:dyDescent="0.2">
      <c r="B3" s="299" t="s">
        <v>7</v>
      </c>
    </row>
    <row r="4" spans="2:11" ht="16.5" customHeight="1" x14ac:dyDescent="0.2">
      <c r="B4" s="299"/>
    </row>
    <row r="5" spans="2:11" s="7" customFormat="1" ht="26.25" customHeight="1" x14ac:dyDescent="0.2">
      <c r="B5" s="300" t="s">
        <v>10</v>
      </c>
      <c r="C5" s="86"/>
    </row>
    <row r="6" spans="2:11" s="7" customFormat="1" ht="26.25" customHeight="1" x14ac:dyDescent="0.2">
      <c r="B6" s="300" t="s">
        <v>11</v>
      </c>
      <c r="C6" s="86"/>
      <c r="D6" s="86"/>
      <c r="E6" s="86"/>
      <c r="F6" s="86"/>
      <c r="G6" s="86"/>
      <c r="H6" s="86"/>
    </row>
    <row r="7" spans="2:11" s="7" customFormat="1" ht="26.25" customHeight="1" x14ac:dyDescent="0.2">
      <c r="B7" s="300" t="s">
        <v>12</v>
      </c>
      <c r="C7" s="297"/>
      <c r="D7" s="86"/>
      <c r="E7" s="86"/>
      <c r="F7" s="86"/>
      <c r="G7" s="86"/>
      <c r="H7" s="86"/>
    </row>
    <row r="8" spans="2:11" s="7" customFormat="1" ht="26.25" customHeight="1" x14ac:dyDescent="0.2">
      <c r="B8" s="300"/>
      <c r="C8" s="297"/>
      <c r="D8" s="86"/>
      <c r="E8" s="86"/>
      <c r="F8" s="86"/>
      <c r="G8" s="86"/>
      <c r="H8" s="86"/>
    </row>
    <row r="10" spans="2:11" s="87" customFormat="1" ht="18" x14ac:dyDescent="0.2">
      <c r="B10" s="88" t="s">
        <v>13</v>
      </c>
    </row>
    <row r="12" spans="2:11" x14ac:dyDescent="0.15">
      <c r="C12" s="94"/>
      <c r="K12" s="486"/>
    </row>
    <row r="13" spans="2:11" x14ac:dyDescent="0.15">
      <c r="C13" s="618" t="s">
        <v>35</v>
      </c>
      <c r="D13" s="618"/>
      <c r="E13" s="618"/>
      <c r="G13" s="618" t="s">
        <v>290</v>
      </c>
      <c r="H13" s="618"/>
      <c r="I13" s="618"/>
      <c r="K13" s="487"/>
    </row>
    <row r="14" spans="2:11" x14ac:dyDescent="0.15">
      <c r="C14" s="23" t="s">
        <v>40</v>
      </c>
      <c r="D14" s="15"/>
      <c r="E14" s="24">
        <f>'1.1. CO2 analysis'!D31</f>
        <v>278800</v>
      </c>
      <c r="F14" s="51"/>
      <c r="G14" s="104" t="s">
        <v>45</v>
      </c>
      <c r="H14" s="485">
        <v>5.3</v>
      </c>
      <c r="I14" s="84" t="s">
        <v>291</v>
      </c>
      <c r="J14" s="33"/>
      <c r="K14" s="487"/>
    </row>
    <row r="15" spans="2:11" x14ac:dyDescent="0.15">
      <c r="C15" s="25" t="s">
        <v>42</v>
      </c>
      <c r="D15" s="26"/>
      <c r="E15" s="27">
        <f>'1.1. CO2 analysis'!D32</f>
        <v>59650</v>
      </c>
      <c r="F15" s="51"/>
      <c r="G15" s="104" t="s">
        <v>46</v>
      </c>
      <c r="H15" s="484">
        <v>5.5</v>
      </c>
      <c r="I15" s="111" t="s">
        <v>291</v>
      </c>
      <c r="J15" s="33"/>
      <c r="K15" s="487"/>
    </row>
    <row r="16" spans="2:11" x14ac:dyDescent="0.15">
      <c r="C16" s="28" t="s">
        <v>43</v>
      </c>
      <c r="D16" s="10"/>
      <c r="E16" s="29">
        <f>'1.1. CO2 analysis'!D33</f>
        <v>153550</v>
      </c>
      <c r="G16" s="51"/>
      <c r="H16" s="483"/>
      <c r="I16" s="51"/>
      <c r="K16" s="487"/>
    </row>
    <row r="17" spans="3:11" x14ac:dyDescent="0.15">
      <c r="C17" s="8"/>
      <c r="D17" s="8"/>
      <c r="E17" s="51"/>
      <c r="K17" s="487"/>
    </row>
    <row r="18" spans="3:11" ht="13.5" customHeight="1" x14ac:dyDescent="0.15">
      <c r="C18" s="8"/>
      <c r="D18" s="8"/>
      <c r="E18" s="51"/>
    </row>
    <row r="19" spans="3:11" ht="27.75" customHeight="1" x14ac:dyDescent="0.15">
      <c r="C19" s="165" t="s">
        <v>292</v>
      </c>
      <c r="D19" s="165" t="s">
        <v>293</v>
      </c>
      <c r="E19" s="552" t="s">
        <v>294</v>
      </c>
      <c r="F19" s="552" t="s">
        <v>295</v>
      </c>
      <c r="G19" s="101" t="s">
        <v>296</v>
      </c>
      <c r="H19" s="101" t="s">
        <v>297</v>
      </c>
      <c r="I19" s="552" t="s">
        <v>298</v>
      </c>
    </row>
    <row r="20" spans="3:11" ht="13.5" customHeight="1" x14ac:dyDescent="0.15">
      <c r="C20" s="139" t="s">
        <v>176</v>
      </c>
      <c r="D20" s="27" t="s">
        <v>81</v>
      </c>
      <c r="E20" s="27" t="s">
        <v>159</v>
      </c>
      <c r="F20" s="27" t="s">
        <v>216</v>
      </c>
      <c r="G20" s="104">
        <v>1000</v>
      </c>
      <c r="H20" s="138">
        <v>35</v>
      </c>
      <c r="I20" s="105">
        <v>7.2</v>
      </c>
    </row>
    <row r="21" spans="3:11" ht="13.5" customHeight="1" x14ac:dyDescent="0.15">
      <c r="C21" s="140" t="s">
        <v>176</v>
      </c>
      <c r="D21" s="106" t="s">
        <v>299</v>
      </c>
      <c r="E21" s="27" t="s">
        <v>160</v>
      </c>
      <c r="F21" s="27" t="s">
        <v>216</v>
      </c>
      <c r="G21" s="104">
        <v>1800</v>
      </c>
      <c r="H21" s="175">
        <v>58</v>
      </c>
      <c r="I21" s="105">
        <v>7.2</v>
      </c>
    </row>
    <row r="22" spans="3:11" ht="13.5" customHeight="1" x14ac:dyDescent="0.15">
      <c r="C22" s="139" t="s">
        <v>176</v>
      </c>
      <c r="D22" s="109" t="s">
        <v>300</v>
      </c>
      <c r="E22" s="24" t="s">
        <v>157</v>
      </c>
      <c r="F22" s="24" t="s">
        <v>301</v>
      </c>
      <c r="G22" s="110">
        <v>30</v>
      </c>
      <c r="H22" s="178">
        <v>83</v>
      </c>
      <c r="I22" s="132" t="s">
        <v>24</v>
      </c>
    </row>
    <row r="23" spans="3:11" ht="13.5" customHeight="1" x14ac:dyDescent="0.15">
      <c r="C23" s="51"/>
      <c r="D23" s="111"/>
      <c r="E23" s="111"/>
      <c r="F23" s="111"/>
      <c r="G23" s="111"/>
      <c r="H23" s="179"/>
      <c r="I23" s="124"/>
    </row>
    <row r="24" spans="3:11" ht="13.5" customHeight="1" x14ac:dyDescent="0.15">
      <c r="C24" s="141" t="s">
        <v>175</v>
      </c>
      <c r="D24" s="112" t="s">
        <v>81</v>
      </c>
      <c r="E24" s="29" t="s">
        <v>159</v>
      </c>
      <c r="F24" s="29" t="s">
        <v>301</v>
      </c>
      <c r="G24" s="113">
        <v>30</v>
      </c>
      <c r="H24" s="180">
        <v>83</v>
      </c>
      <c r="I24" s="132" t="s">
        <v>24</v>
      </c>
    </row>
    <row r="25" spans="3:11" ht="13.5" customHeight="1" x14ac:dyDescent="0.15">
      <c r="C25" s="142" t="s">
        <v>175</v>
      </c>
      <c r="D25" s="106" t="s">
        <v>299</v>
      </c>
      <c r="E25" s="27" t="s">
        <v>302</v>
      </c>
      <c r="F25" s="27" t="s">
        <v>301</v>
      </c>
      <c r="G25" s="104">
        <v>30</v>
      </c>
      <c r="H25" s="181">
        <v>45</v>
      </c>
      <c r="I25" s="132" t="s">
        <v>24</v>
      </c>
    </row>
    <row r="26" spans="3:11" ht="13.5" customHeight="1" x14ac:dyDescent="0.15">
      <c r="C26" s="143" t="s">
        <v>175</v>
      </c>
      <c r="D26" s="109" t="s">
        <v>300</v>
      </c>
      <c r="E26" s="24" t="s">
        <v>157</v>
      </c>
      <c r="F26" s="24" t="s">
        <v>301</v>
      </c>
      <c r="G26" s="110">
        <v>30</v>
      </c>
      <c r="H26" s="178">
        <v>83</v>
      </c>
      <c r="I26" s="132" t="s">
        <v>24</v>
      </c>
    </row>
    <row r="27" spans="3:11" ht="13.5" customHeight="1" x14ac:dyDescent="0.15">
      <c r="C27" s="111"/>
      <c r="D27" s="111"/>
      <c r="E27" s="111"/>
      <c r="F27" s="111"/>
      <c r="G27" s="111"/>
      <c r="H27" s="179"/>
      <c r="I27" s="124"/>
    </row>
    <row r="28" spans="3:11" ht="13.5" customHeight="1" x14ac:dyDescent="0.15">
      <c r="C28" s="144" t="s">
        <v>174</v>
      </c>
      <c r="D28" s="29" t="s">
        <v>81</v>
      </c>
      <c r="E28" s="29" t="s">
        <v>303</v>
      </c>
      <c r="F28" s="29" t="s">
        <v>301</v>
      </c>
      <c r="G28" s="113">
        <v>30</v>
      </c>
      <c r="H28" s="180">
        <v>50</v>
      </c>
      <c r="I28" s="132" t="s">
        <v>24</v>
      </c>
    </row>
    <row r="29" spans="3:11" ht="13.5" customHeight="1" x14ac:dyDescent="0.15">
      <c r="C29" s="145" t="s">
        <v>174</v>
      </c>
      <c r="D29" s="106" t="s">
        <v>299</v>
      </c>
      <c r="E29" s="27" t="s">
        <v>174</v>
      </c>
      <c r="F29" s="27" t="s">
        <v>301</v>
      </c>
      <c r="G29" s="104">
        <v>30</v>
      </c>
      <c r="H29" s="181">
        <v>5</v>
      </c>
      <c r="I29" s="132" t="s">
        <v>24</v>
      </c>
    </row>
    <row r="30" spans="3:11" ht="13.5" customHeight="1" x14ac:dyDescent="0.15">
      <c r="C30" s="145" t="s">
        <v>174</v>
      </c>
      <c r="D30" s="148" t="s">
        <v>300</v>
      </c>
      <c r="E30" s="27" t="s">
        <v>174</v>
      </c>
      <c r="F30" s="27" t="s">
        <v>301</v>
      </c>
      <c r="G30" s="104">
        <v>30</v>
      </c>
      <c r="H30" s="181">
        <v>5</v>
      </c>
      <c r="I30" s="132" t="s">
        <v>24</v>
      </c>
    </row>
    <row r="31" spans="3:11" ht="13.5" customHeight="1" x14ac:dyDescent="0.15">
      <c r="C31" s="8"/>
      <c r="D31" s="8"/>
      <c r="E31" s="51"/>
    </row>
    <row r="32" spans="3:11" ht="13.5" customHeight="1" x14ac:dyDescent="0.15">
      <c r="C32" s="8"/>
      <c r="D32" s="8"/>
      <c r="E32" s="51"/>
    </row>
    <row r="33" spans="1:13" ht="13.5" customHeight="1" x14ac:dyDescent="0.15">
      <c r="C33" s="8"/>
      <c r="D33" s="8"/>
      <c r="E33" s="51"/>
      <c r="K33" s="51"/>
      <c r="L33" s="51"/>
    </row>
    <row r="34" spans="1:13" ht="27.75" customHeight="1" x14ac:dyDescent="0.15">
      <c r="C34" s="165" t="s">
        <v>292</v>
      </c>
      <c r="D34" s="165" t="s">
        <v>293</v>
      </c>
      <c r="E34" s="552" t="s">
        <v>294</v>
      </c>
      <c r="F34" s="552" t="s">
        <v>304</v>
      </c>
      <c r="G34" s="101" t="s">
        <v>295</v>
      </c>
      <c r="H34" s="101" t="s">
        <v>296</v>
      </c>
      <c r="I34" s="552" t="s">
        <v>297</v>
      </c>
      <c r="J34" s="101" t="s">
        <v>298</v>
      </c>
      <c r="K34" s="623" t="s">
        <v>305</v>
      </c>
      <c r="L34" s="623"/>
      <c r="M34" s="51"/>
    </row>
    <row r="35" spans="1:13" ht="13.5" customHeight="1" x14ac:dyDescent="0.15">
      <c r="C35" s="139" t="s">
        <v>176</v>
      </c>
      <c r="D35" s="27" t="s">
        <v>306</v>
      </c>
      <c r="E35" s="27" t="s">
        <v>256</v>
      </c>
      <c r="F35" s="27"/>
      <c r="G35" s="27" t="s">
        <v>216</v>
      </c>
      <c r="H35" s="104">
        <v>6000</v>
      </c>
      <c r="I35" s="122">
        <v>57.62</v>
      </c>
      <c r="J35" s="123" t="s">
        <v>24</v>
      </c>
      <c r="K35" s="624" t="s">
        <v>307</v>
      </c>
      <c r="L35" s="624"/>
    </row>
    <row r="36" spans="1:13" ht="13.5" customHeight="1" x14ac:dyDescent="0.15">
      <c r="C36" s="139" t="s">
        <v>176</v>
      </c>
      <c r="D36" s="27" t="s">
        <v>308</v>
      </c>
      <c r="E36" s="27" t="s">
        <v>160</v>
      </c>
      <c r="F36" s="27"/>
      <c r="G36" s="27" t="s">
        <v>216</v>
      </c>
      <c r="H36" s="104">
        <v>4000</v>
      </c>
      <c r="I36" s="116">
        <v>45</v>
      </c>
      <c r="J36" s="123" t="s">
        <v>24</v>
      </c>
      <c r="K36" s="625"/>
      <c r="L36" s="625"/>
    </row>
    <row r="37" spans="1:13" ht="14" customHeight="1" x14ac:dyDescent="0.15">
      <c r="C37" s="139" t="s">
        <v>176</v>
      </c>
      <c r="D37" s="27" t="s">
        <v>81</v>
      </c>
      <c r="E37" s="27" t="s">
        <v>159</v>
      </c>
      <c r="F37" s="27"/>
      <c r="G37" s="27" t="s">
        <v>216</v>
      </c>
      <c r="H37" s="104">
        <v>1000</v>
      </c>
      <c r="I37" s="116">
        <v>45</v>
      </c>
      <c r="J37" s="123" t="s">
        <v>24</v>
      </c>
      <c r="K37" s="625"/>
      <c r="L37" s="625"/>
    </row>
    <row r="38" spans="1:13" ht="13.5" customHeight="1" x14ac:dyDescent="0.15">
      <c r="C38" s="8"/>
      <c r="D38" s="8"/>
      <c r="E38" s="51"/>
    </row>
    <row r="39" spans="1:13" ht="13.5" customHeight="1" x14ac:dyDescent="0.15">
      <c r="C39" s="8"/>
      <c r="D39" s="8"/>
      <c r="E39" s="51"/>
    </row>
    <row r="40" spans="1:13" ht="13.5" customHeight="1" x14ac:dyDescent="0.15">
      <c r="C40" s="8"/>
      <c r="D40" s="8"/>
      <c r="E40" s="51"/>
    </row>
    <row r="41" spans="1:13" x14ac:dyDescent="0.15">
      <c r="C41" s="36" t="s">
        <v>309</v>
      </c>
    </row>
    <row r="42" spans="1:13" s="87" customFormat="1" ht="20.25" customHeight="1" x14ac:dyDescent="0.2">
      <c r="A42" s="89"/>
      <c r="B42" s="323" t="s">
        <v>53</v>
      </c>
      <c r="C42" s="89"/>
      <c r="D42" s="89"/>
      <c r="H42" s="89"/>
      <c r="K42" s="3"/>
      <c r="L42" s="4"/>
      <c r="M42" s="3"/>
    </row>
    <row r="43" spans="1:13" s="128" customFormat="1" ht="18" x14ac:dyDescent="0.2">
      <c r="C43" s="129"/>
    </row>
    <row r="44" spans="1:13" x14ac:dyDescent="0.15">
      <c r="B44" s="51"/>
      <c r="C44" s="51"/>
      <c r="D44" s="51"/>
      <c r="E44" s="51"/>
      <c r="F44" s="51"/>
      <c r="G44" s="51"/>
      <c r="H44" s="51"/>
      <c r="J44" s="114"/>
      <c r="K44" s="114"/>
      <c r="L44" s="51"/>
      <c r="M44" s="51"/>
    </row>
    <row r="45" spans="1:13" x14ac:dyDescent="0.15">
      <c r="B45" s="51"/>
      <c r="C45" s="51"/>
      <c r="D45" s="51"/>
      <c r="E45" s="51"/>
      <c r="F45" s="51"/>
      <c r="G45" s="51"/>
      <c r="H45" s="51"/>
      <c r="I45" s="51"/>
      <c r="J45" s="114"/>
    </row>
    <row r="46" spans="1:13" ht="16" x14ac:dyDescent="0.2">
      <c r="B46" s="51"/>
      <c r="C46" s="621" t="s">
        <v>310</v>
      </c>
      <c r="D46" s="621"/>
      <c r="E46" s="621"/>
      <c r="F46" s="622"/>
      <c r="G46" s="622"/>
      <c r="H46" s="621"/>
      <c r="I46" s="621"/>
      <c r="J46" s="51"/>
    </row>
    <row r="47" spans="1:13" ht="27.75" customHeight="1" x14ac:dyDescent="0.15">
      <c r="B47" s="51"/>
      <c r="C47" s="115" t="s">
        <v>294</v>
      </c>
      <c r="D47" s="102" t="s">
        <v>311</v>
      </c>
      <c r="E47" s="121" t="s">
        <v>297</v>
      </c>
      <c r="F47" s="552" t="s">
        <v>304</v>
      </c>
      <c r="G47" s="552" t="s">
        <v>312</v>
      </c>
      <c r="H47" s="147" t="s">
        <v>313</v>
      </c>
      <c r="I47" s="102" t="s">
        <v>314</v>
      </c>
      <c r="J47" s="51"/>
    </row>
    <row r="48" spans="1:13" x14ac:dyDescent="0.15">
      <c r="B48" s="51"/>
      <c r="C48" s="29" t="s">
        <v>159</v>
      </c>
      <c r="D48" s="29">
        <v>107000</v>
      </c>
      <c r="E48" s="122">
        <v>35</v>
      </c>
      <c r="F48" s="29">
        <f>D48*E48</f>
        <v>3745000</v>
      </c>
      <c r="G48" s="27">
        <f>I20*(D48/30)</f>
        <v>25680</v>
      </c>
      <c r="H48" s="148">
        <f>D48*5.3</f>
        <v>567100</v>
      </c>
      <c r="I48" s="112">
        <f>F48+G48+H48</f>
        <v>4337780</v>
      </c>
    </row>
    <row r="49" spans="2:15" x14ac:dyDescent="0.15">
      <c r="B49" s="51"/>
      <c r="C49" s="27" t="s">
        <v>160</v>
      </c>
      <c r="D49" s="27">
        <v>42700</v>
      </c>
      <c r="E49" s="116">
        <f>H21</f>
        <v>58</v>
      </c>
      <c r="F49" s="29">
        <f t="shared" ref="F49:F50" si="0">D49*E49</f>
        <v>2476600</v>
      </c>
      <c r="G49" s="27">
        <f>I21*(D49/30)</f>
        <v>10248</v>
      </c>
      <c r="H49" s="148">
        <f>D49*5.3</f>
        <v>226310</v>
      </c>
      <c r="I49" s="112">
        <f>F49+G49+H49</f>
        <v>2713158</v>
      </c>
      <c r="M49" s="51"/>
    </row>
    <row r="50" spans="2:15" x14ac:dyDescent="0.15">
      <c r="B50" s="51"/>
      <c r="C50" s="24" t="s">
        <v>157</v>
      </c>
      <c r="D50" s="24">
        <v>15000</v>
      </c>
      <c r="E50" s="137">
        <v>83</v>
      </c>
      <c r="F50" s="29">
        <f t="shared" si="0"/>
        <v>1245000</v>
      </c>
      <c r="G50" s="132" t="s">
        <v>24</v>
      </c>
      <c r="H50" s="149" t="s">
        <v>24</v>
      </c>
      <c r="I50" s="112">
        <f>F50</f>
        <v>1245000</v>
      </c>
    </row>
    <row r="51" spans="2:15" x14ac:dyDescent="0.15">
      <c r="B51" s="51"/>
      <c r="C51" s="152" t="s">
        <v>315</v>
      </c>
      <c r="D51" s="152"/>
      <c r="E51" s="152"/>
      <c r="F51" s="152"/>
      <c r="G51" s="182"/>
      <c r="H51" s="182"/>
      <c r="I51" s="117">
        <f>SUM(I48:I50)</f>
        <v>8295938</v>
      </c>
      <c r="K51" s="103"/>
      <c r="L51" s="51"/>
      <c r="M51" s="51"/>
      <c r="N51" s="51"/>
    </row>
    <row r="52" spans="2:15" x14ac:dyDescent="0.15">
      <c r="B52" s="51"/>
      <c r="C52" s="36" t="s">
        <v>316</v>
      </c>
      <c r="D52" s="51"/>
      <c r="E52" s="107"/>
      <c r="F52" s="51"/>
      <c r="G52" s="51"/>
      <c r="H52" s="51"/>
    </row>
    <row r="53" spans="2:15" x14ac:dyDescent="0.15">
      <c r="B53" s="51"/>
      <c r="D53" s="51"/>
      <c r="E53" s="51"/>
      <c r="F53" s="51"/>
      <c r="G53" s="51"/>
      <c r="H53" s="51"/>
    </row>
    <row r="54" spans="2:15" x14ac:dyDescent="0.15">
      <c r="B54" s="51"/>
      <c r="C54" s="51"/>
      <c r="D54" s="51"/>
      <c r="E54" s="51"/>
      <c r="F54" s="51"/>
      <c r="G54" s="51"/>
      <c r="H54" s="51"/>
      <c r="I54" s="51"/>
      <c r="J54" s="114"/>
    </row>
    <row r="55" spans="2:15" ht="16" x14ac:dyDescent="0.2">
      <c r="B55" s="51"/>
      <c r="C55" s="626" t="s">
        <v>317</v>
      </c>
      <c r="D55" s="627"/>
      <c r="E55" s="627"/>
      <c r="F55" s="628"/>
      <c r="G55" s="629"/>
      <c r="H55" s="51"/>
      <c r="I55" s="51"/>
      <c r="J55" s="114"/>
      <c r="K55" s="489"/>
      <c r="L55" s="108"/>
      <c r="M55" s="126"/>
      <c r="N55" s="108"/>
      <c r="O55" s="108"/>
    </row>
    <row r="56" spans="2:15" ht="28.5" customHeight="1" x14ac:dyDescent="0.15">
      <c r="B56" s="51"/>
      <c r="C56" s="115" t="s">
        <v>294</v>
      </c>
      <c r="D56" s="118" t="s">
        <v>311</v>
      </c>
      <c r="E56" s="101" t="s">
        <v>297</v>
      </c>
      <c r="F56" s="150" t="s">
        <v>304</v>
      </c>
      <c r="G56" s="125" t="s">
        <v>314</v>
      </c>
      <c r="I56" s="51"/>
      <c r="J56" s="114"/>
      <c r="K56" s="108"/>
      <c r="L56" s="108"/>
      <c r="M56" s="108"/>
      <c r="N56" s="108"/>
      <c r="O56" s="108"/>
    </row>
    <row r="57" spans="2:15" x14ac:dyDescent="0.15">
      <c r="B57" s="51"/>
      <c r="C57" s="29" t="s">
        <v>159</v>
      </c>
      <c r="D57" s="29">
        <v>8270</v>
      </c>
      <c r="E57" s="130">
        <v>83</v>
      </c>
      <c r="F57" s="27">
        <f>D57*E57</f>
        <v>686410</v>
      </c>
      <c r="G57" s="148">
        <f>F57</f>
        <v>686410</v>
      </c>
      <c r="H57" s="51"/>
      <c r="I57" s="51"/>
      <c r="J57" s="114"/>
      <c r="K57" s="108"/>
      <c r="L57" s="108"/>
      <c r="M57" s="217"/>
      <c r="N57" s="108"/>
      <c r="O57" s="217"/>
    </row>
    <row r="58" spans="2:15" x14ac:dyDescent="0.15">
      <c r="B58" s="51"/>
      <c r="C58" s="24" t="s">
        <v>302</v>
      </c>
      <c r="D58" s="24">
        <v>4200</v>
      </c>
      <c r="E58" s="137">
        <v>45</v>
      </c>
      <c r="F58" s="24">
        <f t="shared" ref="F58" si="1">D58*E58</f>
        <v>189000</v>
      </c>
      <c r="G58" s="109">
        <f t="shared" ref="G58" si="2">F58</f>
        <v>189000</v>
      </c>
      <c r="H58" s="51"/>
      <c r="I58" s="51"/>
      <c r="J58" s="114"/>
      <c r="K58" s="108"/>
      <c r="L58" s="108"/>
      <c r="M58" s="217"/>
      <c r="N58" s="108"/>
      <c r="O58" s="217"/>
    </row>
    <row r="59" spans="2:15" x14ac:dyDescent="0.15">
      <c r="B59" s="51"/>
      <c r="C59" s="27" t="s">
        <v>157</v>
      </c>
      <c r="D59" s="27">
        <v>730</v>
      </c>
      <c r="E59" s="146">
        <v>83</v>
      </c>
      <c r="F59" s="27">
        <f>D59*E59</f>
        <v>60590</v>
      </c>
      <c r="G59" s="148">
        <f>F59</f>
        <v>60590</v>
      </c>
      <c r="H59" s="51"/>
      <c r="I59" s="51"/>
      <c r="J59" s="114"/>
      <c r="K59" s="108"/>
      <c r="L59" s="108"/>
      <c r="M59" s="108"/>
      <c r="N59" s="108"/>
      <c r="O59" s="108"/>
    </row>
    <row r="60" spans="2:15" ht="15.75" customHeight="1" x14ac:dyDescent="0.15">
      <c r="B60" s="51"/>
      <c r="C60" s="151" t="s">
        <v>318</v>
      </c>
      <c r="D60" s="27">
        <f>'1.1. CO2 analysis'!L64</f>
        <v>2800</v>
      </c>
      <c r="E60" s="174">
        <f>1100/30</f>
        <v>36.666666666666664</v>
      </c>
      <c r="F60" s="27">
        <f>D60*E60</f>
        <v>102666.66666666666</v>
      </c>
      <c r="G60" s="27">
        <f>F60</f>
        <v>102666.66666666666</v>
      </c>
      <c r="I60" s="51"/>
      <c r="J60" s="114"/>
      <c r="K60" s="119"/>
      <c r="L60" s="120"/>
      <c r="M60" s="51"/>
    </row>
    <row r="61" spans="2:15" x14ac:dyDescent="0.15">
      <c r="B61" s="51"/>
      <c r="C61" s="152" t="s">
        <v>315</v>
      </c>
      <c r="D61" s="111"/>
      <c r="E61" s="111"/>
      <c r="F61" s="111"/>
      <c r="G61" s="134">
        <f>G57+G58+G59+G60</f>
        <v>1038666.6666666666</v>
      </c>
      <c r="H61" s="51"/>
      <c r="I61" s="51"/>
      <c r="J61" s="114"/>
      <c r="K61" s="119"/>
      <c r="L61" s="120"/>
      <c r="M61" s="51"/>
    </row>
    <row r="62" spans="2:15" ht="28.5" customHeight="1" x14ac:dyDescent="0.15">
      <c r="B62" s="51"/>
      <c r="H62" s="51"/>
      <c r="I62" s="51"/>
      <c r="J62" s="114"/>
      <c r="K62" s="51"/>
      <c r="L62" s="153"/>
      <c r="M62" s="51"/>
    </row>
    <row r="63" spans="2:15" ht="16" x14ac:dyDescent="0.2">
      <c r="C63" s="636" t="s">
        <v>319</v>
      </c>
      <c r="D63" s="637"/>
      <c r="E63" s="637"/>
      <c r="F63" s="637"/>
      <c r="G63" s="638"/>
      <c r="I63" s="51"/>
      <c r="J63" s="51"/>
    </row>
    <row r="64" spans="2:15" ht="30" x14ac:dyDescent="0.15">
      <c r="B64" s="51"/>
      <c r="C64" s="115" t="s">
        <v>294</v>
      </c>
      <c r="D64" s="102" t="s">
        <v>311</v>
      </c>
      <c r="E64" s="133" t="s">
        <v>297</v>
      </c>
      <c r="F64" s="150" t="s">
        <v>304</v>
      </c>
      <c r="G64" s="125" t="s">
        <v>314</v>
      </c>
      <c r="H64" s="51"/>
      <c r="I64" s="51"/>
      <c r="J64" s="51"/>
    </row>
    <row r="65" spans="1:13" x14ac:dyDescent="0.15">
      <c r="C65" s="29" t="s">
        <v>303</v>
      </c>
      <c r="D65" s="113">
        <v>60500</v>
      </c>
      <c r="E65" s="146">
        <v>50</v>
      </c>
      <c r="F65" s="27">
        <f>D65*E65</f>
        <v>3025000</v>
      </c>
      <c r="G65" s="148">
        <f>F65</f>
        <v>3025000</v>
      </c>
      <c r="H65" s="51"/>
      <c r="I65" s="51"/>
      <c r="J65" s="51"/>
    </row>
    <row r="66" spans="1:13" x14ac:dyDescent="0.15">
      <c r="C66" s="27" t="s">
        <v>174</v>
      </c>
      <c r="D66" s="104">
        <v>40400</v>
      </c>
      <c r="E66" s="146">
        <v>5</v>
      </c>
      <c r="F66" s="27">
        <f>D66*E66</f>
        <v>202000</v>
      </c>
      <c r="G66" s="148">
        <f>F66</f>
        <v>202000</v>
      </c>
      <c r="H66" s="51"/>
      <c r="I66" s="51"/>
      <c r="J66" s="51"/>
    </row>
    <row r="67" spans="1:13" x14ac:dyDescent="0.15">
      <c r="C67" s="171" t="s">
        <v>318</v>
      </c>
      <c r="D67" s="27">
        <f>'1.1. CO2 analysis'!C64</f>
        <v>21250</v>
      </c>
      <c r="E67" s="174">
        <v>52</v>
      </c>
      <c r="F67" s="27">
        <f>D67*E67</f>
        <v>1105000</v>
      </c>
      <c r="G67" s="27">
        <f>F67</f>
        <v>1105000</v>
      </c>
      <c r="H67" s="51"/>
      <c r="I67" s="51"/>
      <c r="J67" s="51"/>
    </row>
    <row r="68" spans="1:13" x14ac:dyDescent="0.15">
      <c r="B68" s="51"/>
      <c r="C68" s="152" t="s">
        <v>315</v>
      </c>
      <c r="D68" s="111"/>
      <c r="E68" s="111"/>
      <c r="F68" s="111"/>
      <c r="G68" s="134">
        <f>SUM(G65:G67)</f>
        <v>4332000</v>
      </c>
      <c r="H68" s="51"/>
      <c r="I68" s="51"/>
      <c r="J68" s="51"/>
    </row>
    <row r="69" spans="1:13" ht="29.25" customHeight="1" x14ac:dyDescent="0.15">
      <c r="I69" s="51"/>
      <c r="J69" s="51"/>
      <c r="K69" s="51"/>
    </row>
    <row r="70" spans="1:13" x14ac:dyDescent="0.15"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3" x14ac:dyDescent="0.15"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3" s="87" customFormat="1" ht="20.25" customHeight="1" x14ac:dyDescent="0.15">
      <c r="A72" s="89"/>
      <c r="B72" s="221" t="s">
        <v>320</v>
      </c>
      <c r="C72" s="89"/>
      <c r="D72" s="89"/>
      <c r="H72" s="89"/>
      <c r="K72" s="3"/>
      <c r="L72" s="4"/>
      <c r="M72" s="3"/>
    </row>
    <row r="73" spans="1:13" x14ac:dyDescent="0.15">
      <c r="C73" s="103"/>
      <c r="D73" s="51"/>
      <c r="E73" s="51"/>
      <c r="F73" s="51"/>
      <c r="G73" s="51"/>
      <c r="H73" s="51"/>
      <c r="I73" s="51"/>
      <c r="J73" s="51"/>
      <c r="K73" s="51"/>
      <c r="L73" s="51"/>
    </row>
    <row r="74" spans="1:13" x14ac:dyDescent="0.15">
      <c r="B74" s="51"/>
      <c r="C74" s="51"/>
      <c r="D74" s="51"/>
      <c r="E74" s="51"/>
      <c r="F74" s="51"/>
      <c r="G74" s="51"/>
      <c r="H74" s="51"/>
      <c r="I74" s="51"/>
      <c r="J74" s="120"/>
      <c r="K74" s="124"/>
      <c r="L74" s="51"/>
      <c r="M74" s="51"/>
    </row>
    <row r="75" spans="1:13" x14ac:dyDescent="0.15">
      <c r="B75" s="51"/>
      <c r="C75" s="630" t="s">
        <v>135</v>
      </c>
      <c r="D75" s="631"/>
      <c r="E75" s="631"/>
      <c r="F75" s="631"/>
      <c r="G75" s="631"/>
      <c r="H75" s="632"/>
      <c r="I75" s="51"/>
      <c r="J75" s="120"/>
      <c r="K75" s="124"/>
      <c r="L75" s="51"/>
      <c r="M75" s="51"/>
    </row>
    <row r="76" spans="1:13" ht="27.75" customHeight="1" x14ac:dyDescent="0.15">
      <c r="B76" s="51"/>
      <c r="C76" s="115" t="s">
        <v>294</v>
      </c>
      <c r="D76" s="125" t="s">
        <v>311</v>
      </c>
      <c r="E76" s="133" t="s">
        <v>297</v>
      </c>
      <c r="F76" s="552" t="s">
        <v>304</v>
      </c>
      <c r="G76" s="136" t="s">
        <v>313</v>
      </c>
      <c r="H76" s="125" t="s">
        <v>314</v>
      </c>
      <c r="I76" s="51"/>
      <c r="J76" s="120"/>
      <c r="K76" s="124"/>
      <c r="L76" s="51"/>
      <c r="M76" s="51"/>
    </row>
    <row r="77" spans="1:13" x14ac:dyDescent="0.15">
      <c r="B77" s="51"/>
      <c r="C77" s="29" t="s">
        <v>256</v>
      </c>
      <c r="D77" s="27">
        <f>E14</f>
        <v>278800</v>
      </c>
      <c r="E77" s="116">
        <f>I35</f>
        <v>57.62</v>
      </c>
      <c r="F77" s="27">
        <f>D77*E77</f>
        <v>16064456</v>
      </c>
      <c r="G77" s="27">
        <f>D77*H14</f>
        <v>1477640</v>
      </c>
      <c r="H77" s="134">
        <f>F77+G77</f>
        <v>17542096</v>
      </c>
      <c r="I77" s="51"/>
      <c r="J77" s="120"/>
      <c r="K77" s="124"/>
      <c r="L77" s="51"/>
      <c r="M77" s="51"/>
    </row>
    <row r="78" spans="1:13" x14ac:dyDescent="0.15">
      <c r="B78" s="51"/>
      <c r="C78" s="126"/>
      <c r="D78" s="51"/>
      <c r="E78" s="51"/>
      <c r="F78" s="51"/>
      <c r="G78" s="120"/>
      <c r="H78" s="103"/>
      <c r="I78" s="51"/>
      <c r="J78" s="120"/>
      <c r="K78" s="124"/>
      <c r="L78" s="51"/>
      <c r="M78" s="51"/>
    </row>
    <row r="79" spans="1:13" x14ac:dyDescent="0.15">
      <c r="C79" s="51"/>
      <c r="D79" s="51"/>
      <c r="E79" s="51"/>
      <c r="F79" s="51"/>
      <c r="G79" s="120"/>
      <c r="H79" s="103"/>
    </row>
    <row r="80" spans="1:13" x14ac:dyDescent="0.15">
      <c r="B80" s="51"/>
      <c r="C80" s="633" t="s">
        <v>136</v>
      </c>
      <c r="D80" s="634"/>
      <c r="E80" s="634"/>
      <c r="F80" s="634"/>
      <c r="G80" s="634"/>
      <c r="H80" s="635"/>
      <c r="I80" s="51"/>
    </row>
    <row r="81" spans="2:13" ht="26.25" customHeight="1" x14ac:dyDescent="0.15">
      <c r="B81" s="51"/>
      <c r="C81" s="115" t="s">
        <v>294</v>
      </c>
      <c r="D81" s="125" t="s">
        <v>311</v>
      </c>
      <c r="E81" s="133" t="s">
        <v>297</v>
      </c>
      <c r="F81" s="552" t="s">
        <v>304</v>
      </c>
      <c r="G81" s="136" t="s">
        <v>313</v>
      </c>
      <c r="H81" s="125" t="s">
        <v>314</v>
      </c>
      <c r="J81" s="51"/>
      <c r="K81" s="51"/>
      <c r="L81" s="51"/>
    </row>
    <row r="82" spans="2:13" x14ac:dyDescent="0.15">
      <c r="C82" s="42" t="s">
        <v>159</v>
      </c>
      <c r="D82" s="24">
        <f>'1.1. CO2 analysis'!I123</f>
        <v>181220</v>
      </c>
      <c r="E82" s="135">
        <f>I36</f>
        <v>45</v>
      </c>
      <c r="F82" s="27">
        <f>D82*E82</f>
        <v>8154900</v>
      </c>
      <c r="G82" s="27">
        <f>D82*H14</f>
        <v>960466</v>
      </c>
      <c r="H82" s="109">
        <f>F82+G82</f>
        <v>9115366</v>
      </c>
      <c r="I82" s="51"/>
      <c r="J82" s="620"/>
      <c r="K82" s="620"/>
      <c r="L82" s="620"/>
      <c r="M82" s="51"/>
    </row>
    <row r="83" spans="2:13" x14ac:dyDescent="0.15">
      <c r="C83" s="27" t="s">
        <v>160</v>
      </c>
      <c r="D83" s="27">
        <f>'1.1. CO2 analysis'!L123</f>
        <v>97580</v>
      </c>
      <c r="E83" s="116">
        <f>I37</f>
        <v>45</v>
      </c>
      <c r="F83" s="27">
        <f>D83*E83</f>
        <v>4391100</v>
      </c>
      <c r="G83" s="27">
        <f>D83*H14</f>
        <v>517174</v>
      </c>
      <c r="H83" s="109">
        <f>F83+G83</f>
        <v>4908274</v>
      </c>
      <c r="I83" s="51"/>
      <c r="J83" s="176"/>
      <c r="K83" s="126"/>
      <c r="L83" s="126"/>
      <c r="M83" s="51"/>
    </row>
    <row r="84" spans="2:13" x14ac:dyDescent="0.15">
      <c r="C84" s="51"/>
      <c r="D84" s="51"/>
      <c r="E84" s="51"/>
      <c r="F84" s="51"/>
      <c r="G84" s="51"/>
      <c r="H84" s="117">
        <f>H82+H83</f>
        <v>14023640</v>
      </c>
      <c r="I84" s="51"/>
      <c r="J84" s="126"/>
      <c r="K84" s="126"/>
      <c r="L84" s="126"/>
      <c r="M84" s="51"/>
    </row>
    <row r="85" spans="2:13" x14ac:dyDescent="0.15">
      <c r="B85" s="51"/>
      <c r="H85" s="51"/>
      <c r="I85" s="51"/>
      <c r="J85" s="126"/>
      <c r="K85" s="126"/>
      <c r="L85" s="126"/>
      <c r="M85" s="51"/>
    </row>
    <row r="86" spans="2:13" x14ac:dyDescent="0.15">
      <c r="B86" s="51"/>
      <c r="I86" s="51"/>
      <c r="J86" s="177"/>
      <c r="K86" s="126"/>
      <c r="L86" s="126"/>
      <c r="M86" s="51"/>
    </row>
    <row r="87" spans="2:13" x14ac:dyDescent="0.15">
      <c r="B87" s="51"/>
      <c r="I87" s="51"/>
      <c r="J87" s="619"/>
      <c r="K87" s="126"/>
      <c r="L87" s="126"/>
      <c r="M87" s="51"/>
    </row>
    <row r="88" spans="2:13" x14ac:dyDescent="0.15">
      <c r="I88" s="51"/>
      <c r="J88" s="619"/>
      <c r="K88" s="126"/>
      <c r="L88" s="126"/>
      <c r="M88" s="51"/>
    </row>
    <row r="89" spans="2:13" x14ac:dyDescent="0.15">
      <c r="I89" s="51"/>
      <c r="J89" s="619"/>
      <c r="K89" s="126"/>
      <c r="L89" s="126"/>
      <c r="M89" s="51"/>
    </row>
    <row r="90" spans="2:13" ht="12.75" customHeight="1" x14ac:dyDescent="0.15">
      <c r="I90" s="51"/>
      <c r="J90" s="619"/>
      <c r="K90" s="126"/>
      <c r="L90" s="126"/>
      <c r="M90" s="51"/>
    </row>
    <row r="91" spans="2:13" x14ac:dyDescent="0.15">
      <c r="I91" s="51"/>
      <c r="J91" s="126"/>
      <c r="K91" s="126"/>
      <c r="L91" s="126"/>
      <c r="M91" s="51"/>
    </row>
    <row r="92" spans="2:13" x14ac:dyDescent="0.15">
      <c r="I92" s="51"/>
      <c r="J92" s="126"/>
      <c r="K92" s="126"/>
      <c r="L92" s="126"/>
      <c r="M92" s="51"/>
    </row>
    <row r="93" spans="2:13" x14ac:dyDescent="0.15">
      <c r="I93" s="51"/>
      <c r="J93" s="126"/>
      <c r="K93" s="126"/>
      <c r="L93" s="126"/>
      <c r="M93" s="51"/>
    </row>
    <row r="94" spans="2:13" x14ac:dyDescent="0.15">
      <c r="I94" s="51"/>
      <c r="J94" s="126"/>
      <c r="K94" s="126"/>
      <c r="L94" s="126"/>
      <c r="M94" s="51"/>
    </row>
    <row r="95" spans="2:13" x14ac:dyDescent="0.15">
      <c r="I95" s="51"/>
      <c r="J95" s="126"/>
      <c r="K95" s="126"/>
      <c r="L95" s="126"/>
      <c r="M95" s="51"/>
    </row>
    <row r="96" spans="2:13" x14ac:dyDescent="0.15">
      <c r="J96" s="51"/>
      <c r="K96" s="51"/>
      <c r="L96" s="51"/>
    </row>
  </sheetData>
  <mergeCells count="12">
    <mergeCell ref="C13:E13"/>
    <mergeCell ref="J89:J90"/>
    <mergeCell ref="J82:L82"/>
    <mergeCell ref="C46:I46"/>
    <mergeCell ref="J87:J88"/>
    <mergeCell ref="K34:L34"/>
    <mergeCell ref="K35:L37"/>
    <mergeCell ref="C55:G55"/>
    <mergeCell ref="C75:H75"/>
    <mergeCell ref="C80:H80"/>
    <mergeCell ref="C63:G63"/>
    <mergeCell ref="G13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94A6-3C98-4D94-A79E-0AD3BACB5426}">
  <sheetPr>
    <tabColor rgb="FF757171"/>
  </sheetPr>
  <dimension ref="A2:BJ85"/>
  <sheetViews>
    <sheetView showGridLines="0" workbookViewId="0"/>
  </sheetViews>
  <sheetFormatPr baseColWidth="10" defaultColWidth="9.1640625" defaultRowHeight="13" x14ac:dyDescent="0.15"/>
  <cols>
    <col min="1" max="1" width="4.5" style="292" customWidth="1"/>
    <col min="2" max="2" width="5.1640625" customWidth="1"/>
    <col min="3" max="3" width="5.6640625" customWidth="1"/>
    <col min="5" max="5" width="13" customWidth="1"/>
    <col min="6" max="6" width="15.6640625" bestFit="1" customWidth="1"/>
    <col min="7" max="7" width="12.5" customWidth="1"/>
    <col min="8" max="8" width="13.1640625" customWidth="1"/>
    <col min="9" max="9" width="11.5" bestFit="1" customWidth="1"/>
    <col min="14" max="14" width="15.6640625" bestFit="1" customWidth="1"/>
    <col min="15" max="16" width="11.5" bestFit="1" customWidth="1"/>
  </cols>
  <sheetData>
    <row r="2" spans="2:62" s="480" customFormat="1" ht="25" x14ac:dyDescent="0.15">
      <c r="C2" s="482" t="s">
        <v>289</v>
      </c>
    </row>
    <row r="3" spans="2:62" s="36" customFormat="1" ht="24" customHeight="1" x14ac:dyDescent="0.2">
      <c r="C3" s="299" t="s">
        <v>8</v>
      </c>
    </row>
    <row r="4" spans="2:62" s="36" customFormat="1" ht="14.25" customHeight="1" x14ac:dyDescent="0.2">
      <c r="C4" s="299"/>
    </row>
    <row r="5" spans="2:62" s="36" customFormat="1" ht="25.5" customHeight="1" x14ac:dyDescent="0.2">
      <c r="C5" s="300" t="s">
        <v>280</v>
      </c>
    </row>
    <row r="6" spans="2:62" ht="25.5" customHeight="1" x14ac:dyDescent="0.2">
      <c r="B6" s="510"/>
      <c r="C6" s="30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</row>
    <row r="8" spans="2:62" s="87" customFormat="1" ht="18" x14ac:dyDescent="0.2">
      <c r="C8" s="88" t="s">
        <v>154</v>
      </c>
    </row>
    <row r="10" spans="2:62" s="7" customFormat="1" ht="16" x14ac:dyDescent="0.2">
      <c r="D10" s="285"/>
      <c r="E10" s="284"/>
      <c r="F10" s="8"/>
      <c r="O10" s="8"/>
    </row>
    <row r="11" spans="2:62" ht="16" x14ac:dyDescent="0.2">
      <c r="B11" s="281" t="s">
        <v>321</v>
      </c>
      <c r="C11" s="510"/>
      <c r="D11" s="185" t="s">
        <v>322</v>
      </c>
      <c r="E11" s="36"/>
      <c r="F11" s="36"/>
      <c r="G11" s="36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</row>
    <row r="12" spans="2:62" ht="14" x14ac:dyDescent="0.15">
      <c r="B12" s="510"/>
      <c r="C12" s="36"/>
      <c r="D12" s="51"/>
      <c r="E12" s="36"/>
      <c r="F12" s="36"/>
      <c r="G12" s="36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</row>
    <row r="13" spans="2:62" ht="14" x14ac:dyDescent="0.15">
      <c r="B13" s="510"/>
      <c r="C13" s="100"/>
      <c r="D13" s="95"/>
      <c r="E13" s="488"/>
      <c r="F13" s="166" t="s">
        <v>176</v>
      </c>
      <c r="G13" s="166" t="s">
        <v>175</v>
      </c>
      <c r="H13" s="166" t="s">
        <v>174</v>
      </c>
      <c r="I13" s="166" t="s">
        <v>177</v>
      </c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</row>
    <row r="14" spans="2:62" ht="14" x14ac:dyDescent="0.15">
      <c r="B14" s="510"/>
      <c r="C14" s="94" t="s">
        <v>323</v>
      </c>
      <c r="D14" s="36"/>
      <c r="E14" s="5"/>
      <c r="F14" s="36"/>
      <c r="G14" s="36"/>
      <c r="H14" s="36"/>
      <c r="I14" s="36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</row>
    <row r="15" spans="2:62" ht="14" x14ac:dyDescent="0.15">
      <c r="B15" s="510"/>
      <c r="C15" s="97" t="s">
        <v>324</v>
      </c>
      <c r="D15" s="36"/>
      <c r="E15" s="510"/>
      <c r="F15" s="36">
        <f>'3.1. Transport cost analysis'!F48+'3.1. Transport cost analysis'!F49</f>
        <v>6221600</v>
      </c>
      <c r="G15" s="36"/>
      <c r="H15" s="36"/>
      <c r="I15" s="99">
        <f>F15</f>
        <v>6221600</v>
      </c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</row>
    <row r="16" spans="2:62" ht="14" x14ac:dyDescent="0.15">
      <c r="B16" s="510"/>
      <c r="C16" s="97" t="s">
        <v>325</v>
      </c>
      <c r="D16" s="36"/>
      <c r="E16" s="510"/>
      <c r="F16" s="36">
        <f>'3.1. Transport cost analysis'!F50</f>
        <v>1245000</v>
      </c>
      <c r="G16" s="36">
        <f>'3.1. Transport cost analysis'!G61</f>
        <v>1038666.6666666666</v>
      </c>
      <c r="H16" s="36">
        <f>'3.1. Transport cost analysis'!G68</f>
        <v>4332000</v>
      </c>
      <c r="I16" s="99">
        <f>F16+G16+H16</f>
        <v>6615666.666666666</v>
      </c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</row>
    <row r="17" spans="2:62" ht="14" x14ac:dyDescent="0.15">
      <c r="B17" s="510"/>
      <c r="C17" s="94" t="s">
        <v>326</v>
      </c>
      <c r="D17" s="36"/>
      <c r="E17" s="510"/>
      <c r="F17" s="36">
        <f>'3.1. Transport cost analysis'!G48+'3.1. Transport cost analysis'!G49</f>
        <v>35928</v>
      </c>
      <c r="G17" s="36"/>
      <c r="H17" s="36"/>
      <c r="I17" s="99">
        <f>F17</f>
        <v>35928</v>
      </c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</row>
    <row r="18" spans="2:62" ht="14" x14ac:dyDescent="0.15">
      <c r="B18" s="510"/>
      <c r="C18" s="94" t="s">
        <v>290</v>
      </c>
      <c r="D18" s="36"/>
      <c r="E18" s="488"/>
      <c r="F18" s="36">
        <f>'3.1. Transport cost analysis'!H48+'3.1. Transport cost analysis'!H49</f>
        <v>793410</v>
      </c>
      <c r="G18" s="95"/>
      <c r="H18" s="36"/>
      <c r="I18" s="99">
        <f>F18</f>
        <v>793410</v>
      </c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</row>
    <row r="19" spans="2:62" ht="14" x14ac:dyDescent="0.15">
      <c r="B19" s="510"/>
      <c r="C19" s="154" t="s">
        <v>327</v>
      </c>
      <c r="D19" s="98"/>
      <c r="E19" s="98"/>
      <c r="F19" s="127">
        <f>SUM(F14:F18)</f>
        <v>8295938</v>
      </c>
      <c r="G19" s="127">
        <f>SUM(G14:G18)</f>
        <v>1038666.6666666666</v>
      </c>
      <c r="H19" s="127">
        <f>SUM(H14:H18)</f>
        <v>4332000</v>
      </c>
      <c r="I19" s="127">
        <f>F19+G19+H19</f>
        <v>13666604.666666666</v>
      </c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</row>
    <row r="20" spans="2:62" x14ac:dyDescent="0.15"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</row>
    <row r="22" spans="2:62" s="292" customFormat="1" ht="16" x14ac:dyDescent="0.2">
      <c r="B22" s="281" t="s">
        <v>328</v>
      </c>
      <c r="C22" s="510"/>
      <c r="D22" s="185" t="s">
        <v>329</v>
      </c>
      <c r="E22" s="36"/>
      <c r="F22" s="36"/>
      <c r="G22" s="36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</row>
    <row r="23" spans="2:62" ht="14" x14ac:dyDescent="0.15">
      <c r="B23" s="510"/>
      <c r="C23" s="156"/>
      <c r="D23" s="95"/>
      <c r="E23" s="488"/>
      <c r="F23" s="100"/>
      <c r="G23" s="36"/>
      <c r="H23" s="36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</row>
    <row r="24" spans="2:62" ht="14" x14ac:dyDescent="0.15">
      <c r="B24" s="510"/>
      <c r="C24" s="155" t="s">
        <v>323</v>
      </c>
      <c r="D24" s="51"/>
      <c r="E24" s="5"/>
      <c r="F24" s="36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</row>
    <row r="25" spans="2:62" ht="14" x14ac:dyDescent="0.15">
      <c r="B25" s="510"/>
      <c r="C25" s="97" t="s">
        <v>324</v>
      </c>
      <c r="D25" s="36"/>
      <c r="E25" s="510"/>
      <c r="F25" s="36">
        <f>F56</f>
        <v>6221600</v>
      </c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</row>
    <row r="26" spans="2:62" ht="14" x14ac:dyDescent="0.15">
      <c r="B26" s="510"/>
      <c r="C26" s="97" t="s">
        <v>325</v>
      </c>
      <c r="D26" s="36"/>
      <c r="E26" s="510"/>
      <c r="F26" s="36">
        <f>F57</f>
        <v>6615666.666666666</v>
      </c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  <c r="BI26" s="510"/>
      <c r="BJ26" s="510"/>
    </row>
    <row r="27" spans="2:62" ht="14" x14ac:dyDescent="0.15">
      <c r="B27" s="510"/>
      <c r="C27" s="94" t="s">
        <v>326</v>
      </c>
      <c r="D27" s="36"/>
      <c r="E27" s="510"/>
      <c r="F27" s="36">
        <f>F58</f>
        <v>35928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</row>
    <row r="28" spans="2:62" ht="14" x14ac:dyDescent="0.15">
      <c r="B28" s="510"/>
      <c r="C28" s="155" t="s">
        <v>290</v>
      </c>
      <c r="D28" s="51"/>
      <c r="E28" s="488"/>
      <c r="F28" s="36">
        <f>F59</f>
        <v>793410</v>
      </c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</row>
    <row r="29" spans="2:62" ht="14" x14ac:dyDescent="0.15">
      <c r="B29" s="510"/>
      <c r="C29" s="154" t="s">
        <v>327</v>
      </c>
      <c r="D29" s="98"/>
      <c r="E29" s="98"/>
      <c r="F29" s="127">
        <f>SUM(F25:F28)</f>
        <v>13666604.666666666</v>
      </c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</row>
    <row r="30" spans="2:62" ht="14" x14ac:dyDescent="0.15">
      <c r="B30" s="510"/>
      <c r="C30" s="36"/>
      <c r="D30" s="36"/>
      <c r="E30" s="103"/>
      <c r="F30" s="36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</row>
    <row r="31" spans="2:62" s="292" customFormat="1" ht="14" x14ac:dyDescent="0.15">
      <c r="B31" s="510"/>
      <c r="C31" s="36"/>
      <c r="D31" s="36"/>
      <c r="E31" s="103"/>
      <c r="F31" s="36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10"/>
      <c r="BH31" s="510"/>
      <c r="BI31" s="510"/>
      <c r="BJ31" s="510"/>
    </row>
    <row r="32" spans="2:62" ht="16" x14ac:dyDescent="0.2">
      <c r="B32" s="281" t="s">
        <v>330</v>
      </c>
      <c r="C32" s="36"/>
      <c r="D32" s="185" t="s">
        <v>331</v>
      </c>
      <c r="E32" s="103"/>
      <c r="F32" s="36"/>
      <c r="G32" s="36"/>
      <c r="H32" s="36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</row>
    <row r="33" spans="2:62" s="292" customFormat="1" ht="16" x14ac:dyDescent="0.2">
      <c r="B33" s="281"/>
      <c r="C33" s="166"/>
      <c r="D33" s="166"/>
      <c r="E33" s="166"/>
      <c r="F33" s="166"/>
      <c r="G33" s="36"/>
      <c r="H33" s="36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</row>
    <row r="34" spans="2:62" ht="14" x14ac:dyDescent="0.15">
      <c r="B34" s="510"/>
      <c r="C34" s="155" t="s">
        <v>323</v>
      </c>
      <c r="D34" s="51"/>
      <c r="E34" s="510"/>
      <c r="F34" s="51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</row>
    <row r="35" spans="2:62" ht="14" x14ac:dyDescent="0.15">
      <c r="B35" s="510"/>
      <c r="C35" s="97" t="s">
        <v>324</v>
      </c>
      <c r="D35" s="36"/>
      <c r="E35" s="510"/>
      <c r="F35" s="36">
        <f>G56</f>
        <v>16064456</v>
      </c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</row>
    <row r="36" spans="2:62" s="292" customFormat="1" ht="14" x14ac:dyDescent="0.15">
      <c r="B36" s="510"/>
      <c r="C36" s="97" t="s">
        <v>325</v>
      </c>
      <c r="D36" s="36"/>
      <c r="E36" s="510"/>
      <c r="F36" s="36">
        <v>0</v>
      </c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  <c r="BI36" s="510"/>
      <c r="BJ36" s="510"/>
    </row>
    <row r="37" spans="2:62" s="292" customFormat="1" ht="14" x14ac:dyDescent="0.15">
      <c r="B37" s="510"/>
      <c r="C37" s="94" t="s">
        <v>326</v>
      </c>
      <c r="D37" s="36"/>
      <c r="E37" s="510"/>
      <c r="F37" s="36">
        <v>0</v>
      </c>
      <c r="G37" s="510"/>
      <c r="H37" s="541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</row>
    <row r="38" spans="2:62" s="292" customFormat="1" ht="14" x14ac:dyDescent="0.15">
      <c r="B38" s="510"/>
      <c r="C38" s="155" t="s">
        <v>290</v>
      </c>
      <c r="D38" s="51"/>
      <c r="E38" s="510"/>
      <c r="F38" s="95">
        <f>G59</f>
        <v>1477640</v>
      </c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  <c r="BI38" s="510"/>
      <c r="BJ38" s="510"/>
    </row>
    <row r="39" spans="2:62" s="292" customFormat="1" ht="14" x14ac:dyDescent="0.15">
      <c r="B39" s="510"/>
      <c r="C39" s="154" t="s">
        <v>327</v>
      </c>
      <c r="D39" s="98"/>
      <c r="E39" s="98"/>
      <c r="F39" s="157">
        <f>SUM(F35:F38)</f>
        <v>17542096</v>
      </c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</row>
    <row r="40" spans="2:62" s="292" customFormat="1" ht="14" x14ac:dyDescent="0.15"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36"/>
      <c r="M40" s="36"/>
      <c r="N40" s="103"/>
      <c r="O40" s="36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</row>
    <row r="41" spans="2:62" s="292" customFormat="1" ht="14" x14ac:dyDescent="0.15"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36"/>
      <c r="M41" s="36"/>
      <c r="N41" s="103"/>
      <c r="O41" s="36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</row>
    <row r="42" spans="2:62" s="292" customFormat="1" ht="16" x14ac:dyDescent="0.2">
      <c r="B42" s="281" t="s">
        <v>332</v>
      </c>
      <c r="C42" s="36"/>
      <c r="D42" s="185" t="s">
        <v>333</v>
      </c>
      <c r="E42" s="103"/>
      <c r="F42" s="36"/>
      <c r="G42" s="510"/>
      <c r="H42" s="510"/>
      <c r="I42" s="510"/>
      <c r="J42" s="510"/>
      <c r="K42" s="510"/>
      <c r="L42" s="36"/>
      <c r="M42" s="36"/>
      <c r="N42" s="103"/>
      <c r="O42" s="36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  <c r="BI42" s="510"/>
      <c r="BJ42" s="510"/>
    </row>
    <row r="43" spans="2:62" s="292" customFormat="1" ht="16" x14ac:dyDescent="0.2">
      <c r="B43" s="281"/>
      <c r="C43" s="166"/>
      <c r="D43" s="166"/>
      <c r="E43" s="166"/>
      <c r="F43" s="166"/>
      <c r="G43" s="510"/>
      <c r="H43" s="510"/>
      <c r="I43" s="510"/>
      <c r="J43" s="510"/>
      <c r="K43" s="510"/>
      <c r="L43" s="36"/>
      <c r="M43" s="36"/>
      <c r="N43" s="103"/>
      <c r="O43" s="36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G43" s="510"/>
      <c r="BH43" s="510"/>
      <c r="BI43" s="510"/>
      <c r="BJ43" s="510"/>
    </row>
    <row r="44" spans="2:62" s="292" customFormat="1" ht="14" x14ac:dyDescent="0.15">
      <c r="B44" s="510"/>
      <c r="C44" s="155" t="s">
        <v>323</v>
      </c>
      <c r="D44" s="51"/>
      <c r="E44" s="510"/>
      <c r="F44" s="51"/>
      <c r="G44" s="510"/>
      <c r="H44" s="510"/>
      <c r="I44" s="510"/>
      <c r="J44" s="510"/>
      <c r="K44" s="510"/>
      <c r="L44" s="36"/>
      <c r="M44" s="36"/>
      <c r="N44" s="103"/>
      <c r="O44" s="36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/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0"/>
      <c r="BG44" s="510"/>
      <c r="BH44" s="510"/>
      <c r="BI44" s="510"/>
      <c r="BJ44" s="510"/>
    </row>
    <row r="45" spans="2:62" s="292" customFormat="1" ht="14" x14ac:dyDescent="0.15">
      <c r="B45" s="510"/>
      <c r="C45" s="97" t="s">
        <v>324</v>
      </c>
      <c r="D45" s="36"/>
      <c r="E45" s="510"/>
      <c r="F45" s="36">
        <f>H56</f>
        <v>12546000</v>
      </c>
      <c r="G45" s="510"/>
      <c r="H45" s="510"/>
      <c r="I45" s="510"/>
      <c r="J45" s="510"/>
      <c r="K45" s="510"/>
      <c r="L45" s="36"/>
      <c r="M45" s="36"/>
      <c r="N45" s="103"/>
      <c r="O45" s="36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0"/>
    </row>
    <row r="46" spans="2:62" s="292" customFormat="1" ht="14" x14ac:dyDescent="0.15">
      <c r="B46" s="510"/>
      <c r="C46" s="97" t="s">
        <v>325</v>
      </c>
      <c r="D46" s="36"/>
      <c r="E46" s="510"/>
      <c r="F46" s="36">
        <v>0</v>
      </c>
      <c r="G46" s="510"/>
      <c r="H46" s="510"/>
      <c r="I46" s="510"/>
      <c r="J46" s="510"/>
      <c r="K46" s="510"/>
      <c r="L46" s="36"/>
      <c r="M46" s="36"/>
      <c r="N46" s="103"/>
      <c r="O46" s="36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</row>
    <row r="47" spans="2:62" s="292" customFormat="1" ht="14" x14ac:dyDescent="0.15">
      <c r="B47" s="510"/>
      <c r="C47" s="94" t="s">
        <v>326</v>
      </c>
      <c r="D47" s="36"/>
      <c r="E47" s="510"/>
      <c r="F47" s="36">
        <v>0</v>
      </c>
      <c r="G47" s="510"/>
      <c r="H47" s="510"/>
      <c r="I47" s="510"/>
      <c r="J47" s="510"/>
      <c r="K47" s="510"/>
      <c r="L47" s="36"/>
      <c r="M47" s="36"/>
      <c r="N47" s="103"/>
      <c r="O47" s="36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  <c r="BI47" s="510"/>
      <c r="BJ47" s="510"/>
    </row>
    <row r="48" spans="2:62" s="292" customFormat="1" ht="14" x14ac:dyDescent="0.15">
      <c r="B48" s="510"/>
      <c r="C48" s="155" t="s">
        <v>290</v>
      </c>
      <c r="D48" s="51"/>
      <c r="E48" s="510"/>
      <c r="F48" s="95">
        <f>H59</f>
        <v>1477640</v>
      </c>
      <c r="G48" s="510"/>
      <c r="H48" s="510"/>
      <c r="I48" s="510"/>
      <c r="J48" s="510"/>
      <c r="K48" s="510"/>
      <c r="L48" s="36"/>
      <c r="M48" s="36"/>
      <c r="N48" s="103"/>
      <c r="O48" s="36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0"/>
      <c r="BB48" s="510"/>
      <c r="BC48" s="510"/>
      <c r="BD48" s="510"/>
      <c r="BE48" s="510"/>
      <c r="BF48" s="510"/>
      <c r="BG48" s="510"/>
      <c r="BH48" s="510"/>
      <c r="BI48" s="510"/>
      <c r="BJ48" s="510"/>
    </row>
    <row r="49" spans="2:15" s="292" customFormat="1" ht="14" x14ac:dyDescent="0.15">
      <c r="B49" s="510"/>
      <c r="C49" s="154" t="s">
        <v>327</v>
      </c>
      <c r="D49" s="98"/>
      <c r="E49" s="98"/>
      <c r="F49" s="157">
        <f>SUM(F45:F48)</f>
        <v>14023640</v>
      </c>
      <c r="G49" s="510"/>
      <c r="H49" s="510"/>
      <c r="I49" s="510"/>
      <c r="J49" s="510"/>
      <c r="K49" s="510"/>
      <c r="L49" s="36"/>
      <c r="M49" s="36"/>
      <c r="N49" s="103"/>
      <c r="O49" s="36"/>
    </row>
    <row r="50" spans="2:15" s="292" customFormat="1" ht="14" x14ac:dyDescent="0.15"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103"/>
      <c r="O50" s="36"/>
    </row>
    <row r="51" spans="2:15" s="292" customFormat="1" ht="14" x14ac:dyDescent="0.15"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103"/>
      <c r="O51" s="36"/>
    </row>
    <row r="52" spans="2:15" s="292" customFormat="1" ht="16" x14ac:dyDescent="0.2">
      <c r="B52" s="281" t="s">
        <v>334</v>
      </c>
      <c r="C52" s="510"/>
      <c r="D52" s="185" t="s">
        <v>335</v>
      </c>
      <c r="E52" s="510"/>
      <c r="F52" s="510"/>
      <c r="G52" s="510"/>
      <c r="H52" s="510"/>
      <c r="I52" s="510"/>
      <c r="J52" s="510"/>
      <c r="K52" s="510"/>
      <c r="L52" s="510"/>
      <c r="M52" s="510"/>
      <c r="N52" s="103"/>
      <c r="O52" s="36"/>
    </row>
    <row r="53" spans="2:15" s="292" customFormat="1" ht="14" x14ac:dyDescent="0.15"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103"/>
      <c r="O53" s="36"/>
    </row>
    <row r="54" spans="2:15" s="292" customFormat="1" ht="14" x14ac:dyDescent="0.15">
      <c r="B54" s="510"/>
      <c r="C54" s="156"/>
      <c r="D54" s="95"/>
      <c r="E54" s="488"/>
      <c r="F54" s="100" t="s">
        <v>199</v>
      </c>
      <c r="G54" s="166" t="s">
        <v>135</v>
      </c>
      <c r="H54" s="166" t="s">
        <v>136</v>
      </c>
      <c r="I54" s="510"/>
      <c r="J54" s="510"/>
      <c r="K54" s="510"/>
      <c r="L54" s="510"/>
      <c r="M54" s="510"/>
      <c r="N54" s="103"/>
      <c r="O54" s="36"/>
    </row>
    <row r="55" spans="2:15" s="292" customFormat="1" ht="14" x14ac:dyDescent="0.15">
      <c r="B55" s="510"/>
      <c r="C55" s="155" t="s">
        <v>323</v>
      </c>
      <c r="D55" s="51"/>
      <c r="E55" s="5"/>
      <c r="F55" s="36"/>
      <c r="G55" s="51"/>
      <c r="H55" s="51"/>
      <c r="I55" s="510"/>
      <c r="J55" s="510"/>
      <c r="K55" s="510"/>
      <c r="L55" s="510"/>
      <c r="M55" s="510"/>
      <c r="N55" s="103"/>
      <c r="O55" s="36"/>
    </row>
    <row r="56" spans="2:15" s="292" customFormat="1" ht="14" x14ac:dyDescent="0.15">
      <c r="B56" s="510"/>
      <c r="C56" s="97" t="s">
        <v>324</v>
      </c>
      <c r="D56" s="36"/>
      <c r="E56" s="510"/>
      <c r="F56" s="36">
        <f>'3.1. Transport cost analysis'!F48+'3.1. Transport cost analysis'!F49</f>
        <v>6221600</v>
      </c>
      <c r="G56" s="36">
        <f>'3.1. Transport cost analysis'!F77</f>
        <v>16064456</v>
      </c>
      <c r="H56" s="36">
        <f>'3.1. Transport cost analysis'!F82+'3.1. Transport cost analysis'!F83</f>
        <v>12546000</v>
      </c>
      <c r="I56" s="510"/>
      <c r="J56" s="510"/>
      <c r="K56" s="510"/>
      <c r="L56" s="510"/>
      <c r="M56" s="510"/>
      <c r="N56" s="103"/>
      <c r="O56" s="36"/>
    </row>
    <row r="57" spans="2:15" s="292" customFormat="1" ht="14" x14ac:dyDescent="0.15">
      <c r="B57" s="510"/>
      <c r="C57" s="97" t="s">
        <v>325</v>
      </c>
      <c r="D57" s="36"/>
      <c r="E57" s="510"/>
      <c r="F57" s="36">
        <f>'3.1. Transport cost analysis'!F50+'3.1. Transport cost analysis'!G61+'3.1. Transport cost analysis'!G68</f>
        <v>6615666.666666666</v>
      </c>
      <c r="G57" s="36">
        <v>0</v>
      </c>
      <c r="H57" s="36">
        <v>0</v>
      </c>
      <c r="I57" s="510"/>
      <c r="J57" s="510"/>
      <c r="K57" s="510"/>
      <c r="L57" s="36"/>
      <c r="M57" s="36"/>
      <c r="N57" s="103"/>
      <c r="O57" s="36"/>
    </row>
    <row r="58" spans="2:15" s="292" customFormat="1" ht="14" x14ac:dyDescent="0.15">
      <c r="B58" s="510"/>
      <c r="C58" s="94" t="s">
        <v>326</v>
      </c>
      <c r="D58" s="36"/>
      <c r="E58" s="510"/>
      <c r="F58" s="36">
        <f>'3.1. Transport cost analysis'!G48+'3.1. Transport cost analysis'!G49</f>
        <v>35928</v>
      </c>
      <c r="G58" s="36">
        <v>0</v>
      </c>
      <c r="H58" s="36">
        <v>0</v>
      </c>
      <c r="I58" s="510"/>
      <c r="J58" s="510"/>
      <c r="K58" s="510"/>
      <c r="L58" s="36"/>
      <c r="M58" s="36"/>
      <c r="N58" s="103"/>
      <c r="O58" s="36"/>
    </row>
    <row r="59" spans="2:15" s="292" customFormat="1" ht="14" x14ac:dyDescent="0.15">
      <c r="B59" s="510"/>
      <c r="C59" s="155" t="s">
        <v>290</v>
      </c>
      <c r="D59" s="51"/>
      <c r="E59" s="488"/>
      <c r="F59" s="36">
        <f>'3.1. Transport cost analysis'!H48+'3.1. Transport cost analysis'!H49</f>
        <v>793410</v>
      </c>
      <c r="G59" s="95">
        <f>'3.1. Transport cost analysis'!G77</f>
        <v>1477640</v>
      </c>
      <c r="H59" s="51">
        <f>'3.1. Transport cost analysis'!G82+'3.1. Transport cost analysis'!G83</f>
        <v>1477640</v>
      </c>
      <c r="I59" s="510"/>
      <c r="J59" s="510"/>
      <c r="K59" s="510"/>
      <c r="L59" s="36"/>
      <c r="M59" s="36"/>
      <c r="N59" s="103"/>
      <c r="O59" s="36"/>
    </row>
    <row r="60" spans="2:15" s="292" customFormat="1" ht="14" x14ac:dyDescent="0.15">
      <c r="B60" s="510"/>
      <c r="C60" s="154" t="s">
        <v>327</v>
      </c>
      <c r="D60" s="98"/>
      <c r="E60" s="98"/>
      <c r="F60" s="127">
        <f>SUM(F56:F59)</f>
        <v>13666604.666666666</v>
      </c>
      <c r="G60" s="157">
        <f>SUM(G56:G59)</f>
        <v>17542096</v>
      </c>
      <c r="H60" s="127">
        <f>SUM(H56:H59)</f>
        <v>14023640</v>
      </c>
      <c r="I60" s="510"/>
      <c r="J60" s="510"/>
      <c r="K60" s="510"/>
      <c r="L60" s="36"/>
      <c r="M60" s="36"/>
      <c r="N60" s="103"/>
      <c r="O60" s="36"/>
    </row>
    <row r="61" spans="2:15" s="292" customFormat="1" ht="14" x14ac:dyDescent="0.15"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36"/>
      <c r="M61" s="36"/>
      <c r="N61" s="103"/>
      <c r="O61" s="36"/>
    </row>
    <row r="62" spans="2:15" s="292" customFormat="1" ht="14" x14ac:dyDescent="0.15"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36"/>
      <c r="M62" s="36"/>
      <c r="N62" s="103"/>
      <c r="O62" s="36"/>
    </row>
    <row r="63" spans="2:15" s="292" customFormat="1" ht="16" x14ac:dyDescent="0.2">
      <c r="B63" s="281" t="s">
        <v>336</v>
      </c>
      <c r="C63" s="510"/>
      <c r="D63" s="547" t="s">
        <v>337</v>
      </c>
      <c r="E63" s="36"/>
      <c r="F63" s="36"/>
      <c r="G63" s="36"/>
      <c r="H63" s="510"/>
      <c r="I63" s="510"/>
      <c r="J63" s="510"/>
      <c r="K63" s="510"/>
      <c r="L63" s="36"/>
      <c r="M63" s="36"/>
      <c r="N63" s="103"/>
      <c r="O63" s="36"/>
    </row>
    <row r="64" spans="2:15" s="292" customFormat="1" ht="14" x14ac:dyDescent="0.15">
      <c r="B64" s="510"/>
      <c r="C64" s="51"/>
      <c r="D64" s="36"/>
      <c r="E64" s="36"/>
      <c r="F64" s="510"/>
      <c r="G64" s="510"/>
      <c r="H64" s="510"/>
      <c r="I64" s="510"/>
      <c r="J64" s="510"/>
      <c r="K64" s="510"/>
      <c r="L64" s="36"/>
      <c r="M64" s="36"/>
      <c r="N64" s="103"/>
      <c r="O64" s="36"/>
    </row>
    <row r="65" spans="2:62" s="292" customFormat="1" ht="14" x14ac:dyDescent="0.15">
      <c r="B65" s="510"/>
      <c r="C65" s="95"/>
      <c r="D65" s="488"/>
      <c r="E65" s="166" t="s">
        <v>135</v>
      </c>
      <c r="F65" s="166" t="s">
        <v>136</v>
      </c>
      <c r="G65" s="510"/>
      <c r="H65" s="510"/>
      <c r="I65" s="510"/>
      <c r="J65" s="510"/>
      <c r="K65" s="510"/>
      <c r="L65" s="510"/>
      <c r="M65" s="510"/>
      <c r="N65" s="510"/>
      <c r="O65" s="510"/>
      <c r="P65" s="510"/>
      <c r="Q65" s="510"/>
      <c r="R65" s="510"/>
      <c r="S65" s="510"/>
      <c r="T65" s="510"/>
      <c r="U65" s="510"/>
      <c r="V65" s="510"/>
      <c r="W65" s="510"/>
      <c r="X65" s="510"/>
      <c r="Y65" s="510"/>
      <c r="Z65" s="510"/>
      <c r="AA65" s="510"/>
      <c r="AB65" s="510"/>
      <c r="AC65" s="510"/>
      <c r="AD65" s="510"/>
      <c r="AE65" s="510"/>
      <c r="AF65" s="510"/>
      <c r="AG65" s="510"/>
      <c r="AH65" s="510"/>
      <c r="AI65" s="510"/>
      <c r="AJ65" s="510"/>
      <c r="AK65" s="510"/>
      <c r="AL65" s="510"/>
      <c r="AM65" s="510"/>
      <c r="AN65" s="510"/>
      <c r="AO65" s="510"/>
      <c r="AP65" s="510"/>
      <c r="AQ65" s="510"/>
      <c r="AR65" s="510"/>
      <c r="AS65" s="510"/>
      <c r="AT65" s="510"/>
      <c r="AU65" s="510"/>
      <c r="AV65" s="510"/>
      <c r="AW65" s="510"/>
      <c r="AX65" s="510"/>
      <c r="AY65" s="510"/>
      <c r="AZ65" s="510"/>
      <c r="BA65" s="510"/>
      <c r="BB65" s="510"/>
      <c r="BC65" s="510"/>
      <c r="BD65" s="510"/>
      <c r="BE65" s="510"/>
      <c r="BF65" s="510"/>
      <c r="BG65" s="510"/>
      <c r="BH65" s="510"/>
      <c r="BI65" s="510"/>
      <c r="BJ65" s="510"/>
    </row>
    <row r="66" spans="2:62" ht="14" x14ac:dyDescent="0.15">
      <c r="B66" s="510"/>
      <c r="C66" s="51"/>
      <c r="D66" s="5"/>
      <c r="E66" s="51"/>
      <c r="F66" s="51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  <c r="AA66" s="510"/>
      <c r="AB66" s="510"/>
      <c r="AC66" s="510"/>
      <c r="AD66" s="510"/>
      <c r="AE66" s="510"/>
      <c r="AF66" s="510"/>
      <c r="AG66" s="510"/>
      <c r="AH66" s="510"/>
      <c r="AI66" s="510"/>
      <c r="AJ66" s="510"/>
      <c r="AK66" s="510"/>
      <c r="AL66" s="510"/>
      <c r="AM66" s="510"/>
      <c r="AN66" s="510"/>
      <c r="AO66" s="510"/>
      <c r="AP66" s="510"/>
      <c r="AQ66" s="510"/>
      <c r="AR66" s="510"/>
      <c r="AS66" s="510"/>
      <c r="AT66" s="510"/>
      <c r="AU66" s="510"/>
      <c r="AV66" s="510"/>
      <c r="AW66" s="510"/>
      <c r="AX66" s="510"/>
      <c r="AY66" s="510"/>
      <c r="AZ66" s="510"/>
      <c r="BA66" s="510"/>
      <c r="BB66" s="510"/>
      <c r="BC66" s="510"/>
      <c r="BD66" s="510"/>
      <c r="BE66" s="510"/>
      <c r="BF66" s="510"/>
      <c r="BG66" s="510"/>
      <c r="BH66" s="510"/>
      <c r="BI66" s="510"/>
      <c r="BJ66" s="510"/>
    </row>
    <row r="67" spans="2:62" ht="16" x14ac:dyDescent="0.2">
      <c r="B67" s="510"/>
      <c r="C67" s="36" t="s">
        <v>338</v>
      </c>
      <c r="D67" s="510"/>
      <c r="E67" s="36">
        <f>G60-F60</f>
        <v>3875491.333333334</v>
      </c>
      <c r="F67" s="36">
        <f>H60-F60</f>
        <v>357035.33333333395</v>
      </c>
      <c r="G67" s="510"/>
      <c r="H67" s="510"/>
      <c r="I67" s="510"/>
      <c r="J67" s="510"/>
      <c r="K67" s="510"/>
      <c r="L67" s="281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0"/>
      <c r="AN67" s="510"/>
      <c r="AO67" s="510"/>
      <c r="AP67" s="510"/>
      <c r="AQ67" s="510"/>
      <c r="AR67" s="510"/>
      <c r="AS67" s="510"/>
      <c r="AT67" s="510"/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0"/>
      <c r="BG67" s="510"/>
      <c r="BH67" s="510"/>
      <c r="BI67" s="510"/>
      <c r="BJ67" s="510"/>
    </row>
    <row r="68" spans="2:62" ht="14" x14ac:dyDescent="0.15">
      <c r="B68" s="510"/>
      <c r="C68" s="95" t="s">
        <v>339</v>
      </c>
      <c r="D68" s="488"/>
      <c r="E68" s="554">
        <f>E67/F60</f>
        <v>0.28357382304222167</v>
      </c>
      <c r="F68" s="553">
        <f>F67/F60</f>
        <v>2.6124655102093924E-2</v>
      </c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0"/>
      <c r="AN68" s="510"/>
      <c r="AO68" s="510"/>
      <c r="AP68" s="510"/>
      <c r="AQ68" s="510"/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0"/>
      <c r="BG68" s="510"/>
      <c r="BH68" s="510"/>
      <c r="BI68" s="510"/>
      <c r="BJ68" s="510"/>
    </row>
    <row r="69" spans="2:62" x14ac:dyDescent="0.15">
      <c r="B69" s="510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/>
      <c r="AD69" s="510"/>
      <c r="AE69" s="510"/>
      <c r="AF69" s="510"/>
      <c r="AG69" s="510"/>
      <c r="AH69" s="510"/>
      <c r="AI69" s="510"/>
      <c r="AJ69" s="510"/>
      <c r="AK69" s="510"/>
      <c r="AL69" s="510"/>
      <c r="AM69" s="510"/>
      <c r="AN69" s="510"/>
      <c r="AO69" s="510"/>
      <c r="AP69" s="510"/>
      <c r="AQ69" s="510"/>
      <c r="AR69" s="510"/>
      <c r="AS69" s="510"/>
      <c r="AT69" s="510"/>
      <c r="AU69" s="510"/>
      <c r="AV69" s="510"/>
      <c r="AW69" s="510"/>
      <c r="AX69" s="510"/>
      <c r="AY69" s="510"/>
      <c r="AZ69" s="510"/>
      <c r="BA69" s="510"/>
      <c r="BB69" s="510"/>
      <c r="BC69" s="510"/>
      <c r="BD69" s="510"/>
      <c r="BE69" s="510"/>
      <c r="BF69" s="510"/>
      <c r="BG69" s="510"/>
      <c r="BH69" s="510"/>
      <c r="BI69" s="510"/>
      <c r="BJ69" s="510"/>
    </row>
    <row r="70" spans="2:62" x14ac:dyDescent="0.15">
      <c r="B70" s="510"/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  <c r="AA70" s="510"/>
      <c r="AB70" s="510"/>
      <c r="AC70" s="510"/>
      <c r="AD70" s="510"/>
      <c r="AE70" s="510"/>
      <c r="AF70" s="510"/>
      <c r="AG70" s="510"/>
      <c r="AH70" s="510"/>
      <c r="AI70" s="510"/>
      <c r="AJ70" s="510"/>
      <c r="AK70" s="510"/>
      <c r="AL70" s="510"/>
      <c r="AM70" s="510"/>
      <c r="AN70" s="510"/>
      <c r="AO70" s="510"/>
      <c r="AP70" s="510"/>
      <c r="AQ70" s="510"/>
      <c r="AR70" s="510"/>
      <c r="AS70" s="510"/>
      <c r="AT70" s="510"/>
      <c r="AU70" s="510"/>
      <c r="AV70" s="510"/>
      <c r="AW70" s="510"/>
      <c r="AX70" s="510"/>
      <c r="AY70" s="510"/>
      <c r="AZ70" s="510"/>
      <c r="BA70" s="510"/>
      <c r="BB70" s="510"/>
      <c r="BC70" s="510"/>
      <c r="BD70" s="510"/>
      <c r="BE70" s="510"/>
      <c r="BF70" s="510"/>
      <c r="BG70" s="510"/>
      <c r="BH70" s="510"/>
      <c r="BI70" s="510"/>
      <c r="BJ70" s="510"/>
    </row>
    <row r="71" spans="2:62" x14ac:dyDescent="0.15">
      <c r="B71" s="510"/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/>
      <c r="AN71" s="510"/>
      <c r="AO71" s="510"/>
      <c r="AP71" s="510"/>
      <c r="AQ71" s="510"/>
      <c r="AR71" s="510"/>
      <c r="AS71" s="510"/>
      <c r="AT71" s="510"/>
      <c r="AU71" s="510"/>
      <c r="AV71" s="510"/>
      <c r="AW71" s="510"/>
      <c r="AX71" s="510"/>
      <c r="AY71" s="510"/>
      <c r="AZ71" s="510"/>
      <c r="BA71" s="510"/>
      <c r="BB71" s="510"/>
      <c r="BC71" s="510"/>
      <c r="BD71" s="510"/>
      <c r="BE71" s="510"/>
      <c r="BF71" s="510"/>
      <c r="BG71" s="510"/>
      <c r="BH71" s="510"/>
      <c r="BI71" s="510"/>
      <c r="BJ71" s="510"/>
    </row>
    <row r="72" spans="2:62" x14ac:dyDescent="0.15">
      <c r="B72" s="510"/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0"/>
      <c r="AB72" s="510"/>
      <c r="AC72" s="510"/>
      <c r="AD72" s="510"/>
      <c r="AE72" s="510"/>
      <c r="AF72" s="510"/>
      <c r="AG72" s="510"/>
      <c r="AH72" s="510"/>
      <c r="AI72" s="510"/>
      <c r="AJ72" s="510"/>
      <c r="AK72" s="510"/>
      <c r="AL72" s="510"/>
      <c r="AM72" s="510"/>
      <c r="AN72" s="510"/>
      <c r="AO72" s="510"/>
      <c r="AP72" s="510"/>
      <c r="AQ72" s="510"/>
      <c r="AR72" s="510"/>
      <c r="AS72" s="510"/>
      <c r="AT72" s="510"/>
      <c r="AU72" s="510"/>
      <c r="AV72" s="510"/>
      <c r="AW72" s="510"/>
      <c r="AX72" s="510"/>
      <c r="AY72" s="510"/>
      <c r="AZ72" s="510"/>
      <c r="BA72" s="510"/>
      <c r="BB72" s="510"/>
      <c r="BC72" s="510"/>
      <c r="BD72" s="510"/>
      <c r="BE72" s="510"/>
      <c r="BF72" s="510"/>
      <c r="BG72" s="510"/>
      <c r="BH72" s="510"/>
      <c r="BI72" s="510"/>
      <c r="BJ72" s="510"/>
    </row>
    <row r="73" spans="2:62" ht="16" x14ac:dyDescent="0.2">
      <c r="B73" s="490"/>
      <c r="C73" s="490" t="s">
        <v>340</v>
      </c>
      <c r="D73" s="491"/>
      <c r="E73" s="491"/>
      <c r="F73" s="492"/>
      <c r="G73" s="492"/>
      <c r="H73" s="492"/>
      <c r="I73" s="492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  <c r="AD73" s="510"/>
      <c r="AE73" s="510"/>
      <c r="AF73" s="510"/>
      <c r="AG73" s="510"/>
      <c r="AH73" s="510"/>
      <c r="AI73" s="510"/>
      <c r="AJ73" s="510"/>
      <c r="AK73" s="510"/>
      <c r="AL73" s="510"/>
      <c r="AM73" s="510"/>
      <c r="AN73" s="510"/>
      <c r="AO73" s="510"/>
      <c r="AP73" s="510"/>
      <c r="AQ73" s="510"/>
      <c r="AR73" s="510"/>
      <c r="AS73" s="510"/>
      <c r="AT73" s="510"/>
      <c r="AU73" s="510"/>
      <c r="AV73" s="510"/>
      <c r="AW73" s="510"/>
      <c r="AX73" s="510"/>
      <c r="AY73" s="510"/>
      <c r="AZ73" s="510"/>
      <c r="BA73" s="510"/>
      <c r="BB73" s="510"/>
      <c r="BC73" s="510"/>
      <c r="BD73" s="510"/>
      <c r="BE73" s="510"/>
      <c r="BF73" s="510"/>
      <c r="BG73" s="510"/>
      <c r="BH73" s="510"/>
      <c r="BI73" s="510"/>
      <c r="BJ73" s="510"/>
    </row>
    <row r="74" spans="2:62" x14ac:dyDescent="0.15">
      <c r="B74" s="5"/>
      <c r="C74" s="5"/>
      <c r="D74" s="5"/>
      <c r="E74" s="5"/>
      <c r="F74" s="5"/>
      <c r="G74" s="5"/>
      <c r="H74" s="5"/>
      <c r="I74" s="5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/>
      <c r="AN74" s="510"/>
      <c r="AO74" s="510"/>
      <c r="AP74" s="510"/>
      <c r="AQ74" s="510"/>
      <c r="AR74" s="510"/>
      <c r="AS74" s="510"/>
      <c r="AT74" s="510"/>
      <c r="AU74" s="510"/>
      <c r="AV74" s="510"/>
      <c r="AW74" s="510"/>
      <c r="AX74" s="510"/>
      <c r="AY74" s="510"/>
      <c r="AZ74" s="510"/>
      <c r="BA74" s="510"/>
      <c r="BB74" s="510"/>
      <c r="BC74" s="510"/>
      <c r="BD74" s="510"/>
      <c r="BE74" s="510"/>
      <c r="BF74" s="510"/>
      <c r="BG74" s="510"/>
      <c r="BH74" s="510"/>
      <c r="BI74" s="510"/>
      <c r="BJ74" s="510"/>
    </row>
    <row r="75" spans="2:62" ht="16" x14ac:dyDescent="0.2">
      <c r="B75" s="510"/>
      <c r="C75" s="185" t="s">
        <v>341</v>
      </c>
      <c r="D75" s="510"/>
      <c r="E75" s="36"/>
      <c r="F75" s="36"/>
      <c r="G75" s="36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0"/>
      <c r="AY75" s="510"/>
      <c r="AZ75" s="510"/>
      <c r="BA75" s="510"/>
      <c r="BB75" s="510"/>
      <c r="BC75" s="510"/>
      <c r="BD75" s="510"/>
      <c r="BE75" s="510"/>
      <c r="BF75" s="510"/>
      <c r="BG75" s="510"/>
      <c r="BH75" s="510"/>
      <c r="BI75" s="510"/>
      <c r="BJ75" s="510"/>
    </row>
    <row r="76" spans="2:62" s="292" customFormat="1" ht="14" x14ac:dyDescent="0.15">
      <c r="B76" s="510"/>
      <c r="C76" s="36"/>
      <c r="D76" s="36"/>
      <c r="E76" s="36"/>
      <c r="F76" s="36"/>
      <c r="G76" s="36"/>
      <c r="H76" s="36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0"/>
      <c r="AM76" s="510"/>
      <c r="AN76" s="510"/>
      <c r="AO76" s="510"/>
      <c r="AP76" s="510"/>
      <c r="AQ76" s="510"/>
      <c r="AR76" s="510"/>
      <c r="AS76" s="510"/>
      <c r="AT76" s="510"/>
      <c r="AU76" s="510"/>
      <c r="AV76" s="510"/>
      <c r="AW76" s="510"/>
      <c r="AX76" s="510"/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</row>
    <row r="77" spans="2:62" ht="14" x14ac:dyDescent="0.15">
      <c r="B77" s="510"/>
      <c r="C77" s="100" t="s">
        <v>342</v>
      </c>
      <c r="D77" s="100"/>
      <c r="E77" s="100"/>
      <c r="F77" s="100" t="s">
        <v>199</v>
      </c>
      <c r="G77" s="166" t="s">
        <v>343</v>
      </c>
      <c r="H77" s="166" t="s">
        <v>344</v>
      </c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0"/>
      <c r="AM77" s="510"/>
      <c r="AN77" s="510"/>
      <c r="AO77" s="510"/>
      <c r="AP77" s="510"/>
      <c r="AQ77" s="510"/>
      <c r="AR77" s="510"/>
      <c r="AS77" s="510"/>
      <c r="AT77" s="510"/>
      <c r="AU77" s="510"/>
      <c r="AV77" s="510"/>
      <c r="AW77" s="510"/>
      <c r="AX77" s="510"/>
      <c r="AY77" s="510"/>
      <c r="AZ77" s="510"/>
      <c r="BA77" s="510"/>
      <c r="BB77" s="510"/>
      <c r="BC77" s="510"/>
      <c r="BD77" s="510"/>
      <c r="BE77" s="510"/>
      <c r="BF77" s="510"/>
      <c r="BG77" s="510"/>
      <c r="BH77" s="510"/>
      <c r="BI77" s="510"/>
      <c r="BJ77" s="510"/>
    </row>
    <row r="78" spans="2:62" ht="14" x14ac:dyDescent="0.15">
      <c r="B78" s="510"/>
      <c r="C78" s="36"/>
      <c r="D78" s="36"/>
      <c r="E78" s="36"/>
      <c r="F78" s="36"/>
      <c r="G78" s="51"/>
      <c r="H78" s="51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0"/>
      <c r="AM78" s="510"/>
      <c r="AN78" s="510"/>
      <c r="AO78" s="510"/>
      <c r="AP78" s="510"/>
      <c r="AQ78" s="510"/>
      <c r="AR78" s="510"/>
      <c r="AS78" s="510"/>
      <c r="AT78" s="510"/>
      <c r="AU78" s="510"/>
      <c r="AV78" s="510"/>
      <c r="AW78" s="510"/>
      <c r="AX78" s="510"/>
      <c r="AY78" s="510"/>
      <c r="AZ78" s="510"/>
      <c r="BA78" s="510"/>
      <c r="BB78" s="510"/>
      <c r="BC78" s="510"/>
      <c r="BD78" s="510"/>
      <c r="BE78" s="510"/>
      <c r="BF78" s="510"/>
      <c r="BG78" s="510"/>
      <c r="BH78" s="510"/>
      <c r="BI78" s="510"/>
      <c r="BJ78" s="510"/>
    </row>
    <row r="79" spans="2:62" ht="14" x14ac:dyDescent="0.15">
      <c r="B79" s="510"/>
      <c r="C79" s="183" t="s">
        <v>264</v>
      </c>
      <c r="D79" s="36"/>
      <c r="E79" s="36"/>
      <c r="F79" s="120">
        <f>('3.1. Transport cost analysis'!F48+'3.1. Transport cost analysis'!F49)/('3.1. Transport cost analysis'!D48+'3.1. Transport cost analysis'!D49)</f>
        <v>41.56045424181697</v>
      </c>
      <c r="G79" s="83">
        <f>'3.1. Transport cost analysis'!E77</f>
        <v>57.62</v>
      </c>
      <c r="H79" s="83">
        <f>('3.1. Transport cost analysis'!E82+'3.1. Transport cost analysis'!E83)/2</f>
        <v>45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510"/>
      <c r="AD79" s="510"/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0"/>
      <c r="BG79" s="510"/>
      <c r="BH79" s="510"/>
      <c r="BI79" s="510"/>
      <c r="BJ79" s="510"/>
    </row>
    <row r="80" spans="2:62" ht="14" x14ac:dyDescent="0.15">
      <c r="B80" s="510"/>
      <c r="C80" s="36" t="s">
        <v>345</v>
      </c>
      <c r="D80" s="36"/>
      <c r="E80" s="36"/>
      <c r="F80" s="83">
        <f>('3.1. Transport cost analysis'!F48+'3.1. Transport cost analysis'!H48+'3.1. Transport cost analysis'!F49+'3.1. Transport cost analysis'!H49)/('3.1. Transport cost analysis'!D48+'3.1. Transport cost analysis'!D49)</f>
        <v>46.860454241816967</v>
      </c>
      <c r="G80" s="83">
        <f>('3.1. Transport cost analysis'!H77/'3.1. Transport cost analysis'!D77)</f>
        <v>62.92</v>
      </c>
      <c r="H80" s="83">
        <f>'3.1. Transport cost analysis'!H84/('3.1. Transport cost analysis'!D82+'3.1. Transport cost analysis'!D83)</f>
        <v>50.3</v>
      </c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/>
      <c r="AN80" s="510"/>
      <c r="AO80" s="510"/>
      <c r="AP80" s="510"/>
      <c r="AQ80" s="510"/>
      <c r="AR80" s="510"/>
      <c r="AS80" s="510"/>
      <c r="AT80" s="510"/>
      <c r="AU80" s="510"/>
      <c r="AV80" s="510"/>
      <c r="AW80" s="510"/>
      <c r="AX80" s="510"/>
      <c r="AY80" s="510"/>
      <c r="AZ80" s="510"/>
      <c r="BA80" s="510"/>
      <c r="BB80" s="510"/>
      <c r="BC80" s="510"/>
      <c r="BD80" s="510"/>
      <c r="BE80" s="510"/>
      <c r="BF80" s="510"/>
      <c r="BG80" s="510"/>
      <c r="BH80" s="510"/>
      <c r="BI80" s="510"/>
      <c r="BJ80" s="510"/>
    </row>
    <row r="81" spans="2:62" ht="14" x14ac:dyDescent="0.15">
      <c r="B81" s="510"/>
      <c r="C81" s="184" t="s">
        <v>263</v>
      </c>
      <c r="D81" s="184"/>
      <c r="E81" s="184"/>
      <c r="F81" s="131">
        <f>('3.1. Transport cost analysis'!I50+'3.1. Transport cost analysis'!G61+'3.1. Transport cost analysis'!G68)/('3.1. Transport cost analysis'!D50+'3.1. Transport cost analysis'!D57+'3.1. Transport cost analysis'!D58+'3.1. Transport cost analysis'!D59+'3.1. Transport cost analysis'!D60+'3.1. Transport cost analysis'!D65+'3.1. Transport cost analysis'!D66+'3.1. Transport cost analysis'!D67)</f>
        <v>43.197301120905429</v>
      </c>
      <c r="G81" s="96" t="s">
        <v>24</v>
      </c>
      <c r="H81" s="96" t="s">
        <v>24</v>
      </c>
      <c r="I81" s="510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/>
      <c r="U81" s="510"/>
      <c r="V81" s="510"/>
      <c r="W81" s="510"/>
      <c r="X81" s="510"/>
      <c r="Y81" s="510"/>
      <c r="Z81" s="510"/>
      <c r="AA81" s="510"/>
      <c r="AB81" s="510"/>
      <c r="AC81" s="510"/>
      <c r="AD81" s="510"/>
      <c r="AE81" s="510"/>
      <c r="AF81" s="510"/>
      <c r="AG81" s="510"/>
      <c r="AH81" s="510"/>
      <c r="AI81" s="510"/>
      <c r="AJ81" s="510"/>
      <c r="AK81" s="510"/>
      <c r="AL81" s="510"/>
      <c r="AM81" s="510"/>
      <c r="AN81" s="510"/>
      <c r="AO81" s="510"/>
      <c r="AP81" s="510"/>
      <c r="AQ81" s="510"/>
      <c r="AR81" s="510"/>
      <c r="AS81" s="510"/>
      <c r="AT81" s="510"/>
      <c r="AU81" s="510"/>
      <c r="AV81" s="510"/>
      <c r="AW81" s="510"/>
      <c r="AX81" s="510"/>
      <c r="AY81" s="510"/>
      <c r="AZ81" s="510"/>
      <c r="BA81" s="510"/>
      <c r="BB81" s="510"/>
      <c r="BC81" s="510"/>
      <c r="BD81" s="510"/>
      <c r="BE81" s="510"/>
      <c r="BF81" s="510"/>
      <c r="BG81" s="510"/>
      <c r="BH81" s="510"/>
      <c r="BI81" s="510"/>
      <c r="BJ81" s="510"/>
    </row>
    <row r="82" spans="2:62" x14ac:dyDescent="0.15">
      <c r="B82" s="510"/>
      <c r="C82" s="510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/>
      <c r="AN82" s="510"/>
      <c r="AO82" s="510"/>
      <c r="AP82" s="510"/>
      <c r="AQ82" s="510"/>
      <c r="AR82" s="510"/>
      <c r="AS82" s="510"/>
      <c r="AT82" s="510"/>
      <c r="AU82" s="510"/>
      <c r="AV82" s="510"/>
      <c r="AW82" s="510"/>
      <c r="AX82" s="510"/>
      <c r="AY82" s="510"/>
      <c r="AZ82" s="510"/>
      <c r="BA82" s="510"/>
      <c r="BB82" s="510"/>
      <c r="BC82" s="510"/>
      <c r="BD82" s="510"/>
      <c r="BE82" s="510"/>
      <c r="BF82" s="510"/>
      <c r="BG82" s="510"/>
      <c r="BH82" s="510"/>
      <c r="BI82" s="510"/>
      <c r="BJ82" s="510"/>
    </row>
    <row r="83" spans="2:62" x14ac:dyDescent="0.15"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0"/>
      <c r="BH83" s="510"/>
      <c r="BI83" s="510"/>
      <c r="BJ83" s="510"/>
    </row>
    <row r="84" spans="2:62" x14ac:dyDescent="0.15">
      <c r="B84" s="510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/>
      <c r="AN84" s="510"/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0"/>
      <c r="BG84" s="510"/>
      <c r="BH84" s="510"/>
      <c r="BI84" s="510"/>
      <c r="BJ84" s="510"/>
    </row>
    <row r="85" spans="2:62" x14ac:dyDescent="0.15"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0"/>
      <c r="BG85" s="510"/>
      <c r="BH85" s="510"/>
      <c r="BI85" s="510"/>
      <c r="BJ85" s="5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Table of Content</vt:lpstr>
      <vt:lpstr>1.1. CO2 analysis</vt:lpstr>
      <vt:lpstr>1.2. CO2 results</vt:lpstr>
      <vt:lpstr>2.1. NOx and SO2 analysis</vt:lpstr>
      <vt:lpstr>2.2. NOx and SO2 results</vt:lpstr>
      <vt:lpstr>3.1. Transport cost analysis</vt:lpstr>
      <vt:lpstr>3.2. Transport cost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2019-05-21T13:23:05Z</dcterms:created>
  <dcterms:modified xsi:type="dcterms:W3CDTF">2019-06-28T18:17:00Z</dcterms:modified>
  <cp:category/>
  <cp:contentStatus/>
</cp:coreProperties>
</file>