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3022_Library_and_Learning_Resources\2. Informasjonsressurser\Samlinger\Studentoppgaver\Bachelor\2019\vedlegg\2266779\"/>
    </mc:Choice>
  </mc:AlternateContent>
  <bookViews>
    <workbookView xWindow="0" yWindow="465" windowWidth="16800" windowHeight="19380" tabRatio="842" activeTab="1"/>
  </bookViews>
  <sheets>
    <sheet name="Nullalternativ" sheetId="1" r:id="rId1"/>
    <sheet name="Alternativ 1" sheetId="17" r:id="rId2"/>
    <sheet name="Biler, investering" sheetId="14" r:id="rId3"/>
    <sheet name="Dieselpriser, variable" sheetId="15" r:id="rId4"/>
    <sheet name="Lønn" sheetId="8" r:id="rId5"/>
    <sheet name="Bransjetall" sheetId="7" r:id="rId6"/>
    <sheet name="Trafikkdata, nullalt." sheetId="9" r:id="rId7"/>
    <sheet name="Trafikkdata, alt. 1" sheetId="11" r:id="rId8"/>
    <sheet name="Bomstasjoner og priser" sheetId="10" r:id="rId9"/>
    <sheet name="Deponi, prisliste" sheetId="5" r:id="rId10"/>
    <sheet name="CO2" sheetId="16" r:id="rId11"/>
    <sheet name="Sammenligning" sheetId="18"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6" i="17" l="1"/>
  <c r="C80" i="1"/>
  <c r="C39" i="9"/>
  <c r="C32" i="1"/>
  <c r="N46" i="1"/>
  <c r="N43" i="1"/>
  <c r="N40" i="1"/>
  <c r="N37" i="1"/>
  <c r="D38" i="9"/>
  <c r="T18" i="1" s="1"/>
  <c r="T27" i="1" s="1"/>
  <c r="C35" i="14"/>
  <c r="B32" i="7"/>
  <c r="C6" i="17"/>
  <c r="C13" i="1"/>
  <c r="C18" i="1" s="1"/>
  <c r="C49" i="8"/>
  <c r="C34" i="1"/>
  <c r="L33" i="1"/>
  <c r="C84" i="17"/>
  <c r="C17" i="1"/>
  <c r="C76" i="17" s="1"/>
  <c r="K55" i="14"/>
  <c r="D29" i="10"/>
  <c r="G77" i="17"/>
  <c r="G76" i="17"/>
  <c r="G74" i="17"/>
  <c r="H35" i="16"/>
  <c r="I35" i="16" s="1"/>
  <c r="F35" i="16"/>
  <c r="F34" i="16"/>
  <c r="H34" i="16" s="1"/>
  <c r="I34" i="16" s="1"/>
  <c r="H33" i="16"/>
  <c r="I33" i="16" s="1"/>
  <c r="F33" i="16"/>
  <c r="F32" i="16"/>
  <c r="H32" i="16" s="1"/>
  <c r="I32" i="16" s="1"/>
  <c r="H126" i="17"/>
  <c r="H127" i="17"/>
  <c r="H128" i="17"/>
  <c r="H129" i="17"/>
  <c r="H130" i="17"/>
  <c r="G131" i="17"/>
  <c r="H131" i="17"/>
  <c r="H132" i="17"/>
  <c r="H133" i="17"/>
  <c r="H134" i="17"/>
  <c r="H135" i="17"/>
  <c r="H136" i="17"/>
  <c r="H137" i="17"/>
  <c r="H138" i="17"/>
  <c r="H139" i="17"/>
  <c r="H140" i="17"/>
  <c r="H141" i="17"/>
  <c r="H142" i="17"/>
  <c r="H143" i="17"/>
  <c r="H144" i="17"/>
  <c r="G146" i="17"/>
  <c r="Y23" i="16"/>
  <c r="X25" i="16" s="1"/>
  <c r="Y22" i="16"/>
  <c r="Y21" i="16"/>
  <c r="Y20" i="16"/>
  <c r="Y19" i="16"/>
  <c r="Y18" i="16"/>
  <c r="Y17" i="16"/>
  <c r="Y16" i="16"/>
  <c r="Y15" i="16"/>
  <c r="Y14" i="16"/>
  <c r="Y13" i="16"/>
  <c r="Y12" i="16"/>
  <c r="Y11" i="16"/>
  <c r="X10" i="16"/>
  <c r="Y9" i="16" s="1"/>
  <c r="Y8" i="16"/>
  <c r="Y7" i="16"/>
  <c r="Y6" i="16"/>
  <c r="Y5" i="16"/>
  <c r="Y10" i="16" l="1"/>
  <c r="C6" i="18" l="1"/>
  <c r="C12" i="18" s="1"/>
  <c r="C67" i="17"/>
  <c r="C118" i="17"/>
  <c r="C130" i="17"/>
  <c r="C117" i="17"/>
  <c r="C131" i="17"/>
  <c r="C132" i="17" s="1"/>
  <c r="C137" i="17" s="1"/>
  <c r="C90" i="1"/>
  <c r="C10" i="17"/>
  <c r="C24" i="1"/>
  <c r="C25" i="1"/>
  <c r="G72" i="17"/>
  <c r="D49" i="1"/>
  <c r="E49" i="1"/>
  <c r="F49" i="1"/>
  <c r="C99" i="17"/>
  <c r="C92" i="17"/>
  <c r="C91" i="17"/>
  <c r="F90" i="17"/>
  <c r="C90" i="17" s="1"/>
  <c r="E90" i="17"/>
  <c r="D35" i="14"/>
  <c r="E35" i="14"/>
  <c r="F35" i="14"/>
  <c r="C33" i="11"/>
  <c r="C38" i="9"/>
  <c r="M15" i="17"/>
  <c r="M16" i="17"/>
  <c r="N5" i="17"/>
  <c r="M9" i="17" s="1"/>
  <c r="C75" i="17"/>
  <c r="C74" i="17"/>
  <c r="C72" i="17"/>
  <c r="C93" i="17"/>
  <c r="C94" i="17" s="1"/>
  <c r="C82" i="17"/>
  <c r="C81" i="17"/>
  <c r="E90" i="1"/>
  <c r="E92" i="1" s="1"/>
  <c r="E89" i="1"/>
  <c r="D89" i="1"/>
  <c r="C138" i="17" l="1"/>
  <c r="E6" i="18" s="1"/>
  <c r="G75" i="17"/>
  <c r="C83" i="17"/>
  <c r="C95" i="17"/>
  <c r="C101" i="17"/>
  <c r="C108" i="17" s="1"/>
  <c r="M14" i="17"/>
  <c r="N14" i="17" s="1"/>
  <c r="O14" i="17" s="1"/>
  <c r="M13" i="17"/>
  <c r="N13" i="17" s="1"/>
  <c r="O13" i="17" s="1"/>
  <c r="M12" i="17"/>
  <c r="M11" i="17"/>
  <c r="M10" i="17"/>
  <c r="C100" i="17"/>
  <c r="C89" i="17"/>
  <c r="N10" i="17"/>
  <c r="N11" i="17"/>
  <c r="O11" i="17" s="1"/>
  <c r="N12" i="17"/>
  <c r="O12" i="17" s="1"/>
  <c r="N15" i="17"/>
  <c r="O15" i="17" s="1"/>
  <c r="N16" i="17"/>
  <c r="O16" i="17" s="1"/>
  <c r="N9" i="17"/>
  <c r="C7" i="17"/>
  <c r="C8" i="1"/>
  <c r="C40" i="1" s="1"/>
  <c r="C58" i="1"/>
  <c r="O33" i="1"/>
  <c r="M33" i="1"/>
  <c r="P30" i="1"/>
  <c r="M30" i="1"/>
  <c r="N30" i="1"/>
  <c r="O30" i="1"/>
  <c r="L30" i="1"/>
  <c r="P22" i="1"/>
  <c r="M22" i="1"/>
  <c r="N22" i="1"/>
  <c r="O22" i="1"/>
  <c r="L22" i="1"/>
  <c r="D28" i="17"/>
  <c r="E28" i="17"/>
  <c r="F28" i="17"/>
  <c r="I28" i="17"/>
  <c r="J28" i="17"/>
  <c r="D27" i="17"/>
  <c r="E27" i="17"/>
  <c r="F27" i="17"/>
  <c r="G27" i="17"/>
  <c r="H27" i="17"/>
  <c r="I27" i="17"/>
  <c r="J27" i="17"/>
  <c r="D26" i="17"/>
  <c r="E26" i="17"/>
  <c r="F26" i="17"/>
  <c r="G26" i="17"/>
  <c r="G28" i="17" s="1"/>
  <c r="H26" i="17"/>
  <c r="H28" i="17" s="1"/>
  <c r="I26" i="17"/>
  <c r="J26" i="17"/>
  <c r="C26" i="17"/>
  <c r="J25" i="17"/>
  <c r="I25" i="17"/>
  <c r="I29" i="17" s="1"/>
  <c r="I35" i="17" s="1"/>
  <c r="H25" i="17"/>
  <c r="G25" i="17"/>
  <c r="F25" i="17"/>
  <c r="F29" i="17" s="1"/>
  <c r="F35" i="17" s="1"/>
  <c r="E25" i="17"/>
  <c r="D25" i="17"/>
  <c r="C25" i="17"/>
  <c r="J24" i="17"/>
  <c r="J23" i="17" s="1"/>
  <c r="I24" i="17"/>
  <c r="I51" i="17" s="1"/>
  <c r="I52" i="17" s="1"/>
  <c r="H24" i="17"/>
  <c r="H23" i="17" s="1"/>
  <c r="G24" i="17"/>
  <c r="G51" i="17" s="1"/>
  <c r="G52" i="17" s="1"/>
  <c r="F24" i="17"/>
  <c r="F51" i="17" s="1"/>
  <c r="F52" i="17" s="1"/>
  <c r="E24" i="17"/>
  <c r="E51" i="17" s="1"/>
  <c r="E52" i="17" s="1"/>
  <c r="D24" i="17"/>
  <c r="D51" i="17" s="1"/>
  <c r="D52" i="17" s="1"/>
  <c r="C24" i="17"/>
  <c r="C51" i="17" s="1"/>
  <c r="C52" i="17" s="1"/>
  <c r="C16" i="17"/>
  <c r="D81" i="1"/>
  <c r="E81" i="1"/>
  <c r="F81" i="1"/>
  <c r="C81" i="1"/>
  <c r="D80" i="1"/>
  <c r="E80" i="1"/>
  <c r="F80" i="1"/>
  <c r="G80" i="1"/>
  <c r="G81" i="1"/>
  <c r="H29" i="17" l="1"/>
  <c r="H35" i="17" s="1"/>
  <c r="D29" i="17"/>
  <c r="D35" i="17" s="1"/>
  <c r="G29" i="17"/>
  <c r="G35" i="17" s="1"/>
  <c r="J29" i="17"/>
  <c r="J35" i="17" s="1"/>
  <c r="E29" i="17"/>
  <c r="E35" i="17" s="1"/>
  <c r="I23" i="17"/>
  <c r="J51" i="17"/>
  <c r="J52" i="17" s="1"/>
  <c r="H51" i="17"/>
  <c r="H52" i="17" s="1"/>
  <c r="K52" i="17" s="1"/>
  <c r="D23" i="17"/>
  <c r="G23" i="17"/>
  <c r="O9" i="17"/>
  <c r="O10" i="17"/>
  <c r="C23" i="17"/>
  <c r="C17" i="17"/>
  <c r="G82" i="1"/>
  <c r="G27" i="14"/>
  <c r="D27" i="14"/>
  <c r="E27" i="14"/>
  <c r="F27" i="14"/>
  <c r="C27" i="14"/>
  <c r="C22" i="14"/>
  <c r="C7" i="14"/>
  <c r="O17" i="17" l="1"/>
  <c r="O19" i="17" s="1"/>
  <c r="D23" i="10"/>
  <c r="K50" i="14"/>
  <c r="I73" i="14"/>
  <c r="I70" i="14"/>
  <c r="L62" i="1"/>
  <c r="L19" i="1"/>
  <c r="L27" i="1"/>
  <c r="L8" i="1"/>
  <c r="L11" i="1"/>
  <c r="L12" i="1"/>
  <c r="L13" i="1" s="1"/>
  <c r="L10" i="1"/>
  <c r="C27" i="17" l="1"/>
  <c r="C28" i="17"/>
  <c r="C29" i="17" s="1"/>
  <c r="C35" i="17" s="1"/>
  <c r="C31" i="1"/>
  <c r="I67" i="14"/>
  <c r="E23" i="17" l="1"/>
  <c r="F23" i="17"/>
  <c r="U29" i="1" l="1"/>
  <c r="V29" i="1"/>
  <c r="W29" i="1"/>
  <c r="T28" i="1"/>
  <c r="T29" i="1"/>
  <c r="T30" i="1"/>
  <c r="T32" i="1" s="1"/>
  <c r="M37" i="1" s="1"/>
  <c r="C30" i="1" s="1"/>
  <c r="T31" i="1"/>
  <c r="F58" i="1"/>
  <c r="E58" i="1"/>
  <c r="E59" i="1" s="1"/>
  <c r="F59" i="1"/>
  <c r="D58" i="1"/>
  <c r="D59" i="1" s="1"/>
  <c r="C59" i="1"/>
  <c r="B39" i="7"/>
  <c r="C39" i="7"/>
  <c r="G59" i="1" l="1"/>
  <c r="C47" i="8"/>
  <c r="B110" i="7"/>
  <c r="C42" i="8"/>
  <c r="J32" i="7"/>
  <c r="G35" i="14"/>
  <c r="D33" i="14"/>
  <c r="E33" i="14"/>
  <c r="F33" i="14"/>
  <c r="C33" i="14"/>
  <c r="G33" i="14" s="1"/>
  <c r="C38" i="8"/>
  <c r="E43" i="8"/>
  <c r="E44" i="8"/>
  <c r="E42" i="8"/>
  <c r="C35" i="8"/>
  <c r="C41" i="8" s="1"/>
  <c r="C34" i="8"/>
  <c r="C33" i="8"/>
  <c r="C32" i="8"/>
  <c r="D34" i="1"/>
  <c r="E34" i="1"/>
  <c r="F34" i="1"/>
  <c r="C33" i="1"/>
  <c r="J45" i="14"/>
  <c r="D24" i="10"/>
  <c r="K51" i="14" s="1"/>
  <c r="K53" i="14" s="1"/>
  <c r="E110" i="7"/>
  <c r="F110" i="7"/>
  <c r="G110" i="7"/>
  <c r="H110" i="7"/>
  <c r="I110" i="7"/>
  <c r="J110" i="7"/>
  <c r="K110" i="7"/>
  <c r="L110" i="7"/>
  <c r="D110" i="7"/>
  <c r="G34" i="14"/>
  <c r="C15" i="1" s="1"/>
  <c r="C8" i="17" s="1"/>
  <c r="C23" i="8"/>
  <c r="C24" i="8"/>
  <c r="D24" i="8" s="1"/>
  <c r="C25" i="8"/>
  <c r="C22" i="8"/>
  <c r="D23" i="8"/>
  <c r="C19" i="8"/>
  <c r="C18" i="8"/>
  <c r="C17" i="8"/>
  <c r="C16" i="8"/>
  <c r="D32" i="7"/>
  <c r="E32" i="7"/>
  <c r="F32" i="7"/>
  <c r="G32" i="7"/>
  <c r="H32" i="7"/>
  <c r="I32" i="7"/>
  <c r="K32" i="7"/>
  <c r="L32" i="7"/>
  <c r="C32" i="7"/>
  <c r="D31" i="7"/>
  <c r="E31" i="7"/>
  <c r="F31" i="7"/>
  <c r="G31" i="7"/>
  <c r="H31" i="7"/>
  <c r="I31" i="7"/>
  <c r="J31" i="7"/>
  <c r="K31" i="7"/>
  <c r="L31" i="7"/>
  <c r="C31" i="7"/>
  <c r="D26" i="10" l="1"/>
  <c r="D27" i="10" s="1"/>
  <c r="K54" i="14"/>
  <c r="C35" i="1"/>
  <c r="E24" i="8"/>
  <c r="D25" i="8"/>
  <c r="J33" i="17" l="1"/>
  <c r="E33" i="17"/>
  <c r="D33" i="17"/>
  <c r="F33" i="17"/>
  <c r="G33" i="17"/>
  <c r="H33" i="17"/>
  <c r="I33" i="17"/>
  <c r="C33" i="17"/>
  <c r="C41" i="1"/>
  <c r="F40" i="1"/>
  <c r="E40" i="1"/>
  <c r="D40" i="1"/>
  <c r="E25" i="8"/>
  <c r="E26" i="8" s="1"/>
  <c r="C23" i="1"/>
  <c r="C22" i="1"/>
  <c r="C17" i="14"/>
  <c r="C12" i="14"/>
  <c r="C36" i="17" l="1"/>
  <c r="C42" i="17" s="1"/>
  <c r="C34" i="17"/>
  <c r="D36" i="17"/>
  <c r="D42" i="17" s="1"/>
  <c r="D34" i="17"/>
  <c r="I36" i="17"/>
  <c r="I42" i="17" s="1"/>
  <c r="I34" i="17"/>
  <c r="F36" i="17"/>
  <c r="F42" i="17" s="1"/>
  <c r="F34" i="17"/>
  <c r="E36" i="17"/>
  <c r="E42" i="17" s="1"/>
  <c r="E34" i="17"/>
  <c r="H36" i="17"/>
  <c r="H42" i="17" s="1"/>
  <c r="H34" i="17"/>
  <c r="G36" i="17"/>
  <c r="G42" i="17" s="1"/>
  <c r="G34" i="17"/>
  <c r="J34" i="17"/>
  <c r="J36" i="17"/>
  <c r="J42" i="17" s="1"/>
  <c r="D41" i="1"/>
  <c r="E41" i="1"/>
  <c r="F41" i="1"/>
  <c r="D26" i="8"/>
  <c r="D27" i="8" s="1"/>
  <c r="E27" i="8" s="1"/>
  <c r="C30" i="14"/>
  <c r="M24" i="16"/>
  <c r="I24" i="16"/>
  <c r="E24" i="16"/>
  <c r="M23" i="16"/>
  <c r="I23" i="16"/>
  <c r="E23" i="16"/>
  <c r="K38" i="14"/>
  <c r="K39" i="14" s="1"/>
  <c r="J38" i="14"/>
  <c r="J39" i="14" s="1"/>
  <c r="C31" i="14" l="1"/>
  <c r="C25" i="14"/>
  <c r="C26" i="8"/>
  <c r="C27" i="8" s="1"/>
  <c r="D28" i="8"/>
  <c r="D33" i="1"/>
  <c r="D35" i="1" s="1"/>
  <c r="E33" i="1"/>
  <c r="E35" i="1" s="1"/>
  <c r="F33" i="1"/>
  <c r="F35" i="1" s="1"/>
  <c r="U27" i="1"/>
  <c r="W22" i="1"/>
  <c r="W31" i="1" s="1"/>
  <c r="W21" i="1"/>
  <c r="W30" i="1" s="1"/>
  <c r="W20" i="1"/>
  <c r="W19" i="1"/>
  <c r="W28" i="1" s="1"/>
  <c r="W18" i="1"/>
  <c r="W27" i="1" s="1"/>
  <c r="V21" i="1"/>
  <c r="V30" i="1" s="1"/>
  <c r="V22" i="1"/>
  <c r="V31" i="1" s="1"/>
  <c r="V20" i="1"/>
  <c r="V19" i="1"/>
  <c r="V28" i="1" s="1"/>
  <c r="V18" i="1"/>
  <c r="V27" i="1" s="1"/>
  <c r="U22" i="1"/>
  <c r="U31" i="1" s="1"/>
  <c r="U21" i="1"/>
  <c r="U30" i="1" s="1"/>
  <c r="U20" i="1"/>
  <c r="D73" i="9"/>
  <c r="U18" i="1" s="1"/>
  <c r="U19" i="1"/>
  <c r="U28" i="1" s="1"/>
  <c r="T22" i="1"/>
  <c r="T21" i="1"/>
  <c r="T20" i="1"/>
  <c r="T19" i="1"/>
  <c r="C142" i="9"/>
  <c r="C141" i="9"/>
  <c r="S141" i="9"/>
  <c r="O142" i="9"/>
  <c r="S142" i="9" s="1"/>
  <c r="O141" i="9"/>
  <c r="P142" i="9"/>
  <c r="T142" i="9" s="1"/>
  <c r="T141" i="9"/>
  <c r="G141" i="9"/>
  <c r="H141" i="9"/>
  <c r="K141" i="9"/>
  <c r="L141" i="9"/>
  <c r="P141" i="9"/>
  <c r="G142" i="9"/>
  <c r="H142" i="9"/>
  <c r="K142" i="9"/>
  <c r="L142" i="9"/>
  <c r="D142" i="9"/>
  <c r="D141" i="9"/>
  <c r="P108" i="9"/>
  <c r="P107" i="9"/>
  <c r="L108" i="9"/>
  <c r="G108" i="9"/>
  <c r="H108" i="9"/>
  <c r="T108" i="9" s="1"/>
  <c r="K108" i="9"/>
  <c r="O108" i="9"/>
  <c r="G107" i="9"/>
  <c r="H107" i="9"/>
  <c r="K107" i="9"/>
  <c r="L107" i="9"/>
  <c r="O107" i="9"/>
  <c r="S107" i="9"/>
  <c r="T107" i="9"/>
  <c r="D108" i="9"/>
  <c r="C108" i="9"/>
  <c r="C74" i="9"/>
  <c r="D107" i="9"/>
  <c r="C107" i="9"/>
  <c r="C73" i="9"/>
  <c r="S74" i="9"/>
  <c r="T38" i="9"/>
  <c r="G73" i="9"/>
  <c r="H73" i="9"/>
  <c r="K73" i="9"/>
  <c r="L73" i="9"/>
  <c r="O73" i="9"/>
  <c r="P73" i="9"/>
  <c r="S73" i="9"/>
  <c r="T73" i="9"/>
  <c r="P74" i="9"/>
  <c r="S38" i="9"/>
  <c r="O39" i="9"/>
  <c r="G74" i="9"/>
  <c r="H74" i="9"/>
  <c r="K74" i="9"/>
  <c r="L74" i="9"/>
  <c r="T74" i="9" s="1"/>
  <c r="O74" i="9"/>
  <c r="D74" i="9"/>
  <c r="G38" i="9"/>
  <c r="H38" i="9"/>
  <c r="K38" i="9"/>
  <c r="L38" i="9"/>
  <c r="O38" i="9"/>
  <c r="P38" i="9"/>
  <c r="K39" i="9"/>
  <c r="G39" i="9"/>
  <c r="H39" i="9"/>
  <c r="L39" i="9"/>
  <c r="P39" i="9"/>
  <c r="D39" i="9"/>
  <c r="F26" i="15"/>
  <c r="F27" i="15"/>
  <c r="F28" i="15"/>
  <c r="F29" i="15"/>
  <c r="E26" i="15"/>
  <c r="E25" i="15"/>
  <c r="E27" i="15"/>
  <c r="E28" i="15"/>
  <c r="E29" i="15"/>
  <c r="D26" i="15"/>
  <c r="D27" i="15"/>
  <c r="D28" i="15"/>
  <c r="D29" i="15"/>
  <c r="D25" i="15"/>
  <c r="F25" i="15"/>
  <c r="E17" i="14"/>
  <c r="E12" i="14"/>
  <c r="E7" i="14"/>
  <c r="D7" i="14"/>
  <c r="D12" i="14"/>
  <c r="D17" i="14"/>
  <c r="F17" i="14"/>
  <c r="F12" i="14"/>
  <c r="F7" i="14"/>
  <c r="C28" i="8" l="1"/>
  <c r="E28" i="8"/>
  <c r="D30" i="14"/>
  <c r="D31" i="14" s="1"/>
  <c r="F30" i="14"/>
  <c r="F31" i="14" s="1"/>
  <c r="E30" i="14"/>
  <c r="E25" i="14" s="1"/>
  <c r="V32" i="1"/>
  <c r="M43" i="1" s="1"/>
  <c r="E32" i="1" s="1"/>
  <c r="W32" i="1"/>
  <c r="M46" i="1" s="1"/>
  <c r="F32" i="1" s="1"/>
  <c r="U32" i="1"/>
  <c r="M40" i="1" s="1"/>
  <c r="D32" i="1" s="1"/>
  <c r="S108" i="9"/>
  <c r="U73" i="9"/>
  <c r="T39" i="9"/>
  <c r="S39" i="9"/>
  <c r="I39" i="7"/>
  <c r="F25" i="14" l="1"/>
  <c r="E31" i="14"/>
  <c r="G31" i="14" s="1"/>
  <c r="C14" i="1" s="1"/>
  <c r="D25" i="14"/>
  <c r="G25" i="14" s="1"/>
  <c r="C73" i="17" l="1"/>
  <c r="C77" i="17" s="1"/>
  <c r="C47" i="1"/>
  <c r="C16" i="1"/>
  <c r="C9" i="17" s="1"/>
  <c r="L56" i="1"/>
  <c r="L58" i="1" s="1"/>
  <c r="C36" i="1"/>
  <c r="C42" i="1" s="1"/>
  <c r="C43" i="1" s="1"/>
  <c r="C49" i="1" s="1"/>
  <c r="C11" i="17" l="1"/>
  <c r="C106" i="17" s="1"/>
  <c r="D40" i="17"/>
  <c r="E13" i="10"/>
  <c r="F13" i="10"/>
  <c r="F12" i="10"/>
  <c r="E12" i="10"/>
  <c r="C12" i="10"/>
  <c r="E11" i="10"/>
  <c r="E16" i="10" s="1"/>
  <c r="D13" i="10"/>
  <c r="D12" i="10"/>
  <c r="C13" i="10"/>
  <c r="D11" i="10"/>
  <c r="D10" i="10"/>
  <c r="F11" i="10"/>
  <c r="F16" i="10" s="1"/>
  <c r="F10" i="10"/>
  <c r="F15" i="10" s="1"/>
  <c r="E10" i="10"/>
  <c r="C10" i="10"/>
  <c r="C15" i="10" s="1"/>
  <c r="C11" i="10"/>
  <c r="C16" i="10" s="1"/>
  <c r="J40" i="17" l="1"/>
  <c r="H40" i="17"/>
  <c r="G40" i="17"/>
  <c r="I40" i="17"/>
  <c r="F40" i="17"/>
  <c r="E40" i="17"/>
  <c r="C40" i="17"/>
  <c r="D15" i="10"/>
  <c r="D16" i="10"/>
  <c r="E15" i="10"/>
  <c r="E31" i="1"/>
  <c r="D31" i="1"/>
  <c r="L47" i="1"/>
  <c r="L46" i="1"/>
  <c r="F31" i="1" l="1"/>
  <c r="D30" i="1"/>
  <c r="E30" i="1"/>
  <c r="F30" i="1" l="1"/>
  <c r="B41" i="7" l="1"/>
  <c r="P6" i="8"/>
  <c r="Q6" i="8" l="1"/>
  <c r="R6" i="8"/>
  <c r="S6" i="8"/>
  <c r="C40" i="8"/>
  <c r="C39" i="8"/>
  <c r="D39" i="8" l="1"/>
  <c r="D40" i="8"/>
  <c r="D41" i="8"/>
  <c r="D64" i="1"/>
  <c r="D65" i="1" s="1"/>
  <c r="D66" i="1" s="1"/>
  <c r="E64" i="1"/>
  <c r="E65" i="1" s="1"/>
  <c r="E66" i="1" s="1"/>
  <c r="F64" i="1"/>
  <c r="F65" i="1" s="1"/>
  <c r="F66" i="1" s="1"/>
  <c r="C64" i="1"/>
  <c r="C65" i="1" s="1"/>
  <c r="C66" i="1" s="1"/>
  <c r="C67" i="1" s="1"/>
  <c r="C68" i="1" s="1"/>
  <c r="L28" i="1" l="1"/>
  <c r="M28" i="1"/>
  <c r="M27" i="1"/>
  <c r="O27" i="1"/>
  <c r="O28" i="1"/>
  <c r="N27" i="1"/>
  <c r="N28" i="1"/>
  <c r="N29" i="1" s="1"/>
  <c r="N33" i="1" s="1"/>
  <c r="P33" i="1" s="1"/>
  <c r="C26" i="1" s="1"/>
  <c r="C85" i="17" s="1"/>
  <c r="E40" i="8"/>
  <c r="D67" i="1"/>
  <c r="D68" i="1" s="1"/>
  <c r="F67" i="1"/>
  <c r="F68" i="1" s="1"/>
  <c r="E67" i="1"/>
  <c r="E68" i="1" s="1"/>
  <c r="O56" i="1"/>
  <c r="O58" i="1" s="1"/>
  <c r="F36" i="1"/>
  <c r="F42" i="1" s="1"/>
  <c r="F43" i="1" s="1"/>
  <c r="E41" i="8"/>
  <c r="O64" i="1"/>
  <c r="O62" i="1"/>
  <c r="C86" i="17" l="1"/>
  <c r="C107" i="17" s="1"/>
  <c r="C27" i="1"/>
  <c r="C19" i="17"/>
  <c r="M29" i="1"/>
  <c r="O29" i="1"/>
  <c r="L29" i="1"/>
  <c r="P27" i="1"/>
  <c r="P28" i="1"/>
  <c r="D42" i="8"/>
  <c r="B109" i="7"/>
  <c r="P29" i="1" l="1"/>
  <c r="D43" i="8"/>
  <c r="D44" i="8" s="1"/>
  <c r="M64" i="1"/>
  <c r="M62" i="1"/>
  <c r="N62" i="1"/>
  <c r="N64" i="1"/>
  <c r="D39" i="7"/>
  <c r="E39" i="7"/>
  <c r="F39" i="7"/>
  <c r="G39" i="7"/>
  <c r="H39" i="7"/>
  <c r="J39" i="7"/>
  <c r="K39" i="7"/>
  <c r="L39" i="7"/>
  <c r="B26" i="7"/>
  <c r="B27" i="7"/>
  <c r="B28" i="7"/>
  <c r="B29" i="7"/>
  <c r="B30" i="7"/>
  <c r="B33" i="7"/>
  <c r="B34" i="7"/>
  <c r="B35" i="7"/>
  <c r="B36" i="7"/>
  <c r="B37" i="7"/>
  <c r="B38" i="7"/>
  <c r="B42" i="7"/>
  <c r="B43" i="7"/>
  <c r="B44" i="7"/>
  <c r="B45" i="7"/>
  <c r="B46" i="7"/>
  <c r="B47" i="7"/>
  <c r="B48" i="7"/>
  <c r="B49" i="7"/>
  <c r="B50" i="7"/>
  <c r="B51" i="7"/>
  <c r="B52" i="7"/>
  <c r="B53" i="7"/>
  <c r="B54" i="7"/>
  <c r="B55" i="7"/>
  <c r="B56"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13" i="7"/>
  <c r="B114" i="7"/>
  <c r="B115" i="7"/>
  <c r="B118" i="7"/>
  <c r="B119" i="7"/>
  <c r="B120" i="7"/>
  <c r="B121" i="7"/>
  <c r="B122" i="7"/>
  <c r="B123" i="7"/>
  <c r="B124" i="7"/>
  <c r="B125" i="7"/>
  <c r="B25" i="7"/>
  <c r="C18" i="17" l="1"/>
  <c r="C43" i="8"/>
  <c r="C44" i="8" s="1"/>
  <c r="M56" i="1"/>
  <c r="M58" i="1" s="1"/>
  <c r="N56" i="1"/>
  <c r="N58" i="1" s="1"/>
  <c r="C20" i="17" l="1"/>
  <c r="C110" i="17" s="1"/>
  <c r="C112" i="17" s="1"/>
  <c r="C114" i="17" s="1"/>
  <c r="C48" i="1"/>
  <c r="P58" i="1"/>
  <c r="D36" i="1"/>
  <c r="D42" i="1" s="1"/>
  <c r="D43" i="1" s="1"/>
  <c r="E36" i="1"/>
  <c r="E42" i="1" s="1"/>
  <c r="E43" i="1" s="1"/>
  <c r="C113" i="17" l="1"/>
  <c r="C41" i="17"/>
  <c r="C44" i="17" s="1"/>
  <c r="C46" i="17" s="1"/>
  <c r="J41" i="17"/>
  <c r="J44" i="17" s="1"/>
  <c r="J46" i="17" s="1"/>
  <c r="G41" i="17"/>
  <c r="G44" i="17" s="1"/>
  <c r="G46" i="17" s="1"/>
  <c r="H41" i="17"/>
  <c r="H44" i="17" s="1"/>
  <c r="H46" i="17" s="1"/>
  <c r="E41" i="17"/>
  <c r="E44" i="17" s="1"/>
  <c r="E46" i="17" s="1"/>
  <c r="D41" i="17"/>
  <c r="D44" i="17" s="1"/>
  <c r="D46" i="17" s="1"/>
  <c r="F41" i="17"/>
  <c r="F44" i="17" s="1"/>
  <c r="F46" i="17" s="1"/>
  <c r="I41" i="17"/>
  <c r="I44" i="17" s="1"/>
  <c r="I46" i="17" s="1"/>
  <c r="F48" i="1"/>
  <c r="E48" i="1"/>
  <c r="D48" i="1"/>
  <c r="L64" i="1"/>
  <c r="P64" i="1" s="1"/>
  <c r="P62" i="1"/>
  <c r="I47" i="17" l="1"/>
  <c r="I48" i="17"/>
  <c r="I57" i="17" s="1"/>
  <c r="I58" i="17" s="1"/>
  <c r="F48" i="17"/>
  <c r="F57" i="17" s="1"/>
  <c r="F58" i="17" s="1"/>
  <c r="F47" i="17"/>
  <c r="D47" i="17"/>
  <c r="D48" i="17"/>
  <c r="D57" i="17" s="1"/>
  <c r="D58" i="17" s="1"/>
  <c r="E48" i="17"/>
  <c r="E57" i="17" s="1"/>
  <c r="E58" i="17" s="1"/>
  <c r="E47" i="17"/>
  <c r="H47" i="17"/>
  <c r="H48" i="17"/>
  <c r="H57" i="17" s="1"/>
  <c r="H58" i="17" s="1"/>
  <c r="C48" i="17"/>
  <c r="C57" i="17" s="1"/>
  <c r="C58" i="17" s="1"/>
  <c r="C47" i="17"/>
  <c r="G47" i="17"/>
  <c r="G48" i="17"/>
  <c r="G57" i="17" s="1"/>
  <c r="G58" i="17" s="1"/>
  <c r="J47" i="17"/>
  <c r="J48" i="17"/>
  <c r="J57" i="17" s="1"/>
  <c r="J58" i="17" s="1"/>
  <c r="M19" i="1"/>
  <c r="O19" i="1"/>
  <c r="N19" i="1"/>
  <c r="N20" i="1"/>
  <c r="M20" i="1"/>
  <c r="O20" i="1"/>
  <c r="L20" i="1"/>
  <c r="L63" i="1"/>
  <c r="O63" i="1"/>
  <c r="N63" i="1"/>
  <c r="M63" i="1"/>
  <c r="L65" i="1"/>
  <c r="P65" i="1"/>
  <c r="O65" i="1"/>
  <c r="N65" i="1"/>
  <c r="M65" i="1"/>
  <c r="P63" i="1"/>
  <c r="K57" i="17" l="1"/>
  <c r="K58" i="17"/>
  <c r="L21" i="1"/>
  <c r="N21" i="1"/>
  <c r="O21" i="1"/>
  <c r="M21" i="1"/>
  <c r="P20" i="1"/>
  <c r="P19" i="1"/>
  <c r="K59" i="17" l="1"/>
  <c r="C123" i="17"/>
  <c r="P21" i="1"/>
  <c r="C124" i="17" l="1"/>
  <c r="C125" i="17" s="1"/>
  <c r="D6" i="18" s="1"/>
  <c r="C51" i="1"/>
  <c r="C53" i="1" s="1"/>
  <c r="E47" i="1"/>
  <c r="E51" i="1" s="1"/>
  <c r="E53" i="1" s="1"/>
  <c r="D47" i="1"/>
  <c r="D51" i="1" s="1"/>
  <c r="D53" i="1" s="1"/>
  <c r="F47" i="1"/>
  <c r="F51" i="1" s="1"/>
  <c r="F53" i="1" s="1"/>
  <c r="E55" i="1" l="1"/>
  <c r="E54" i="1"/>
  <c r="F54" i="1"/>
  <c r="F55" i="1"/>
  <c r="D55" i="1"/>
  <c r="D54" i="1"/>
  <c r="C54" i="1"/>
  <c r="C55" i="1"/>
  <c r="C73" i="1" s="1"/>
  <c r="F74" i="1" l="1"/>
  <c r="F73" i="1"/>
  <c r="E73" i="1"/>
  <c r="E74" i="1"/>
  <c r="C74" i="1"/>
  <c r="D73" i="1"/>
  <c r="D74" i="1"/>
  <c r="G74" i="1" l="1"/>
  <c r="G73" i="1"/>
  <c r="G76" i="1" l="1"/>
  <c r="B6" i="18"/>
  <c r="C13" i="18" s="1"/>
</calcChain>
</file>

<file path=xl/comments1.xml><?xml version="1.0" encoding="utf-8"?>
<comments xmlns="http://schemas.openxmlformats.org/spreadsheetml/2006/main">
  <authors>
    <author>Seirwan Kareemi</author>
    <author>Student</author>
    <author>Kareemi, Seirwan</author>
  </authors>
  <commentList>
    <comment ref="B8"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Bortimot 20 prosent av dette er sosiale utgifter.
</t>
        </r>
      </text>
    </comment>
    <comment ref="B13" authorId="1" shapeId="0">
      <text>
        <r>
          <rPr>
            <b/>
            <sz val="9"/>
            <color rgb="FF000000"/>
            <rFont val="Tahoma"/>
            <family val="2"/>
          </rPr>
          <t>Student:</t>
        </r>
        <r>
          <rPr>
            <sz val="9"/>
            <color rgb="FF000000"/>
            <rFont val="Tahoma"/>
            <family val="2"/>
          </rPr>
          <t xml:space="preserve">
</t>
        </r>
        <r>
          <rPr>
            <sz val="9"/>
            <color rgb="FF000000"/>
            <rFont val="Tahoma"/>
            <family val="2"/>
          </rPr>
          <t xml:space="preserve">Fra SSB: gjennomsnittlig lønn for ledere innen logistikk, fordelt på de fire bilene. </t>
        </r>
      </text>
    </comment>
    <comment ref="B15" authorId="2" shapeId="0">
      <text>
        <r>
          <rPr>
            <b/>
            <sz val="9"/>
            <color rgb="FF000000"/>
            <rFont val="Tahoma"/>
            <family val="2"/>
          </rPr>
          <t>Kareemi, Seirwan:</t>
        </r>
        <r>
          <rPr>
            <sz val="9"/>
            <color rgb="FF000000"/>
            <rFont val="Tahoma"/>
            <family val="2"/>
          </rPr>
          <t xml:space="preserve">
</t>
        </r>
        <r>
          <rPr>
            <sz val="9"/>
            <color rgb="FF000000"/>
            <rFont val="Tahoma"/>
            <family val="2"/>
          </rPr>
          <t xml:space="preserve">Henvendelse til Gjensidige, IF Skadeforsikring. Forutsetninger om årlig kjørelengde oppgitt, kjøretøytype. Tilbudene man har mottatt fra forsikringsselskapene er basert på noe overdrevne forutsetninger for marginens skyld, for å ikke få et altfor mildt estimat. </t>
        </r>
      </text>
    </comment>
    <comment ref="B16" authorId="2" shapeId="0">
      <text>
        <r>
          <rPr>
            <b/>
            <sz val="9"/>
            <color rgb="FF000000"/>
            <rFont val="Tahoma"/>
            <family val="2"/>
          </rPr>
          <t>Kareemi, Seirwan:</t>
        </r>
        <r>
          <rPr>
            <sz val="9"/>
            <color rgb="FF000000"/>
            <rFont val="Tahoma"/>
            <family val="2"/>
          </rPr>
          <t xml:space="preserve">
</t>
        </r>
        <r>
          <rPr>
            <sz val="9"/>
            <color rgb="FF000000"/>
            <rFont val="Tahoma"/>
            <family val="2"/>
          </rPr>
          <t xml:space="preserve">S. 100 i moderne transportlogistikk:
</t>
        </r>
        <r>
          <rPr>
            <sz val="9"/>
            <color rgb="FF000000"/>
            <rFont val="Tahoma"/>
            <family val="2"/>
          </rPr>
          <t>Investering + (((restverdi)/2)* rente)</t>
        </r>
      </text>
    </comment>
    <comment ref="B17" authorId="2" shapeId="0">
      <text>
        <r>
          <rPr>
            <b/>
            <sz val="9"/>
            <color rgb="FF000000"/>
            <rFont val="Tahoma"/>
            <family val="2"/>
          </rPr>
          <t>Kareemi, Seirwan:</t>
        </r>
        <r>
          <rPr>
            <sz val="9"/>
            <color rgb="FF000000"/>
            <rFont val="Tahoma"/>
            <family val="2"/>
          </rPr>
          <t xml:space="preserve">
</t>
        </r>
        <r>
          <rPr>
            <sz val="9"/>
            <color rgb="FF000000"/>
            <rFont val="Tahoma"/>
            <family val="2"/>
          </rPr>
          <t xml:space="preserve">- Bomavgifter
</t>
        </r>
        <r>
          <rPr>
            <sz val="9"/>
            <color rgb="FF000000"/>
            <rFont val="Tahoma"/>
            <family val="2"/>
          </rPr>
          <t xml:space="preserve">- Vektårsavgift
</t>
        </r>
        <r>
          <rPr>
            <sz val="9"/>
            <color rgb="FF000000"/>
            <rFont val="Tahoma"/>
            <family val="2"/>
          </rPr>
          <t xml:space="preserve">- Miljødifferensiert årsavgift for dieseldrevne lastebiler
</t>
        </r>
        <r>
          <rPr>
            <sz val="9"/>
            <color rgb="FF000000"/>
            <rFont val="Tahoma"/>
            <family val="2"/>
          </rPr>
          <t>- Etableringsgebyr på lån</t>
        </r>
      </text>
    </comment>
    <comment ref="B22" authorId="2" shapeId="0">
      <text>
        <r>
          <rPr>
            <b/>
            <sz val="9"/>
            <color rgb="FF000000"/>
            <rFont val="Tahoma"/>
            <family val="2"/>
          </rPr>
          <t>Kareemi, Seirwan:</t>
        </r>
        <r>
          <rPr>
            <sz val="9"/>
            <color rgb="FF000000"/>
            <rFont val="Tahoma"/>
            <family val="2"/>
          </rPr>
          <t xml:space="preserve">
</t>
        </r>
        <r>
          <rPr>
            <sz val="9"/>
            <color rgb="FF000000"/>
            <rFont val="Tahoma"/>
            <family val="2"/>
          </rPr>
          <t xml:space="preserve">Hentet fra Global Petrol Prices, se arket "Dieselpriser, variable".
</t>
        </r>
      </text>
    </comment>
    <comment ref="B23" authorId="0" shapeId="0">
      <text>
        <r>
          <rPr>
            <b/>
            <sz val="10"/>
            <color rgb="FF000000"/>
            <rFont val="Tahoma"/>
            <family val="2"/>
          </rPr>
          <t>Seirwan Kareemi:</t>
        </r>
        <r>
          <rPr>
            <sz val="10"/>
            <color rgb="FF000000"/>
            <rFont val="Tahoma"/>
            <family val="2"/>
          </rPr>
          <t xml:space="preserve">
</t>
        </r>
        <r>
          <rPr>
            <sz val="10"/>
            <color rgb="FF000000"/>
            <rFont val="Tahoma"/>
            <family val="2"/>
          </rPr>
          <t>Informasjon meddelt av driftsansvarlig i Hadeland Maskinanlegg over e-post.</t>
        </r>
      </text>
    </comment>
    <comment ref="B24" authorId="0" shapeId="0">
      <text>
        <r>
          <rPr>
            <b/>
            <sz val="10"/>
            <color rgb="FF000000"/>
            <rFont val="Tahoma"/>
            <family val="2"/>
          </rPr>
          <t>Seirwan Kareemi:</t>
        </r>
        <r>
          <rPr>
            <sz val="10"/>
            <color rgb="FF000000"/>
            <rFont val="Tahoma"/>
            <family val="2"/>
          </rPr>
          <t xml:space="preserve">
</t>
        </r>
        <r>
          <rPr>
            <sz val="10"/>
            <color rgb="FF000000"/>
            <rFont val="Tahoma"/>
            <family val="2"/>
          </rPr>
          <t>Dieselkostnadene per kilometer er likt for alle strekninger - ville vært interessant å vite hvordan dette samsvarer med den faktiske dieselkostnaden dersom man tar hensyn til hvordan trafikkbildet ville påvirket tallet.</t>
        </r>
      </text>
    </comment>
    <comment ref="B31" authorId="0" shapeId="0">
      <text>
        <r>
          <rPr>
            <b/>
            <sz val="10"/>
            <color rgb="FF000000"/>
            <rFont val="Tahoma"/>
            <family val="2"/>
          </rPr>
          <t>Seirwan Kareemi:</t>
        </r>
        <r>
          <rPr>
            <sz val="10"/>
            <color rgb="FF000000"/>
            <rFont val="Tahoma"/>
            <family val="2"/>
          </rPr>
          <t xml:space="preserve">
</t>
        </r>
        <r>
          <rPr>
            <sz val="10"/>
            <color rgb="FF000000"/>
            <rFont val="Tahoma"/>
            <family val="2"/>
          </rPr>
          <t>Avstand for én vei hentet fra Google Maps, multiplisert med to for begge veier. Der avstanden varierer for tur og retur så er gjennomsnittet brukt.</t>
        </r>
      </text>
    </comment>
    <comment ref="B34"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Kontroll (se word)
</t>
        </r>
      </text>
    </comment>
    <comment ref="K36" authorId="2" shapeId="0">
      <text>
        <r>
          <rPr>
            <b/>
            <sz val="9"/>
            <color rgb="FF000000"/>
            <rFont val="Tahoma"/>
            <family val="2"/>
          </rPr>
          <t>Kareemi, Seirwan:</t>
        </r>
        <r>
          <rPr>
            <sz val="9"/>
            <color rgb="FF000000"/>
            <rFont val="Tahoma"/>
            <family val="2"/>
          </rPr>
          <t xml:space="preserve">
</t>
        </r>
        <r>
          <rPr>
            <sz val="9"/>
            <color rgb="FF000000"/>
            <rFont val="Tahoma"/>
            <family val="2"/>
          </rPr>
          <t xml:space="preserve">For samtlige utregninger er Oslo Havn startpunkt. </t>
        </r>
      </text>
    </comment>
    <comment ref="M36" authorId="0" shapeId="0">
      <text>
        <r>
          <rPr>
            <b/>
            <sz val="10"/>
            <color rgb="FF000000"/>
            <rFont val="Tahoma"/>
            <family val="2"/>
          </rPr>
          <t>Seirwan Kareemi:</t>
        </r>
        <r>
          <rPr>
            <sz val="10"/>
            <color rgb="FF000000"/>
            <rFont val="Tahoma"/>
            <family val="2"/>
          </rPr>
          <t xml:space="preserve">
</t>
        </r>
        <r>
          <rPr>
            <sz val="10"/>
            <color rgb="FF000000"/>
            <rFont val="Tahoma"/>
            <family val="2"/>
          </rPr>
          <t>Begge veier</t>
        </r>
      </text>
    </comment>
    <comment ref="B40"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Fjernet OPG anlegg fra bransjesammenligning pga ekstremverdi
</t>
        </r>
      </text>
    </comment>
    <comment ref="B41"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Hentet fra arket "Lønn, gjennomsnitt", forholdsvis lav overtidsberegning men med hensikt om å balansere ut den vanlige timelønnen som er beregnet med overtid. </t>
        </r>
      </text>
    </comment>
    <comment ref="B53" authorId="0" shapeId="0">
      <text>
        <r>
          <rPr>
            <b/>
            <sz val="10"/>
            <color rgb="FF000000"/>
            <rFont val="Tahoma"/>
            <family val="2"/>
          </rPr>
          <t>Seirwan Kareemi:</t>
        </r>
        <r>
          <rPr>
            <sz val="10"/>
            <color rgb="FF000000"/>
            <rFont val="Tahoma"/>
            <family val="2"/>
          </rPr>
          <t xml:space="preserve">
</t>
        </r>
        <r>
          <rPr>
            <sz val="10"/>
            <color rgb="FF000000"/>
            <rFont val="Tahoma"/>
            <family val="2"/>
          </rPr>
          <t>Bruker en fortjenestemargin på fire prosent.</t>
        </r>
      </text>
    </comment>
    <comment ref="B58" authorId="2" shapeId="0">
      <text>
        <r>
          <rPr>
            <b/>
            <sz val="9"/>
            <color rgb="FF000000"/>
            <rFont val="Tahoma"/>
            <family val="2"/>
          </rPr>
          <t>Kareemi, Seirwan:</t>
        </r>
        <r>
          <rPr>
            <sz val="9"/>
            <color rgb="FF000000"/>
            <rFont val="Tahoma"/>
            <family val="2"/>
          </rPr>
          <t xml:space="preserve">
</t>
        </r>
        <r>
          <rPr>
            <sz val="9"/>
            <color rgb="FF000000"/>
            <rFont val="Tahoma"/>
            <family val="2"/>
          </rPr>
          <t>Produktet av godsmengde og transportavstand. Eksempel: En lastebil som transporterer 2 tonn gods i 10 kilometer har utført et godstransportarbeid på 2 x 10 = 20 tonnkilometer.</t>
        </r>
      </text>
    </comment>
    <comment ref="K61" authorId="2" shapeId="0">
      <text>
        <r>
          <rPr>
            <b/>
            <sz val="9"/>
            <color rgb="FF000000"/>
            <rFont val="Tahoma"/>
            <family val="2"/>
          </rPr>
          <t>Kareemi, Seirwan:</t>
        </r>
        <r>
          <rPr>
            <sz val="9"/>
            <color rgb="FF000000"/>
            <rFont val="Tahoma"/>
            <family val="2"/>
          </rPr>
          <t xml:space="preserve">
</t>
        </r>
        <r>
          <rPr>
            <sz val="9"/>
            <color rgb="FF000000"/>
            <rFont val="Tahoma"/>
            <family val="2"/>
          </rPr>
          <t>Hvor mange biler trengs for å gjøre arbeidet i løpet av sesongen, innenfor rimelig tid?</t>
        </r>
      </text>
    </comment>
    <comment ref="B66" authorId="2" shapeId="0">
      <text>
        <r>
          <rPr>
            <b/>
            <sz val="9"/>
            <color rgb="FF000000"/>
            <rFont val="Tahoma"/>
            <family val="2"/>
          </rPr>
          <t>Kareemi, Seirwan:</t>
        </r>
        <r>
          <rPr>
            <sz val="9"/>
            <color rgb="FF000000"/>
            <rFont val="Tahoma"/>
            <family val="2"/>
          </rPr>
          <t xml:space="preserve">
</t>
        </r>
        <r>
          <rPr>
            <sz val="9"/>
            <color rgb="FF000000"/>
            <rFont val="Tahoma"/>
            <family val="2"/>
          </rPr>
          <t xml:space="preserve">Med forutsetning om 30 tonn ved hver transport
</t>
        </r>
      </text>
    </comment>
    <comment ref="P71" authorId="0" shapeId="0">
      <text>
        <r>
          <rPr>
            <b/>
            <sz val="10"/>
            <color rgb="FF000000"/>
            <rFont val="Tahoma"/>
            <family val="2"/>
          </rPr>
          <t>Seirwan Kareemi:</t>
        </r>
        <r>
          <rPr>
            <sz val="10"/>
            <color rgb="FF000000"/>
            <rFont val="Tahoma"/>
            <family val="2"/>
          </rPr>
          <t xml:space="preserve">
</t>
        </r>
        <r>
          <rPr>
            <sz val="10"/>
            <color rgb="FF000000"/>
            <rFont val="Tahoma"/>
            <family val="2"/>
          </rPr>
          <t>Målt i kilogram CO2/tonnkilometer</t>
        </r>
      </text>
    </comment>
  </commentList>
</comments>
</file>

<file path=xl/comments2.xml><?xml version="1.0" encoding="utf-8"?>
<comments xmlns="http://schemas.openxmlformats.org/spreadsheetml/2006/main">
  <authors>
    <author>Student</author>
    <author>Kareemi, Seirwan</author>
    <author>Seirwan Kareemi</author>
  </authors>
  <commentList>
    <comment ref="B6" authorId="0" shapeId="0">
      <text>
        <r>
          <rPr>
            <b/>
            <sz val="9"/>
            <color rgb="FF000000"/>
            <rFont val="Tahoma"/>
            <family val="2"/>
          </rPr>
          <t>Student:</t>
        </r>
        <r>
          <rPr>
            <sz val="9"/>
            <color rgb="FF000000"/>
            <rFont val="Tahoma"/>
            <family val="2"/>
          </rPr>
          <t xml:space="preserve">
</t>
        </r>
        <r>
          <rPr>
            <sz val="9"/>
            <color rgb="FF000000"/>
            <rFont val="Tahoma"/>
            <family val="2"/>
          </rPr>
          <t xml:space="preserve">Fra SSB: gjennomsnittlig lønn for ledere innen logistikk, fordelt på de fire bilene. </t>
        </r>
      </text>
    </comment>
    <comment ref="B7" authorId="1" shapeId="0">
      <text>
        <r>
          <rPr>
            <b/>
            <sz val="9"/>
            <color rgb="FF000000"/>
            <rFont val="Tahoma"/>
            <family val="2"/>
          </rPr>
          <t>Kareemi, Seirwan:</t>
        </r>
        <r>
          <rPr>
            <sz val="9"/>
            <color rgb="FF000000"/>
            <rFont val="Tahoma"/>
            <family val="2"/>
          </rPr>
          <t xml:space="preserve">
For elektriske kjøretøy, er sannsynligvis svært uforutsigbart.
</t>
        </r>
      </text>
    </comment>
    <comment ref="B8"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Henvendelse til Gjensidige, IF Skadeforsikring. Forutsetninger om årlig kjørelengde oppgitt, kjøretøytype. Tilbudene man har mottatt fra forsikringsselskapene er basert på noe overdrevne forutsetninger for marginens skyld, for å ikke få et altfor mildt estimat. </t>
        </r>
      </text>
    </comment>
    <comment ref="L8" authorId="2" shapeId="0">
      <text>
        <r>
          <rPr>
            <b/>
            <sz val="9"/>
            <color rgb="FF000000"/>
            <rFont val="Tahoma"/>
            <family val="2"/>
          </rPr>
          <t>Seirwan Kareemi:</t>
        </r>
        <r>
          <rPr>
            <sz val="9"/>
            <color rgb="FF000000"/>
            <rFont val="Tahoma"/>
            <family val="2"/>
          </rPr>
          <t xml:space="preserve">
</t>
        </r>
        <r>
          <rPr>
            <sz val="9"/>
            <color rgb="FF000000"/>
            <rFont val="Tahoma"/>
            <family val="2"/>
          </rPr>
          <t xml:space="preserve">Tur-retur
</t>
        </r>
      </text>
    </comment>
    <comment ref="B9"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S. 100 i moderne transportlogistikk:
</t>
        </r>
        <r>
          <rPr>
            <sz val="9"/>
            <color rgb="FF000000"/>
            <rFont val="Tahoma"/>
            <family val="2"/>
          </rPr>
          <t>Investering + (((restverdi)/2)* rente)</t>
        </r>
      </text>
    </comment>
    <comment ref="B10"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 Bare tatt med vrakpantavgfit, har utelukket vektårsavgift (m. miljødifferensiert) og bomavgifter, antar gratispassering for nullutslipp
</t>
        </r>
      </text>
    </comment>
    <comment ref="B15" authorId="1" shapeId="0">
      <text>
        <r>
          <rPr>
            <b/>
            <sz val="9"/>
            <color rgb="FF000000"/>
            <rFont val="Tahoma"/>
            <family val="2"/>
          </rPr>
          <t>Kareemi, Seirwan:</t>
        </r>
        <r>
          <rPr>
            <sz val="9"/>
            <color rgb="FF000000"/>
            <rFont val="Tahoma"/>
            <family val="2"/>
          </rPr>
          <t xml:space="preserve">
</t>
        </r>
        <r>
          <rPr>
            <sz val="9"/>
            <color rgb="FF000000"/>
            <rFont val="Tahoma"/>
            <family val="2"/>
          </rPr>
          <t>Baseres på elektrisitetspriser, statistikk fra SSB. Benyttet tallet for næringsvirksomhet.</t>
        </r>
      </text>
    </comment>
    <comment ref="B16" authorId="2" shapeId="0">
      <text>
        <r>
          <rPr>
            <b/>
            <sz val="9"/>
            <color indexed="81"/>
            <rFont val="Tahoma"/>
            <family val="2"/>
          </rPr>
          <t>Seirwan Kareemi:</t>
        </r>
        <r>
          <rPr>
            <sz val="9"/>
            <color indexed="81"/>
            <rFont val="Tahoma"/>
            <family val="2"/>
          </rPr>
          <t xml:space="preserve">
Hentet fra Tesla-brosjyre for Semi, se vedlegg.
"Energy Consumption less than 2 kWh per mile"</t>
        </r>
      </text>
    </comment>
    <comment ref="B18" authorId="2" shapeId="0">
      <text>
        <r>
          <rPr>
            <b/>
            <sz val="9"/>
            <color rgb="FF000000"/>
            <rFont val="Tahoma"/>
            <family val="2"/>
          </rPr>
          <t>Seirwan Kareemi:</t>
        </r>
        <r>
          <rPr>
            <sz val="9"/>
            <color rgb="FF000000"/>
            <rFont val="Tahoma"/>
            <family val="2"/>
          </rPr>
          <t xml:space="preserve">
</t>
        </r>
        <r>
          <rPr>
            <sz val="9"/>
            <color rgb="FF000000"/>
            <rFont val="Tahoma"/>
            <family val="2"/>
          </rPr>
          <t>Baseres på samme forutsetninger, til tross for at man ikke utelukker at elektriske kjøretøy har mindre servicebehov enn fossildrevne slik det er med elektriske biler kontra fossildrevne.</t>
        </r>
      </text>
    </comment>
    <comment ref="O19" authorId="2" shapeId="0">
      <text>
        <r>
          <rPr>
            <b/>
            <sz val="9"/>
            <color rgb="FF000000"/>
            <rFont val="Tahoma"/>
            <family val="2"/>
          </rPr>
          <t>Seirwan Kareemi:</t>
        </r>
        <r>
          <rPr>
            <sz val="9"/>
            <color rgb="FF000000"/>
            <rFont val="Tahoma"/>
            <family val="2"/>
          </rPr>
          <t xml:space="preserve">
</t>
        </r>
        <r>
          <rPr>
            <sz val="9"/>
            <color rgb="FF000000"/>
            <rFont val="Tahoma"/>
            <family val="2"/>
          </rPr>
          <t>Oppdraget er målt i årssammenheng for å fordele aktiviteten jevnt på året</t>
        </r>
      </text>
    </comment>
    <comment ref="C22" authorId="2" shapeId="0">
      <text>
        <r>
          <rPr>
            <b/>
            <sz val="9"/>
            <color rgb="FF000000"/>
            <rFont val="Tahoma"/>
            <family val="2"/>
          </rPr>
          <t>Seirwan Kareemi:</t>
        </r>
        <r>
          <rPr>
            <sz val="9"/>
            <color rgb="FF000000"/>
            <rFont val="Tahoma"/>
            <family val="2"/>
          </rPr>
          <t xml:space="preserve">
</t>
        </r>
        <r>
          <rPr>
            <sz val="9"/>
            <color rgb="FF000000"/>
            <rFont val="Tahoma"/>
            <family val="2"/>
          </rPr>
          <t>Storgata, ref. ark "Trafikkdata alt. 1"</t>
        </r>
      </text>
    </comment>
    <comment ref="D22" authorId="2" shapeId="0">
      <text>
        <r>
          <rPr>
            <b/>
            <sz val="9"/>
            <color indexed="81"/>
            <rFont val="Tahoma"/>
            <family val="2"/>
          </rPr>
          <t>Seirwan Kareemi:</t>
        </r>
        <r>
          <rPr>
            <sz val="9"/>
            <color indexed="81"/>
            <rFont val="Tahoma"/>
            <family val="2"/>
          </rPr>
          <t xml:space="preserve">
Nationaltheatret
</t>
        </r>
      </text>
    </comment>
    <comment ref="E22" authorId="2" shapeId="0">
      <text>
        <r>
          <rPr>
            <b/>
            <sz val="9"/>
            <color indexed="81"/>
            <rFont val="Tahoma"/>
            <family val="2"/>
          </rPr>
          <t>Seirwan Kareemi:</t>
        </r>
        <r>
          <rPr>
            <sz val="9"/>
            <color indexed="81"/>
            <rFont val="Tahoma"/>
            <family val="2"/>
          </rPr>
          <t xml:space="preserve">
Holmens gate 5
</t>
        </r>
      </text>
    </comment>
    <comment ref="F22" authorId="2" shapeId="0">
      <text>
        <r>
          <rPr>
            <b/>
            <sz val="9"/>
            <color rgb="FF000000"/>
            <rFont val="Tahoma"/>
            <family val="2"/>
          </rPr>
          <t>Seirwan Kareemi:</t>
        </r>
        <r>
          <rPr>
            <sz val="9"/>
            <color rgb="FF000000"/>
            <rFont val="Tahoma"/>
            <family val="2"/>
          </rPr>
          <t xml:space="preserve">
</t>
        </r>
        <r>
          <rPr>
            <sz val="9"/>
            <color rgb="FF000000"/>
            <rFont val="Tahoma"/>
            <family val="2"/>
          </rPr>
          <t xml:space="preserve">Uranienborgveien 13
</t>
        </r>
      </text>
    </comment>
    <comment ref="G22" authorId="2" shapeId="0">
      <text>
        <r>
          <rPr>
            <b/>
            <sz val="9"/>
            <color indexed="81"/>
            <rFont val="Tahoma"/>
            <family val="2"/>
          </rPr>
          <t>Seirwan Kareemi:</t>
        </r>
        <r>
          <rPr>
            <sz val="9"/>
            <color indexed="81"/>
            <rFont val="Tahoma"/>
            <family val="2"/>
          </rPr>
          <t xml:space="preserve">
Sannergata 12</t>
        </r>
      </text>
    </comment>
    <comment ref="H22" authorId="2" shapeId="0">
      <text>
        <r>
          <rPr>
            <b/>
            <sz val="9"/>
            <color indexed="81"/>
            <rFont val="Tahoma"/>
            <family val="2"/>
          </rPr>
          <t>Seirwan Kareemi:</t>
        </r>
        <r>
          <rPr>
            <sz val="9"/>
            <color indexed="81"/>
            <rFont val="Tahoma"/>
            <family val="2"/>
          </rPr>
          <t xml:space="preserve">
Normørgata 14</t>
        </r>
      </text>
    </comment>
    <comment ref="I22" authorId="2" shapeId="0">
      <text>
        <r>
          <rPr>
            <b/>
            <sz val="9"/>
            <color indexed="81"/>
            <rFont val="Tahoma"/>
            <family val="2"/>
          </rPr>
          <t>Seirwan Kareemi:</t>
        </r>
        <r>
          <rPr>
            <sz val="9"/>
            <color indexed="81"/>
            <rFont val="Tahoma"/>
            <family val="2"/>
          </rPr>
          <t xml:space="preserve">
Louises gate 15</t>
        </r>
      </text>
    </comment>
    <comment ref="J22" authorId="2" shapeId="0">
      <text>
        <r>
          <rPr>
            <b/>
            <sz val="9"/>
            <color indexed="81"/>
            <rFont val="Tahoma"/>
            <family val="2"/>
          </rPr>
          <t>Seirwan Kareemi:</t>
        </r>
        <r>
          <rPr>
            <sz val="9"/>
            <color indexed="81"/>
            <rFont val="Tahoma"/>
            <family val="2"/>
          </rPr>
          <t xml:space="preserve">
Sandakerveien 16</t>
        </r>
      </text>
    </comment>
    <comment ref="B24" authorId="2" shapeId="0">
      <text>
        <r>
          <rPr>
            <b/>
            <sz val="10"/>
            <color rgb="FF000000"/>
            <rFont val="Tahoma"/>
            <family val="2"/>
          </rPr>
          <t>Seirwan Kareemi:</t>
        </r>
        <r>
          <rPr>
            <sz val="10"/>
            <color rgb="FF000000"/>
            <rFont val="Tahoma"/>
            <family val="2"/>
          </rPr>
          <t xml:space="preserve">
</t>
        </r>
        <r>
          <rPr>
            <sz val="10"/>
            <color rgb="FF000000"/>
            <rFont val="Tahoma"/>
            <family val="2"/>
          </rPr>
          <t>Avstand for én vei hentet fra Google Maps, multiplisert med to for begge veier. Der avstanden varierer for tur og retur så er gjennomsnittet brukt.</t>
        </r>
      </text>
    </comment>
    <comment ref="O24"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Brukt optimistiske estimater, ekskludert tider med trafikk
</t>
        </r>
      </text>
    </comment>
    <comment ref="P24" authorId="2" shapeId="0">
      <text>
        <r>
          <rPr>
            <b/>
            <sz val="10"/>
            <color rgb="FF000000"/>
            <rFont val="Tahoma"/>
            <family val="2"/>
          </rPr>
          <t>Seirwan Kareemi:</t>
        </r>
        <r>
          <rPr>
            <sz val="10"/>
            <color rgb="FF000000"/>
            <rFont val="Tahoma"/>
            <family val="2"/>
          </rPr>
          <t xml:space="preserve">
</t>
        </r>
        <r>
          <rPr>
            <sz val="10"/>
            <color rgb="FF000000"/>
            <rFont val="Tahoma"/>
            <family val="2"/>
          </rPr>
          <t>Brukt pessimistiske estimater</t>
        </r>
      </text>
    </comment>
    <comment ref="M25" authorId="2" shapeId="0">
      <text>
        <r>
          <rPr>
            <b/>
            <sz val="10"/>
            <color rgb="FF000000"/>
            <rFont val="Tahoma"/>
            <family val="2"/>
          </rPr>
          <t>Seirwan Kareemi:</t>
        </r>
        <r>
          <rPr>
            <sz val="10"/>
            <color rgb="FF000000"/>
            <rFont val="Tahoma"/>
            <family val="2"/>
          </rPr>
          <t xml:space="preserve">
</t>
        </r>
        <r>
          <rPr>
            <sz val="10"/>
            <color rgb="FF000000"/>
            <rFont val="Tahoma"/>
            <family val="2"/>
          </rPr>
          <t>Via Skippergata</t>
        </r>
      </text>
    </comment>
    <comment ref="B26" authorId="0" shapeId="0">
      <text>
        <r>
          <rPr>
            <b/>
            <sz val="9"/>
            <color rgb="FF000000"/>
            <rFont val="Tahoma"/>
            <family val="2"/>
          </rPr>
          <t>Student:</t>
        </r>
        <r>
          <rPr>
            <sz val="9"/>
            <color rgb="FF000000"/>
            <rFont val="Tahoma"/>
            <family val="2"/>
          </rPr>
          <t xml:space="preserve">
</t>
        </r>
        <r>
          <rPr>
            <sz val="9"/>
            <color rgb="FF000000"/>
            <rFont val="Tahoma"/>
            <family val="2"/>
          </rPr>
          <t>Har i alternativ 1 benyttet den samme lastetiden, til tross for at man laster på halve halve mengden. Er for å ta begge lasteprosessene (både ved terminal og prosjektplass) i betraktning.</t>
        </r>
      </text>
    </comment>
    <comment ref="M26"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Via Tollbugata
</t>
        </r>
      </text>
    </comment>
    <comment ref="B27"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Kontroll (se word)
</t>
        </r>
      </text>
    </comment>
    <comment ref="M27"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Via E18
</t>
        </r>
      </text>
    </comment>
    <comment ref="M28" authorId="2" shapeId="0">
      <text>
        <r>
          <rPr>
            <b/>
            <sz val="10"/>
            <color rgb="FF000000"/>
            <rFont val="Tahoma"/>
            <family val="2"/>
          </rPr>
          <t>Seirwan Kareemi:</t>
        </r>
        <r>
          <rPr>
            <sz val="10"/>
            <color rgb="FF000000"/>
            <rFont val="Tahoma"/>
            <family val="2"/>
          </rPr>
          <t xml:space="preserve">
</t>
        </r>
        <r>
          <rPr>
            <sz val="10"/>
            <color rgb="FF000000"/>
            <rFont val="Tahoma"/>
            <family val="2"/>
          </rPr>
          <t>Via E18</t>
        </r>
      </text>
    </comment>
    <comment ref="M29"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Via Toftes Gate
</t>
        </r>
      </text>
    </comment>
    <comment ref="M30"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Via Toftes Gate
</t>
        </r>
      </text>
    </comment>
    <comment ref="M31" authorId="2" shapeId="0">
      <text>
        <r>
          <rPr>
            <b/>
            <sz val="10"/>
            <color rgb="FF000000"/>
            <rFont val="Tahoma"/>
            <family val="2"/>
          </rPr>
          <t>Seirwan Kareemi:</t>
        </r>
        <r>
          <rPr>
            <sz val="10"/>
            <color rgb="FF000000"/>
            <rFont val="Tahoma"/>
            <family val="2"/>
          </rPr>
          <t xml:space="preserve">
</t>
        </r>
        <r>
          <rPr>
            <sz val="10"/>
            <color rgb="FF000000"/>
            <rFont val="Tahoma"/>
            <family val="2"/>
          </rPr>
          <t>Via Rv162</t>
        </r>
      </text>
    </comment>
    <comment ref="M32" authorId="2" shapeId="0">
      <text>
        <r>
          <rPr>
            <b/>
            <sz val="10"/>
            <color rgb="FF000000"/>
            <rFont val="Tahoma"/>
            <family val="2"/>
          </rPr>
          <t>Seirwan Kareemi:</t>
        </r>
        <r>
          <rPr>
            <sz val="10"/>
            <color rgb="FF000000"/>
            <rFont val="Tahoma"/>
            <family val="2"/>
          </rPr>
          <t xml:space="preserve">
</t>
        </r>
        <r>
          <rPr>
            <sz val="10"/>
            <color rgb="FF000000"/>
            <rFont val="Tahoma"/>
            <family val="2"/>
          </rPr>
          <t>Via Fv4</t>
        </r>
      </text>
    </comment>
    <comment ref="B33"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Fjernet OPG anlegg fra bransjesammenligning pga ekstremverdi
</t>
        </r>
      </text>
    </comment>
    <comment ref="B34"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Hentet fra arket "Lønn, gjennomsnitt", forholdsvis lav overtidsberegning men med hensikt om å balansere ut den vanlige timelønnen som er beregnet med overtid. </t>
        </r>
      </text>
    </comment>
    <comment ref="B46" authorId="2" shapeId="0">
      <text>
        <r>
          <rPr>
            <b/>
            <sz val="10"/>
            <color rgb="FF000000"/>
            <rFont val="Tahoma"/>
            <family val="2"/>
          </rPr>
          <t>Seirwan Kareemi:</t>
        </r>
        <r>
          <rPr>
            <sz val="10"/>
            <color rgb="FF000000"/>
            <rFont val="Tahoma"/>
            <family val="2"/>
          </rPr>
          <t xml:space="preserve">
</t>
        </r>
        <r>
          <rPr>
            <sz val="10"/>
            <color rgb="FF000000"/>
            <rFont val="Tahoma"/>
            <family val="2"/>
          </rPr>
          <t>Bruker en fortjenestemargin på fire prosent.</t>
        </r>
      </text>
    </comment>
    <comment ref="B51" authorId="1" shapeId="0">
      <text>
        <r>
          <rPr>
            <b/>
            <sz val="9"/>
            <color rgb="FF000000"/>
            <rFont val="Tahoma"/>
            <family val="2"/>
          </rPr>
          <t>Kareemi, Seirwan:</t>
        </r>
        <r>
          <rPr>
            <sz val="9"/>
            <color rgb="FF000000"/>
            <rFont val="Tahoma"/>
            <family val="2"/>
          </rPr>
          <t xml:space="preserve">
</t>
        </r>
        <r>
          <rPr>
            <sz val="9"/>
            <color rgb="FF000000"/>
            <rFont val="Tahoma"/>
            <family val="2"/>
          </rPr>
          <t>Produktet av godsmengde og transportavstand. Eksempel: En lastebil som transporterer 2 tonn gods i 10 kilometer har utført et godstransportarbeid på 2 x 10 = 20 tonnkilometer.</t>
        </r>
      </text>
    </comment>
    <comment ref="B67"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Bortimot 20 prosent av dette er sosiale utgifter.
</t>
        </r>
      </text>
    </comment>
    <comment ref="B72" authorId="0" shapeId="0">
      <text>
        <r>
          <rPr>
            <b/>
            <sz val="9"/>
            <color rgb="FF000000"/>
            <rFont val="Tahoma"/>
            <family val="2"/>
          </rPr>
          <t>Student:</t>
        </r>
        <r>
          <rPr>
            <sz val="9"/>
            <color rgb="FF000000"/>
            <rFont val="Tahoma"/>
            <family val="2"/>
          </rPr>
          <t xml:space="preserve">
</t>
        </r>
        <r>
          <rPr>
            <sz val="9"/>
            <color rgb="FF000000"/>
            <rFont val="Tahoma"/>
            <family val="2"/>
          </rPr>
          <t xml:space="preserve">Fra SSB: gjennomsnittlig lønn for ledere innen logistikk, fordelt på de fire bilene. </t>
        </r>
      </text>
    </comment>
    <comment ref="B74"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Henvendelse til Gjensidige, IF Skadeforsikring. Forutsetninger om årlig kjørelengde oppgitt, kjøretøytype. Tilbudene man har mottatt fra forsikringsselskapene er basert på noe overdrevne forutsetninger for marginens skyld, for å ikke få et altfor mildt estimat. </t>
        </r>
      </text>
    </comment>
    <comment ref="B75"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S. 100 i moderne transportlogistikk:
</t>
        </r>
        <r>
          <rPr>
            <sz val="9"/>
            <color rgb="FF000000"/>
            <rFont val="Tahoma"/>
            <family val="2"/>
          </rPr>
          <t>Investering + (((restverdi)/2)* rente)</t>
        </r>
      </text>
    </comment>
    <comment ref="B76"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 Bomavgifter
</t>
        </r>
        <r>
          <rPr>
            <sz val="9"/>
            <color rgb="FF000000"/>
            <rFont val="Tahoma"/>
            <family val="2"/>
          </rPr>
          <t xml:space="preserve">- Vektårsavgift
</t>
        </r>
        <r>
          <rPr>
            <sz val="9"/>
            <color rgb="FF000000"/>
            <rFont val="Tahoma"/>
            <family val="2"/>
          </rPr>
          <t xml:space="preserve">- Miljødifferensiert årsavgift for dieseldrevne lastebiler
</t>
        </r>
        <r>
          <rPr>
            <sz val="9"/>
            <color rgb="FF000000"/>
            <rFont val="Tahoma"/>
            <family val="2"/>
          </rPr>
          <t>- Etableringsgebyr på lån</t>
        </r>
      </text>
    </comment>
    <comment ref="B81" authorId="1" shapeId="0">
      <text>
        <r>
          <rPr>
            <b/>
            <sz val="9"/>
            <color rgb="FF000000"/>
            <rFont val="Tahoma"/>
            <family val="2"/>
          </rPr>
          <t>Kareemi, Seirwan:</t>
        </r>
        <r>
          <rPr>
            <sz val="9"/>
            <color rgb="FF000000"/>
            <rFont val="Tahoma"/>
            <family val="2"/>
          </rPr>
          <t xml:space="preserve">
</t>
        </r>
        <r>
          <rPr>
            <sz val="9"/>
            <color rgb="FF000000"/>
            <rFont val="Tahoma"/>
            <family val="2"/>
          </rPr>
          <t xml:space="preserve">Hentet fra Global Petrol Prices, se arket "Dieselpriser, variable".
</t>
        </r>
      </text>
    </comment>
    <comment ref="B82" authorId="2" shapeId="0">
      <text>
        <r>
          <rPr>
            <b/>
            <sz val="10"/>
            <color rgb="FF000000"/>
            <rFont val="Tahoma"/>
            <family val="2"/>
          </rPr>
          <t>Seirwan Kareemi:</t>
        </r>
        <r>
          <rPr>
            <sz val="10"/>
            <color rgb="FF000000"/>
            <rFont val="Tahoma"/>
            <family val="2"/>
          </rPr>
          <t xml:space="preserve">
</t>
        </r>
        <r>
          <rPr>
            <sz val="10"/>
            <color rgb="FF000000"/>
            <rFont val="Tahoma"/>
            <family val="2"/>
          </rPr>
          <t>Informasjon meddelt av driftsansvarlig i Hadeland Maskinanlegg over e-post.</t>
        </r>
      </text>
    </comment>
    <comment ref="B83" authorId="2" shapeId="0">
      <text>
        <r>
          <rPr>
            <b/>
            <sz val="10"/>
            <color rgb="FF000000"/>
            <rFont val="Tahoma"/>
            <family val="2"/>
          </rPr>
          <t>Seirwan Kareemi:</t>
        </r>
        <r>
          <rPr>
            <sz val="10"/>
            <color rgb="FF000000"/>
            <rFont val="Tahoma"/>
            <family val="2"/>
          </rPr>
          <t xml:space="preserve">
</t>
        </r>
        <r>
          <rPr>
            <sz val="10"/>
            <color rgb="FF000000"/>
            <rFont val="Tahoma"/>
            <family val="2"/>
          </rPr>
          <t>Dieselkostnadene per kilometer er likt for alle strekninger - ville vært interessant å vite hvordan dette samsvarer med den faktiske dieselkostnaden dersom man tar hensyn til hvordan trafikkbildet ville påvirket tallet.</t>
        </r>
      </text>
    </comment>
    <comment ref="B90" authorId="2" shapeId="0">
      <text>
        <r>
          <rPr>
            <b/>
            <sz val="10"/>
            <color rgb="FF000000"/>
            <rFont val="Tahoma"/>
            <family val="2"/>
          </rPr>
          <t>Seirwan Kareemi:</t>
        </r>
        <r>
          <rPr>
            <sz val="10"/>
            <color rgb="FF000000"/>
            <rFont val="Tahoma"/>
            <family val="2"/>
          </rPr>
          <t xml:space="preserve">
</t>
        </r>
        <r>
          <rPr>
            <sz val="10"/>
            <color rgb="FF000000"/>
            <rFont val="Tahoma"/>
            <family val="2"/>
          </rPr>
          <t>Avstand for én vei hentet fra Google Maps, multiplisert med to for begge veier. Der avstanden varierer for tur og retur så er gjennomsnittet brukt.</t>
        </r>
      </text>
    </comment>
    <comment ref="B92" authorId="0" shapeId="0">
      <text>
        <r>
          <rPr>
            <b/>
            <sz val="9"/>
            <color rgb="FF000000"/>
            <rFont val="Tahoma"/>
            <family val="2"/>
          </rPr>
          <t>Student:</t>
        </r>
        <r>
          <rPr>
            <sz val="9"/>
            <color rgb="FF000000"/>
            <rFont val="Tahoma"/>
            <family val="2"/>
          </rPr>
          <t xml:space="preserve">
</t>
        </r>
        <r>
          <rPr>
            <sz val="9"/>
            <color rgb="FF000000"/>
            <rFont val="Tahoma"/>
            <family val="2"/>
          </rPr>
          <t>Lastes begge veier (30 tonn), 3 min per</t>
        </r>
      </text>
    </comment>
    <comment ref="B93"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Kontroll (se word)
</t>
        </r>
      </text>
    </comment>
    <comment ref="B99" authorId="2" shapeId="0">
      <text>
        <r>
          <rPr>
            <b/>
            <sz val="10"/>
            <color rgb="FF000000"/>
            <rFont val="Tahoma"/>
            <family val="2"/>
          </rPr>
          <t>Seirwan Kareemi:</t>
        </r>
        <r>
          <rPr>
            <sz val="10"/>
            <color rgb="FF000000"/>
            <rFont val="Tahoma"/>
            <family val="2"/>
          </rPr>
          <t xml:space="preserve">
</t>
        </r>
        <r>
          <rPr>
            <sz val="10"/>
            <color rgb="FF000000"/>
            <rFont val="Tahoma"/>
            <family val="2"/>
          </rPr>
          <t xml:space="preserve">Fjernet OPG anlegg fra bransjesammenligning pga ekstremverdi
</t>
        </r>
      </text>
    </comment>
    <comment ref="B112" authorId="2" shapeId="0">
      <text>
        <r>
          <rPr>
            <b/>
            <sz val="10"/>
            <color rgb="FF000000"/>
            <rFont val="Tahoma"/>
            <family val="2"/>
          </rPr>
          <t>Seirwan Kareemi:</t>
        </r>
        <r>
          <rPr>
            <sz val="10"/>
            <color rgb="FF000000"/>
            <rFont val="Tahoma"/>
            <family val="2"/>
          </rPr>
          <t xml:space="preserve">
</t>
        </r>
        <r>
          <rPr>
            <sz val="10"/>
            <color rgb="FF000000"/>
            <rFont val="Tahoma"/>
            <family val="2"/>
          </rPr>
          <t>Bruker en fortjenestemargin på fire prosent.</t>
        </r>
      </text>
    </comment>
    <comment ref="B117" authorId="1" shapeId="0">
      <text>
        <r>
          <rPr>
            <b/>
            <sz val="9"/>
            <color rgb="FF000000"/>
            <rFont val="Tahoma"/>
            <family val="2"/>
          </rPr>
          <t>Kareemi, Seirwan:</t>
        </r>
        <r>
          <rPr>
            <sz val="9"/>
            <color rgb="FF000000"/>
            <rFont val="Tahoma"/>
            <family val="2"/>
          </rPr>
          <t xml:space="preserve">
</t>
        </r>
        <r>
          <rPr>
            <sz val="9"/>
            <color rgb="FF000000"/>
            <rFont val="Tahoma"/>
            <family val="2"/>
          </rPr>
          <t>Produktet av godsmengde og transportavstand. Eksempel: En lastebil som transporterer 2 tonn gods i 10 kilometer har utført et godstransportarbeid på 2 x 10 = 20 tonnkilometer.</t>
        </r>
      </text>
    </comment>
    <comment ref="F124" authorId="2" shapeId="0">
      <text>
        <r>
          <rPr>
            <b/>
            <sz val="10"/>
            <color rgb="FF000000"/>
            <rFont val="Tahoma"/>
            <family val="2"/>
          </rPr>
          <t>Seirwan Kareemi:</t>
        </r>
        <r>
          <rPr>
            <sz val="10"/>
            <color rgb="FF000000"/>
            <rFont val="Tahoma"/>
            <family val="2"/>
          </rPr>
          <t xml:space="preserve">
</t>
        </r>
        <r>
          <rPr>
            <sz val="10"/>
            <color rgb="FF000000"/>
            <rFont val="Tahoma"/>
            <family val="2"/>
          </rPr>
          <t>OBS! Prosenten her er oppgitt i tomkjøringsgad, ikke utnyttelse.</t>
        </r>
      </text>
    </comment>
    <comment ref="B131" authorId="2" shapeId="0">
      <text>
        <r>
          <rPr>
            <b/>
            <sz val="10"/>
            <color rgb="FF000000"/>
            <rFont val="Tahoma"/>
            <family val="2"/>
          </rPr>
          <t>Seirwan Kareemi:</t>
        </r>
        <r>
          <rPr>
            <sz val="10"/>
            <color rgb="FF000000"/>
            <rFont val="Tahoma"/>
            <family val="2"/>
          </rPr>
          <t xml:space="preserve">
</t>
        </r>
        <r>
          <rPr>
            <sz val="10"/>
            <color rgb="FF000000"/>
            <rFont val="Tahoma"/>
            <family val="2"/>
          </rPr>
          <t>Se ark "CO2". Nyttelast 30 KG og tomkjøringsgrad 20%.</t>
        </r>
      </text>
    </comment>
    <comment ref="B135" authorId="2" shapeId="0">
      <text>
        <r>
          <rPr>
            <b/>
            <sz val="10"/>
            <color rgb="FF000000"/>
            <rFont val="Tahoma"/>
            <family val="2"/>
          </rPr>
          <t>Seirwan Kareemi:</t>
        </r>
        <r>
          <rPr>
            <sz val="10"/>
            <color rgb="FF000000"/>
            <rFont val="Tahoma"/>
            <family val="2"/>
          </rPr>
          <t xml:space="preserve">
</t>
        </r>
        <r>
          <rPr>
            <sz val="10"/>
            <color rgb="FF000000"/>
            <rFont val="Tahoma"/>
            <family val="2"/>
          </rPr>
          <t>Ingen CO2-utslipp fra transport i de korte strekningene.</t>
        </r>
      </text>
    </comment>
  </commentList>
</comments>
</file>

<file path=xl/comments3.xml><?xml version="1.0" encoding="utf-8"?>
<comments xmlns="http://schemas.openxmlformats.org/spreadsheetml/2006/main">
  <authors>
    <author>Seirwan Kareemi</author>
  </authors>
  <commentList>
    <comment ref="C4" authorId="0" shapeId="0">
      <text>
        <r>
          <rPr>
            <b/>
            <sz val="9"/>
            <color rgb="FF000000"/>
            <rFont val="Tahoma"/>
            <family val="2"/>
          </rPr>
          <t>Seirwan Kareemi:</t>
        </r>
        <r>
          <rPr>
            <sz val="9"/>
            <color rgb="FF000000"/>
            <rFont val="Tahoma"/>
            <family val="2"/>
          </rPr>
          <t xml:space="preserve">
</t>
        </r>
        <r>
          <rPr>
            <sz val="9"/>
            <color rgb="FF000000"/>
            <rFont val="Tahoma"/>
            <family val="2"/>
          </rPr>
          <t>ZS23707</t>
        </r>
      </text>
    </comment>
    <comment ref="K5" authorId="0" shapeId="0">
      <text>
        <r>
          <rPr>
            <b/>
            <sz val="10"/>
            <color rgb="FF000000"/>
            <rFont val="Tahoma"/>
            <family val="2"/>
          </rPr>
          <t>Seirwan Kareemi:</t>
        </r>
        <r>
          <rPr>
            <sz val="10"/>
            <color rgb="FF000000"/>
            <rFont val="Tahoma"/>
            <family val="2"/>
          </rPr>
          <t xml:space="preserve">
</t>
        </r>
        <r>
          <rPr>
            <sz val="10"/>
            <color rgb="FF000000"/>
            <rFont val="Tahoma"/>
            <family val="2"/>
          </rPr>
          <t>F.o.m. 2018 er byggelån inkludert i rammelån med pant i bolig og boliglån i alt.</t>
        </r>
      </text>
    </comment>
    <comment ref="B6" authorId="0" shapeId="0">
      <text>
        <r>
          <rPr>
            <b/>
            <sz val="10"/>
            <color rgb="FF000000"/>
            <rFont val="Tahoma"/>
            <family val="2"/>
          </rPr>
          <t>Seirwan Kareemi:</t>
        </r>
        <r>
          <rPr>
            <sz val="10"/>
            <color rgb="FF000000"/>
            <rFont val="Tahoma"/>
            <family val="2"/>
          </rPr>
          <t xml:space="preserve">
</t>
        </r>
        <r>
          <rPr>
            <sz val="10"/>
            <color rgb="FF000000"/>
            <rFont val="Calibri"/>
            <family val="2"/>
            <scheme val="minor"/>
          </rPr>
          <t xml:space="preserve">Ikke tatt hensyn til kompatibilitet med henger/lastebil, går ut fra at de passer. </t>
        </r>
      </text>
    </comment>
    <comment ref="B20" authorId="0" shapeId="0">
      <text>
        <r>
          <rPr>
            <b/>
            <sz val="9"/>
            <color rgb="FF000000"/>
            <rFont val="Tahoma"/>
            <family val="2"/>
          </rPr>
          <t>Seirwan Kareemi:</t>
        </r>
        <r>
          <rPr>
            <sz val="9"/>
            <color rgb="FF000000"/>
            <rFont val="Tahoma"/>
            <family val="2"/>
          </rPr>
          <t xml:space="preserve">
</t>
        </r>
        <r>
          <rPr>
            <sz val="9"/>
            <color rgb="FF000000"/>
            <rFont val="Tahoma"/>
            <family val="2"/>
          </rPr>
          <t>Oppdaget at det finnes veldig få biler med Euro 5-klassifisering i det norske bruktbilmarkedet, noe som  gir en indikasjon for at man heller ikke finner altfor mange av disse på norske veier innen massetransport.</t>
        </r>
      </text>
    </comment>
    <comment ref="B27" authorId="0" shapeId="0">
      <text>
        <r>
          <rPr>
            <b/>
            <sz val="9"/>
            <color indexed="81"/>
            <rFont val="Tahoma"/>
            <charset val="1"/>
          </rPr>
          <t>Seirwan Kareemi:</t>
        </r>
        <r>
          <rPr>
            <sz val="9"/>
            <color indexed="81"/>
            <rFont val="Tahoma"/>
            <charset val="1"/>
          </rPr>
          <t xml:space="preserve">
Faller under avgifts-posten</t>
        </r>
      </text>
    </comment>
    <comment ref="B33" authorId="0" shapeId="0">
      <text>
        <r>
          <rPr>
            <b/>
            <sz val="10"/>
            <color rgb="FF000000"/>
            <rFont val="Tahoma"/>
            <family val="2"/>
          </rPr>
          <t>Seirwan Kareemi:</t>
        </r>
        <r>
          <rPr>
            <sz val="10"/>
            <color rgb="FF000000"/>
            <rFont val="Tahoma"/>
            <family val="2"/>
          </rPr>
          <t xml:space="preserve">
</t>
        </r>
        <r>
          <rPr>
            <sz val="10"/>
            <color rgb="FF000000"/>
            <rFont val="Calibri"/>
            <family val="2"/>
          </rPr>
          <t xml:space="preserve">Michelin X-Multi T 385/65 R22.5 160K dobbel merking 158L, hentet fra Dekkonline.no
</t>
        </r>
        <r>
          <rPr>
            <sz val="10"/>
            <color rgb="FF000000"/>
            <rFont val="Tahoma"/>
            <family val="2"/>
          </rPr>
          <t xml:space="preserve">
</t>
        </r>
        <r>
          <rPr>
            <sz val="10"/>
            <color rgb="FF000000"/>
            <rFont val="Tahoma"/>
            <family val="2"/>
          </rPr>
          <t xml:space="preserve">Fem prosent av kjøpesummen er medregnet for monteringskostnader
</t>
        </r>
      </text>
    </comment>
    <comment ref="B34" authorId="0" shapeId="0">
      <text>
        <r>
          <rPr>
            <b/>
            <sz val="10"/>
            <color rgb="FF000000"/>
            <rFont val="Tahoma"/>
            <family val="2"/>
          </rPr>
          <t xml:space="preserve">Seirwan Kareemi:
</t>
        </r>
        <r>
          <rPr>
            <sz val="10"/>
            <color rgb="FF000000"/>
            <rFont val="Tahoma"/>
            <family val="2"/>
          </rPr>
          <t xml:space="preserve">Fått et uforpliktende estimat på ny Volvo FH 540 med henger, gjennomsnittlige erfarne lastebilsjåfører, 80 000 kilometer årlig. </t>
        </r>
      </text>
    </comment>
    <comment ref="B35" authorId="0" shapeId="0">
      <text>
        <r>
          <rPr>
            <b/>
            <sz val="10"/>
            <color rgb="FF000000"/>
            <rFont val="Tahoma"/>
            <family val="2"/>
          </rPr>
          <t>Seirwan Kareemi:</t>
        </r>
        <r>
          <rPr>
            <sz val="10"/>
            <color rgb="FF000000"/>
            <rFont val="Tahoma"/>
            <family val="2"/>
          </rPr>
          <t xml:space="preserve">
</t>
        </r>
        <r>
          <rPr>
            <sz val="10"/>
            <color rgb="FF000000"/>
            <rFont val="Tahoma"/>
            <family val="2"/>
          </rPr>
          <t>Veiledende pris på gullavtale til nyere Volvo FH540, til bruk i massetransport spesifikt og forutsatt 84 måneders varighet. Valgt gullavtale for forutsigbarhetens skyld, da omfattes både service og reparasjoner. Fått innsikt i at denne er veldig avhengig av årlige kilometer, et snitt på over 120 000 km i året kan sies å være litt i det drøyeste laget. Har kjørt på med margin, 8000 i måneden, lagt på 1000 for diverse vedlikehold som ikke omfattes i gullavtale, eks. monteringsarbeid og lignende.</t>
        </r>
      </text>
    </comment>
    <comment ref="I36" authorId="0" shapeId="0">
      <text>
        <r>
          <rPr>
            <b/>
            <sz val="10"/>
            <color rgb="FF000000"/>
            <rFont val="Tahoma"/>
            <family val="2"/>
          </rPr>
          <t>Seirwan Kareemi:</t>
        </r>
        <r>
          <rPr>
            <sz val="10"/>
            <color rgb="FF000000"/>
            <rFont val="Tahoma"/>
            <family val="2"/>
          </rPr>
          <t xml:space="preserve">
</t>
        </r>
        <r>
          <rPr>
            <sz val="10"/>
            <color rgb="FF000000"/>
            <rFont val="Tahoma"/>
            <family val="2"/>
          </rPr>
          <t>Alle tilllagt 193 kroner hver for miljødifferensiert årsavgift for dieseldrevne kjøretøy (Euro 6)</t>
        </r>
      </text>
    </comment>
    <comment ref="B38"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1. Holder kombinasjoner av bil + henger utenfor dataen, med mindre det er spesifisert i annonsen hvor mye de enkelte komponentene kan kjøpes separat.
</t>
        </r>
        <r>
          <rPr>
            <sz val="10"/>
            <color rgb="FF000000"/>
            <rFont val="Tahoma"/>
            <family val="2"/>
          </rPr>
          <t xml:space="preserve">2. </t>
        </r>
        <r>
          <rPr>
            <sz val="10"/>
            <color rgb="FF000000"/>
            <rFont val="Calibri"/>
            <family val="2"/>
          </rPr>
          <t xml:space="preserve">Betydelige avvik skyldes stort sett akselkonfigurasjon og/eller utstyrsnivå
</t>
        </r>
        <r>
          <rPr>
            <sz val="10"/>
            <color rgb="FF000000"/>
            <rFont val="Tahoma"/>
            <family val="2"/>
          </rPr>
          <t xml:space="preserve">3. </t>
        </r>
        <r>
          <rPr>
            <sz val="10"/>
            <color rgb="FF000000"/>
            <rFont val="Calibri"/>
            <family val="2"/>
          </rPr>
          <t xml:space="preserve">Samtlige har asfaltpåbygg/gruskasse, volum på påbygg, De man har sett varierer mellom 13-16kubikk, Maur Bilpåbygg har noen populære med 13m^3. 
</t>
        </r>
      </text>
    </comment>
    <comment ref="B39" authorId="0" shapeId="0">
      <text>
        <r>
          <rPr>
            <b/>
            <sz val="10"/>
            <color rgb="FF000000"/>
            <rFont val="Tahoma"/>
            <family val="2"/>
          </rPr>
          <t>Seirwan Kareemi:</t>
        </r>
        <r>
          <rPr>
            <sz val="10"/>
            <color rgb="FF000000"/>
            <rFont val="Tahoma"/>
            <family val="2"/>
          </rPr>
          <t xml:space="preserve">
</t>
        </r>
        <r>
          <rPr>
            <sz val="10"/>
            <color rgb="FF000000"/>
            <rFont val="Tahoma"/>
            <family val="2"/>
          </rPr>
          <t>Holder kombinasjoner av bil + henger utenfor dataen, med mindre det er spesifisert i annonsen hvor mye de enkelte komponentene kan kjøpes separat.</t>
        </r>
      </text>
    </comment>
    <comment ref="F39" authorId="0" shapeId="0">
      <text>
        <r>
          <rPr>
            <b/>
            <sz val="9"/>
            <color rgb="FF000000"/>
            <rFont val="Tahoma"/>
            <family val="2"/>
          </rPr>
          <t>Seirwan Kareemi:</t>
        </r>
        <r>
          <rPr>
            <sz val="9"/>
            <color rgb="FF000000"/>
            <rFont val="Tahoma"/>
            <family val="2"/>
          </rPr>
          <t xml:space="preserve">
</t>
        </r>
        <r>
          <rPr>
            <sz val="9"/>
            <color rgb="FF000000"/>
            <rFont val="Tahoma"/>
            <family val="2"/>
          </rPr>
          <t xml:space="preserve">Hentes fra Vegvesen.no, måles årlig ved EU-kontroll. Avvik på noen tusen kilometer forekommer.
</t>
        </r>
        <r>
          <rPr>
            <sz val="9"/>
            <color rgb="FF000000"/>
            <rFont val="Tahoma"/>
            <family val="2"/>
          </rPr>
          <t xml:space="preserve">
</t>
        </r>
        <r>
          <rPr>
            <sz val="9"/>
            <color rgb="FF000000"/>
            <rFont val="Tahoma"/>
            <family val="2"/>
          </rPr>
          <t>Der man har brukt eksempel fra handelsmarkedet Finn så er kilometerstanden oppgitt direkte herfra, her er ikke avvik normalt.</t>
        </r>
      </text>
    </comment>
  </commentList>
</comments>
</file>

<file path=xl/comments4.xml><?xml version="1.0" encoding="utf-8"?>
<comments xmlns="http://schemas.openxmlformats.org/spreadsheetml/2006/main">
  <authors>
    <author>Seirwan Kareemi</author>
    <author>Kareemi, Seirwan</author>
  </authors>
  <commentList>
    <comment ref="D3" authorId="0" shapeId="0">
      <text>
        <r>
          <rPr>
            <b/>
            <sz val="10"/>
            <color rgb="FF000000"/>
            <rFont val="Tahoma"/>
            <family val="2"/>
          </rPr>
          <t>Seirwan Kareemi:</t>
        </r>
        <r>
          <rPr>
            <sz val="10"/>
            <color rgb="FF000000"/>
            <rFont val="Tahoma"/>
            <family val="2"/>
          </rPr>
          <t xml:space="preserve">
</t>
        </r>
        <r>
          <rPr>
            <sz val="10"/>
            <color rgb="FF000000"/>
            <rFont val="Tahoma"/>
            <family val="2"/>
          </rPr>
          <t>Inkluderer uregelmessige tillegg og bonuser.</t>
        </r>
      </text>
    </comment>
    <comment ref="B5" authorId="1" shapeId="0">
      <text>
        <r>
          <rPr>
            <b/>
            <sz val="9"/>
            <color indexed="81"/>
            <rFont val="Tahoma"/>
            <family val="2"/>
          </rPr>
          <t>Kareemi, Seirwan:</t>
        </r>
        <r>
          <rPr>
            <sz val="9"/>
            <color indexed="81"/>
            <rFont val="Tahoma"/>
            <family val="2"/>
          </rPr>
          <t xml:space="preserve">
Gjennomsnitt, alle sektorer</t>
        </r>
      </text>
    </comment>
  </commentList>
</comments>
</file>

<file path=xl/comments5.xml><?xml version="1.0" encoding="utf-8"?>
<comments xmlns="http://schemas.openxmlformats.org/spreadsheetml/2006/main">
  <authors>
    <author>Kareemi, Seirwan</author>
  </authors>
  <commentList>
    <comment ref="A110"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Ble først forsøkt å danne et gjennomsnitt basert på antall årsverk, men dette viser seg altså å ikke være egnet alene, må suppleres.
</t>
        </r>
        <r>
          <rPr>
            <sz val="9"/>
            <color rgb="FF000000"/>
            <rFont val="Tahoma"/>
            <family val="2"/>
          </rPr>
          <t xml:space="preserve">
</t>
        </r>
        <r>
          <rPr>
            <sz val="9"/>
            <color rgb="FF000000"/>
            <rFont val="Tahoma"/>
            <family val="2"/>
          </rPr>
          <t xml:space="preserve">Gir et snevert bilde som gjennomsnitt basert på antall årsverk - enkelte stillingstyper godtgjøres i de spesifikke selskapene sannsynligvis bedre enn en vanlig transportør sitt arbeid, som man antar lønnes lavest i selskapet.
</t>
        </r>
      </text>
    </comment>
  </commentList>
</comments>
</file>

<file path=xl/comments6.xml><?xml version="1.0" encoding="utf-8"?>
<comments xmlns="http://schemas.openxmlformats.org/spreadsheetml/2006/main">
  <authors>
    <author>Seirwan Kareemi</author>
    <author>Kareemi, Seirwan</author>
  </authors>
  <commentList>
    <comment ref="B2" authorId="0" shapeId="0">
      <text>
        <r>
          <rPr>
            <b/>
            <sz val="10"/>
            <color rgb="FF000000"/>
            <rFont val="Tahoma"/>
            <family val="2"/>
          </rPr>
          <t>Seirwan Kareemi:</t>
        </r>
        <r>
          <rPr>
            <sz val="10"/>
            <color rgb="FF000000"/>
            <rFont val="Tahoma"/>
            <family val="2"/>
          </rPr>
          <t xml:space="preserve">
</t>
        </r>
        <r>
          <rPr>
            <sz val="10"/>
            <color rgb="FF000000"/>
            <rFont val="Tahoma"/>
            <family val="2"/>
          </rPr>
          <t>Utøfrt stikkprøver og kontroll i hele skjemaet for å sørge for at man ikke har gjort unødvendige konvertingsfeil og lignende.</t>
        </r>
      </text>
    </comment>
    <comment ref="S41" authorId="0" shapeId="0">
      <text>
        <r>
          <rPr>
            <b/>
            <sz val="10"/>
            <color rgb="FF000000"/>
            <rFont val="Tahoma"/>
            <family val="2"/>
          </rPr>
          <t>Seirwan Kareemi:</t>
        </r>
        <r>
          <rPr>
            <sz val="10"/>
            <color rgb="FF000000"/>
            <rFont val="Tahoma"/>
            <family val="2"/>
          </rPr>
          <t xml:space="preserve">
</t>
        </r>
        <r>
          <rPr>
            <sz val="10"/>
            <color rgb="FF000000"/>
            <rFont val="Tahoma"/>
            <family val="2"/>
          </rPr>
          <t>Trenger manuell behandling for overgangen fra ukesslutt til lørdag, tall fra lørdag er ikke inkludert, bruker derfor gjennomsnittet av de fire andre ukedagene.. Litt synd, for strukturen av denne følger en trend for noen av strekningene. Er dessuten en garanti for et lite avvik.</t>
        </r>
      </text>
    </comment>
    <comment ref="U73" authorId="0" shapeId="0">
      <text>
        <r>
          <rPr>
            <b/>
            <sz val="10"/>
            <color rgb="FF000000"/>
            <rFont val="Tahoma"/>
            <family val="2"/>
          </rPr>
          <t>Seirwan Kareemi:</t>
        </r>
        <r>
          <rPr>
            <sz val="10"/>
            <color rgb="FF000000"/>
            <rFont val="Tahoma"/>
            <family val="2"/>
          </rPr>
          <t xml:space="preserve">
</t>
        </r>
        <r>
          <rPr>
            <sz val="10"/>
            <color rgb="FF000000"/>
            <rFont val="Tahoma"/>
            <family val="2"/>
          </rPr>
          <t>Her går gjennomsnittet ned med to minutter per tur-retur fordi man starter å kjøre klokka 06 fremfor 07.</t>
        </r>
      </text>
    </comment>
    <comment ref="AF110" authorId="1" shapeId="0">
      <text>
        <r>
          <rPr>
            <b/>
            <sz val="9"/>
            <color rgb="FF000000"/>
            <rFont val="Tahoma"/>
            <family val="2"/>
          </rPr>
          <t>Kareemi, Seirwan:</t>
        </r>
        <r>
          <rPr>
            <sz val="9"/>
            <color rgb="FF000000"/>
            <rFont val="Tahoma"/>
            <family val="2"/>
          </rPr>
          <t xml:space="preserve">
</t>
        </r>
        <r>
          <rPr>
            <sz val="9"/>
            <color rgb="FF000000"/>
            <rFont val="Tahoma"/>
            <family val="2"/>
          </rPr>
          <t>For denne turen foreslår opplysningene fra Google en alternativ rute som finnes i kombinasjon av E6 frem til Oppegård/Langhus og videre til Askim langs E18, men trafikken er ifølge data fra Google i betydelig mindre grad konsentrert enkelte deler av strekningen der trafikken er verst. Har derfor ansett det som hensiktsmessig å legge om transporten til E18 hele veien, dels for å unngå uforutsigbarhet i trafikken og dels for å unngå tyngre utslipp ved lave hastigheter og tomgang - ville vært interessant å vite hva slags hensyn Hadeland Maskindrift AS gjør per dags dato i denne forbindelse.</t>
        </r>
      </text>
    </comment>
  </commentList>
</comments>
</file>

<file path=xl/comments7.xml><?xml version="1.0" encoding="utf-8"?>
<comments xmlns="http://schemas.openxmlformats.org/spreadsheetml/2006/main">
  <authors>
    <author>Seirwan Kareemi</author>
  </authors>
  <commentList>
    <comment ref="AV7"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Brukt optimistiske estimater, ekskludert tider med trafikk
</t>
        </r>
      </text>
    </comment>
    <comment ref="AW7" authorId="0" shapeId="0">
      <text>
        <r>
          <rPr>
            <b/>
            <sz val="10"/>
            <color rgb="FF000000"/>
            <rFont val="Tahoma"/>
            <family val="2"/>
          </rPr>
          <t>Seirwan Kareemi:</t>
        </r>
        <r>
          <rPr>
            <sz val="10"/>
            <color rgb="FF000000"/>
            <rFont val="Tahoma"/>
            <family val="2"/>
          </rPr>
          <t xml:space="preserve">
</t>
        </r>
        <r>
          <rPr>
            <sz val="10"/>
            <color rgb="FF000000"/>
            <rFont val="Tahoma"/>
            <family val="2"/>
          </rPr>
          <t>Brukt pessimistiske estimater</t>
        </r>
      </text>
    </comment>
    <comment ref="AT8" authorId="0" shapeId="0">
      <text>
        <r>
          <rPr>
            <b/>
            <sz val="10"/>
            <color rgb="FF000000"/>
            <rFont val="Tahoma"/>
            <family val="2"/>
          </rPr>
          <t>Seirwan Kareemi:</t>
        </r>
        <r>
          <rPr>
            <sz val="10"/>
            <color rgb="FF000000"/>
            <rFont val="Tahoma"/>
            <family val="2"/>
          </rPr>
          <t xml:space="preserve">
</t>
        </r>
        <r>
          <rPr>
            <sz val="10"/>
            <color rgb="FF000000"/>
            <rFont val="Tahoma"/>
            <family val="2"/>
          </rPr>
          <t>Via Skippergata</t>
        </r>
      </text>
    </comment>
    <comment ref="AT9"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Via Tollbugata
</t>
        </r>
      </text>
    </comment>
    <comment ref="AT10"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Via E18
</t>
        </r>
      </text>
    </comment>
    <comment ref="AT11" authorId="0" shapeId="0">
      <text>
        <r>
          <rPr>
            <b/>
            <sz val="10"/>
            <color rgb="FF000000"/>
            <rFont val="Tahoma"/>
            <family val="2"/>
          </rPr>
          <t>Seirwan Kareemi:</t>
        </r>
        <r>
          <rPr>
            <sz val="10"/>
            <color rgb="FF000000"/>
            <rFont val="Tahoma"/>
            <family val="2"/>
          </rPr>
          <t xml:space="preserve">
</t>
        </r>
        <r>
          <rPr>
            <sz val="10"/>
            <color rgb="FF000000"/>
            <rFont val="Tahoma"/>
            <family val="2"/>
          </rPr>
          <t>Via E18</t>
        </r>
      </text>
    </comment>
    <comment ref="AT12"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Via Toftes Gate
</t>
        </r>
      </text>
    </comment>
    <comment ref="AT13" authorId="0" shapeId="0">
      <text>
        <r>
          <rPr>
            <b/>
            <sz val="10"/>
            <color rgb="FF000000"/>
            <rFont val="Tahoma"/>
            <family val="2"/>
          </rPr>
          <t>Seirwan Kareemi:</t>
        </r>
        <r>
          <rPr>
            <sz val="10"/>
            <color rgb="FF000000"/>
            <rFont val="Tahoma"/>
            <family val="2"/>
          </rPr>
          <t xml:space="preserve">
</t>
        </r>
        <r>
          <rPr>
            <sz val="10"/>
            <color rgb="FF000000"/>
            <rFont val="Tahoma"/>
            <family val="2"/>
          </rPr>
          <t xml:space="preserve">Via Toftes Gate
</t>
        </r>
      </text>
    </comment>
    <comment ref="AT14" authorId="0" shapeId="0">
      <text>
        <r>
          <rPr>
            <b/>
            <sz val="10"/>
            <color rgb="FF000000"/>
            <rFont val="Tahoma"/>
            <family val="2"/>
          </rPr>
          <t>Seirwan Kareemi:</t>
        </r>
        <r>
          <rPr>
            <sz val="10"/>
            <color rgb="FF000000"/>
            <rFont val="Tahoma"/>
            <family val="2"/>
          </rPr>
          <t xml:space="preserve">
</t>
        </r>
        <r>
          <rPr>
            <sz val="10"/>
            <color rgb="FF000000"/>
            <rFont val="Tahoma"/>
            <family val="2"/>
          </rPr>
          <t>Via Rv162</t>
        </r>
      </text>
    </comment>
    <comment ref="AT15" authorId="0" shapeId="0">
      <text>
        <r>
          <rPr>
            <b/>
            <sz val="10"/>
            <color rgb="FF000000"/>
            <rFont val="Tahoma"/>
            <family val="2"/>
          </rPr>
          <t>Seirwan Kareemi:</t>
        </r>
        <r>
          <rPr>
            <sz val="10"/>
            <color rgb="FF000000"/>
            <rFont val="Tahoma"/>
            <family val="2"/>
          </rPr>
          <t xml:space="preserve">
</t>
        </r>
        <r>
          <rPr>
            <sz val="10"/>
            <color rgb="FF000000"/>
            <rFont val="Tahoma"/>
            <family val="2"/>
          </rPr>
          <t>Via Fv4</t>
        </r>
      </text>
    </comment>
  </commentList>
</comments>
</file>

<file path=xl/comments8.xml><?xml version="1.0" encoding="utf-8"?>
<comments xmlns="http://schemas.openxmlformats.org/spreadsheetml/2006/main">
  <authors>
    <author>Kareemi, Seirwan</author>
    <author>Seirwan Kareemi</author>
  </authors>
  <commentList>
    <comment ref="B2" authorId="0" shapeId="0">
      <text>
        <r>
          <rPr>
            <b/>
            <sz val="9"/>
            <color rgb="FF000000"/>
            <rFont val="Tahoma"/>
            <family val="2"/>
          </rPr>
          <t>Kareemi, Seirwan:</t>
        </r>
        <r>
          <rPr>
            <sz val="9"/>
            <color rgb="FF000000"/>
            <rFont val="Tahoma"/>
            <family val="2"/>
          </rPr>
          <t xml:space="preserve">
</t>
        </r>
        <r>
          <rPr>
            <sz val="9"/>
            <color rgb="FF000000"/>
            <rFont val="Tahoma"/>
            <family val="2"/>
          </rPr>
          <t>Takstgruppen omfatter kjøretøy med tillatt totalvekt fra og med 3501kg</t>
        </r>
      </text>
    </comment>
    <comment ref="C3" authorId="0" shapeId="0">
      <text>
        <r>
          <rPr>
            <b/>
            <sz val="9"/>
            <color rgb="FF000000"/>
            <rFont val="Tahoma"/>
            <family val="2"/>
          </rPr>
          <t>Kareemi, Seirwan:</t>
        </r>
        <r>
          <rPr>
            <sz val="9"/>
            <color rgb="FF000000"/>
            <rFont val="Tahoma"/>
            <family val="2"/>
          </rPr>
          <t xml:space="preserve">
</t>
        </r>
        <r>
          <rPr>
            <sz val="9"/>
            <color rgb="FF000000"/>
            <rFont val="Tahoma"/>
            <family val="2"/>
          </rPr>
          <t>Gjelder Euro V eller eldre.</t>
        </r>
      </text>
    </comment>
    <comment ref="B8"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 Forutsatt brikkeavtale for rabatt
</t>
        </r>
        <r>
          <rPr>
            <sz val="9"/>
            <color rgb="FF000000"/>
            <rFont val="Tahoma"/>
            <family val="2"/>
          </rPr>
          <t>- OBS! Finnes to bompengekalkulatorer på Fjellinjens sider</t>
        </r>
      </text>
    </comment>
    <comment ref="C10" authorId="0" shapeId="0">
      <text>
        <r>
          <rPr>
            <b/>
            <sz val="9"/>
            <color rgb="FF000000"/>
            <rFont val="Tahoma"/>
            <family val="2"/>
          </rPr>
          <t>Kareemi, Seirwan:</t>
        </r>
        <r>
          <rPr>
            <sz val="9"/>
            <color rgb="FF000000"/>
            <rFont val="Tahoma"/>
            <family val="2"/>
          </rPr>
          <t xml:space="preserve">
</t>
        </r>
        <r>
          <rPr>
            <sz val="9"/>
            <color rgb="FF000000"/>
            <rFont val="Tahoma"/>
            <family val="2"/>
          </rPr>
          <t>E18 Bygdøylokket 86 kr</t>
        </r>
      </text>
    </comment>
    <comment ref="D10" authorId="0" shapeId="0">
      <text>
        <r>
          <rPr>
            <b/>
            <sz val="9"/>
            <color indexed="81"/>
            <rFont val="Tahoma"/>
            <family val="2"/>
          </rPr>
          <t>Kareemi, Seirwan:</t>
        </r>
        <r>
          <rPr>
            <sz val="9"/>
            <color indexed="81"/>
            <rFont val="Tahoma"/>
            <family val="2"/>
          </rPr>
          <t xml:space="preserve">
E6 Lodalen, 86 kr
E6 Alnabru, 0 kr</t>
        </r>
      </text>
    </comment>
    <comment ref="E10"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E18 Mosseveien, 86 kr
</t>
        </r>
        <r>
          <rPr>
            <sz val="9"/>
            <color rgb="FF000000"/>
            <rFont val="Tahoma"/>
            <family val="2"/>
          </rPr>
          <t xml:space="preserve">E18 Elvestad vest, 14 kr
</t>
        </r>
        <r>
          <rPr>
            <sz val="9"/>
            <color rgb="FF000000"/>
            <rFont val="Tahoma"/>
            <family val="2"/>
          </rPr>
          <t>E18 DALEN, 18 kr</t>
        </r>
      </text>
    </comment>
    <comment ref="F10"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E6 Lodalen, 86 kr
</t>
        </r>
        <r>
          <rPr>
            <sz val="9"/>
            <color rgb="FF000000"/>
            <rFont val="Tahoma"/>
            <family val="2"/>
          </rPr>
          <t>E6 Alnabru, 0 kr</t>
        </r>
      </text>
    </comment>
    <comment ref="B11" authorId="0" shapeId="0">
      <text>
        <r>
          <rPr>
            <b/>
            <sz val="9"/>
            <color rgb="FF000000"/>
            <rFont val="Tahoma"/>
            <family val="2"/>
          </rPr>
          <t>Kareemi, Seirwan:</t>
        </r>
        <r>
          <rPr>
            <sz val="9"/>
            <color rgb="FF000000"/>
            <rFont val="Tahoma"/>
            <family val="2"/>
          </rPr>
          <t xml:space="preserve">
</t>
        </r>
        <r>
          <rPr>
            <sz val="9"/>
            <color rgb="FF000000"/>
            <rFont val="Tahoma"/>
            <family val="2"/>
          </rPr>
          <t>Bompenger med rushtidsavgift, hentet fra Fjellinjen.</t>
        </r>
      </text>
    </comment>
    <comment ref="C12"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E18 hovedløp, 86 kr
</t>
        </r>
        <r>
          <rPr>
            <sz val="9"/>
            <color rgb="FF000000"/>
            <rFont val="Tahoma"/>
            <family val="2"/>
          </rPr>
          <t>E18 Maritim, 86 kr</t>
        </r>
      </text>
    </comment>
    <comment ref="D12"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E6 Furuset, 86 kr
</t>
        </r>
        <r>
          <rPr>
            <sz val="9"/>
            <color rgb="FF000000"/>
            <rFont val="Tahoma"/>
            <family val="2"/>
          </rPr>
          <t xml:space="preserve">E6 Alnabru, 86 kr
</t>
        </r>
        <r>
          <rPr>
            <sz val="9"/>
            <color rgb="FF000000"/>
            <rFont val="Tahoma"/>
            <family val="2"/>
          </rPr>
          <t>E6 Lodalen, 0 kr</t>
        </r>
      </text>
    </comment>
    <comment ref="E12"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E18 DALEN, 18 kr
</t>
        </r>
        <r>
          <rPr>
            <sz val="9"/>
            <color rgb="FF000000"/>
            <rFont val="Tahoma"/>
            <family val="2"/>
          </rPr>
          <t xml:space="preserve">E18 Elvestad vest, 14 kr
</t>
        </r>
        <r>
          <rPr>
            <sz val="9"/>
            <color rgb="FF000000"/>
            <rFont val="Tahoma"/>
            <family val="2"/>
          </rPr>
          <t xml:space="preserve">E6 Taraldrud, 86 kr
</t>
        </r>
        <r>
          <rPr>
            <sz val="9"/>
            <color rgb="FF000000"/>
            <rFont val="Tahoma"/>
            <family val="2"/>
          </rPr>
          <t xml:space="preserve">E6 Europaveien, 86 kr
</t>
        </r>
        <r>
          <rPr>
            <sz val="9"/>
            <color rgb="FF000000"/>
            <rFont val="Tahoma"/>
            <family val="2"/>
          </rPr>
          <t>E6 Svartdalstunnelen, 0 kr</t>
        </r>
      </text>
    </comment>
    <comment ref="F12" authorId="0" shapeId="0">
      <text>
        <r>
          <rPr>
            <b/>
            <sz val="9"/>
            <color rgb="FF000000"/>
            <rFont val="Tahoma"/>
            <family val="2"/>
          </rPr>
          <t>Kareemi, Seirwan:</t>
        </r>
        <r>
          <rPr>
            <sz val="9"/>
            <color rgb="FF000000"/>
            <rFont val="Tahoma"/>
            <family val="2"/>
          </rPr>
          <t xml:space="preserve">
</t>
        </r>
        <r>
          <rPr>
            <sz val="9"/>
            <color rgb="FF000000"/>
            <rFont val="Tahoma"/>
            <family val="2"/>
          </rPr>
          <t xml:space="preserve">E6 Furuset, 86 kr
</t>
        </r>
        <r>
          <rPr>
            <sz val="9"/>
            <color rgb="FF000000"/>
            <rFont val="Tahoma"/>
            <family val="2"/>
          </rPr>
          <t xml:space="preserve">E6 Alnabru, 86 kr
</t>
        </r>
        <r>
          <rPr>
            <sz val="9"/>
            <color rgb="FF000000"/>
            <rFont val="Tahoma"/>
            <family val="2"/>
          </rPr>
          <t xml:space="preserve">E6 Lodalen, 0 kr
</t>
        </r>
      </text>
    </comment>
    <comment ref="B22" authorId="1" shapeId="0">
      <text>
        <r>
          <rPr>
            <b/>
            <sz val="10"/>
            <color rgb="FF000000"/>
            <rFont val="Tahoma"/>
            <family val="2"/>
          </rPr>
          <t>Seirwan Kareemi:</t>
        </r>
        <r>
          <rPr>
            <sz val="10"/>
            <color rgb="FF000000"/>
            <rFont val="Tahoma"/>
            <family val="2"/>
          </rPr>
          <t xml:space="preserve">
</t>
        </r>
        <r>
          <rPr>
            <sz val="10"/>
            <color rgb="FF000000"/>
            <rFont val="Calibri"/>
            <family val="2"/>
            <scheme val="minor"/>
          </rPr>
          <t>Passeringstak er likt uavhengig av hvilken type bil som passerer. Det er kun betalende passeringer som telles.</t>
        </r>
        <r>
          <rPr>
            <sz val="10"/>
            <color rgb="FF000000"/>
            <rFont val="Calibri"/>
            <family val="2"/>
            <scheme val="minor"/>
          </rPr>
          <t xml:space="preserve">
</t>
        </r>
        <r>
          <rPr>
            <sz val="10"/>
            <color rgb="FF000000"/>
            <rFont val="Calibri"/>
            <family val="2"/>
            <scheme val="minor"/>
          </rPr>
          <t>Man teller fra den første dagen i måneden og frem til siste dag. Så vil man begynne å telle på nytt. Altså om du har kjørt 60 betalende passeringer ca den 20 dagen i måneden kjører du gratis frem til neste måned starter. Det telles separat passeringer i Oslo og Bærum. Det er også passeringer i indre ring og Oslo ringen som telles sammen. Bygrensen telles for seg.</t>
        </r>
        <r>
          <rPr>
            <sz val="10"/>
            <color rgb="FF000000"/>
            <rFont val="Calibri"/>
            <family val="2"/>
            <scheme val="minor"/>
          </rPr>
          <t xml:space="preserve"> </t>
        </r>
      </text>
    </comment>
    <comment ref="B23" authorId="1" shapeId="0">
      <text>
        <r>
          <rPr>
            <b/>
            <sz val="10"/>
            <color rgb="FF000000"/>
            <rFont val="Tahoma"/>
            <family val="2"/>
          </rPr>
          <t>Seirwan Kareemi:</t>
        </r>
        <r>
          <rPr>
            <sz val="10"/>
            <color rgb="FF000000"/>
            <rFont val="Tahoma"/>
            <family val="2"/>
          </rPr>
          <t xml:space="preserve">
</t>
        </r>
        <r>
          <rPr>
            <sz val="10"/>
            <color rgb="FF000000"/>
            <rFont val="Tahoma"/>
            <family val="2"/>
          </rPr>
          <t>Tatt gjennomsnittet av pris for bompassering i rush og utenom rush, i realiteten er passeringene utenom rush i overvekt, men lar det jevne ut ved å inkludere bomstasjoner som ikke faller innunder Indre ring, Osloringen eller bygrensen.</t>
        </r>
      </text>
    </comment>
  </commentList>
</comments>
</file>

<file path=xl/comments9.xml><?xml version="1.0" encoding="utf-8"?>
<comments xmlns="http://schemas.openxmlformats.org/spreadsheetml/2006/main">
  <authors>
    <author/>
    <author>Seirwan Kareemi</author>
  </authors>
  <commentList>
    <comment ref="E3" authorId="0" shapeId="0">
      <text>
        <r>
          <rPr>
            <b/>
            <sz val="8"/>
            <rFont val="Tahoma"/>
            <family val="2"/>
          </rPr>
          <t>kg CO₂e per unit</t>
        </r>
      </text>
    </comment>
    <comment ref="F3" authorId="0" shapeId="0">
      <text>
        <r>
          <rPr>
            <b/>
            <sz val="8"/>
            <rFont val="Tahoma"/>
            <family val="2"/>
          </rPr>
          <t>kg CO₂e of CO₂ per unit</t>
        </r>
      </text>
    </comment>
    <comment ref="G3" authorId="0" shapeId="0">
      <text>
        <r>
          <rPr>
            <b/>
            <sz val="8"/>
            <rFont val="Tahoma"/>
            <family val="2"/>
          </rPr>
          <t>kg CO₂e of CH₄ per unit</t>
        </r>
      </text>
    </comment>
    <comment ref="H3" authorId="0" shapeId="0">
      <text>
        <r>
          <rPr>
            <b/>
            <sz val="8"/>
            <rFont val="Tahoma"/>
            <family val="2"/>
          </rPr>
          <t>kg CO₂e of N₂O per unit</t>
        </r>
      </text>
    </comment>
    <comment ref="I3" authorId="0" shapeId="0">
      <text>
        <r>
          <rPr>
            <b/>
            <sz val="8"/>
            <rFont val="Tahoma"/>
            <family val="2"/>
          </rPr>
          <t>kg CO₂e per unit</t>
        </r>
      </text>
    </comment>
    <comment ref="J3" authorId="0" shapeId="0">
      <text>
        <r>
          <rPr>
            <b/>
            <sz val="8"/>
            <rFont val="Tahoma"/>
            <family val="2"/>
          </rPr>
          <t>kg CO₂e of CO₂ per unit</t>
        </r>
      </text>
    </comment>
    <comment ref="K3" authorId="0" shapeId="0">
      <text>
        <r>
          <rPr>
            <b/>
            <sz val="8"/>
            <rFont val="Tahoma"/>
            <family val="2"/>
          </rPr>
          <t>kg CO₂e of CH₄ per unit</t>
        </r>
      </text>
    </comment>
    <comment ref="L3" authorId="0" shapeId="0">
      <text>
        <r>
          <rPr>
            <b/>
            <sz val="8"/>
            <rFont val="Tahoma"/>
            <family val="2"/>
          </rPr>
          <t>kg CO₂e of N₂O per unit</t>
        </r>
      </text>
    </comment>
    <comment ref="M3" authorId="0" shapeId="0">
      <text>
        <r>
          <rPr>
            <b/>
            <sz val="8"/>
            <rFont val="Tahoma"/>
            <family val="2"/>
          </rPr>
          <t>kg CO₂e per unit</t>
        </r>
      </text>
    </comment>
    <comment ref="N3" authorId="0" shapeId="0">
      <text>
        <r>
          <rPr>
            <b/>
            <sz val="8"/>
            <rFont val="Tahoma"/>
            <family val="2"/>
          </rPr>
          <t>kg CO₂e of CO₂ per unit</t>
        </r>
      </text>
    </comment>
    <comment ref="O3" authorId="0" shapeId="0">
      <text>
        <r>
          <rPr>
            <b/>
            <sz val="8"/>
            <rFont val="Tahoma"/>
            <family val="2"/>
          </rPr>
          <t>kg CO₂e of CH₄ per unit</t>
        </r>
      </text>
    </comment>
    <comment ref="P3" authorId="0" shapeId="0">
      <text>
        <r>
          <rPr>
            <b/>
            <sz val="8"/>
            <rFont val="Tahoma"/>
            <family val="2"/>
          </rPr>
          <t>kg CO₂e of N₂O per unit</t>
        </r>
      </text>
    </comment>
    <comment ref="Q3" authorId="0" shapeId="0">
      <text>
        <r>
          <rPr>
            <b/>
            <sz val="8"/>
            <rFont val="Tahoma"/>
            <family val="2"/>
          </rPr>
          <t>kg CO₂e per unit</t>
        </r>
      </text>
    </comment>
    <comment ref="R3" authorId="0" shapeId="0">
      <text>
        <r>
          <rPr>
            <b/>
            <sz val="8"/>
            <rFont val="Tahoma"/>
            <family val="2"/>
          </rPr>
          <t>kg CO₂e of CO₂ per unit</t>
        </r>
      </text>
    </comment>
    <comment ref="S3" authorId="0" shapeId="0">
      <text>
        <r>
          <rPr>
            <b/>
            <sz val="8"/>
            <rFont val="Tahoma"/>
            <family val="2"/>
          </rPr>
          <t>kg CO₂e of CH₄ per unit</t>
        </r>
      </text>
    </comment>
    <comment ref="T3" authorId="0" shapeId="0">
      <text>
        <r>
          <rPr>
            <b/>
            <sz val="8"/>
            <rFont val="Tahoma"/>
            <family val="2"/>
          </rPr>
          <t>kg CO₂e of N₂O per unit</t>
        </r>
      </text>
    </comment>
    <comment ref="W3" authorId="1" shapeId="0">
      <text>
        <r>
          <rPr>
            <b/>
            <sz val="10"/>
            <color rgb="FF000000"/>
            <rFont val="Tahoma"/>
            <family val="2"/>
          </rPr>
          <t>Seirwan Kareemi:</t>
        </r>
        <r>
          <rPr>
            <sz val="10"/>
            <color rgb="FF000000"/>
            <rFont val="Tahoma"/>
            <family val="2"/>
          </rPr>
          <t xml:space="preserve">
</t>
        </r>
        <r>
          <rPr>
            <sz val="10"/>
            <color rgb="FF000000"/>
            <rFont val="Tahoma"/>
            <family val="2"/>
          </rPr>
          <t>OBS! Prosenten her er oppgitt i tomkjøringsgad, ikke utnyttelse.</t>
        </r>
      </text>
    </comment>
    <comment ref="B4" authorId="0" shapeId="0">
      <text>
        <r>
          <rPr>
            <b/>
            <sz val="8"/>
            <color rgb="FF000000"/>
            <rFont val="Tahoma"/>
            <family val="2"/>
          </rPr>
          <t>Large goods vehicles with maximum weight exceeding 3.5 tonnes.</t>
        </r>
      </text>
    </comment>
  </commentList>
</comments>
</file>

<file path=xl/sharedStrings.xml><?xml version="1.0" encoding="utf-8"?>
<sst xmlns="http://schemas.openxmlformats.org/spreadsheetml/2006/main" count="1169" uniqueCount="623">
  <si>
    <t>Nullalternativet, første scenario (strøsand- og grus):</t>
  </si>
  <si>
    <t>Faste kostnader</t>
  </si>
  <si>
    <t>Administrasjonskostnader</t>
  </si>
  <si>
    <t>Avskrivning</t>
  </si>
  <si>
    <t>Forsikring</t>
  </si>
  <si>
    <t>Rentekostnader</t>
  </si>
  <si>
    <t>Variable kostnader</t>
  </si>
  <si>
    <t>Dekkostnad</t>
  </si>
  <si>
    <t>Lønn</t>
  </si>
  <si>
    <t>Prosesser og tidsbruk</t>
  </si>
  <si>
    <t>Avgifter, annet</t>
  </si>
  <si>
    <t>Etablert 04.04.1962</t>
  </si>
  <si>
    <t>NACE-bransje: 52.211 - Drift av gods- og transportsentraler</t>
  </si>
  <si>
    <t>Orgnr: 976002180</t>
  </si>
  <si>
    <t>Etablert 10.01.1996</t>
  </si>
  <si>
    <t>NACE-bransje: 43.110 - Riving av bygninger og andre konstruksjoner</t>
  </si>
  <si>
    <t>Orgnr: 984129572</t>
  </si>
  <si>
    <t>Etablert 01.01.2002</t>
  </si>
  <si>
    <t>NACE-bransje: 49.410 - Godstransport på vei</t>
  </si>
  <si>
    <t>Orgnr: 987702206</t>
  </si>
  <si>
    <t>Etablert 28.12.2004</t>
  </si>
  <si>
    <t>Orgnr: 991044639</t>
  </si>
  <si>
    <t>Etablert 01.03.2007</t>
  </si>
  <si>
    <t>NACE-bransje: 41.200 - Oppføring av bygninger</t>
  </si>
  <si>
    <t>Orgnr: 998229014</t>
  </si>
  <si>
    <t>Etablert 27.03.2012</t>
  </si>
  <si>
    <t>Alle tall i hele 1000, fra regnskapsår 2017</t>
  </si>
  <si>
    <t>RESULTATREGNSKAP</t>
  </si>
  <si>
    <t>Snitt</t>
  </si>
  <si>
    <t>TRANSPORT-FORMIDLINGEN SA</t>
  </si>
  <si>
    <t>HADELAND ANLEGG AS</t>
  </si>
  <si>
    <t>BJØRNARS TRANSPORT AS</t>
  </si>
  <si>
    <t>KJÆRSTAD TRANSPORT AS</t>
  </si>
  <si>
    <t>OPG ANLEGG AS</t>
  </si>
  <si>
    <t>TOM WILHELMSEN AS</t>
  </si>
  <si>
    <t>Valutakode</t>
  </si>
  <si>
    <t>NOK</t>
  </si>
  <si>
    <t>Sum salgsinntekter</t>
  </si>
  <si>
    <t>Annen driftsinntekt</t>
  </si>
  <si>
    <t>Sum driftsinntekter</t>
  </si>
  <si>
    <t>Varekostnad</t>
  </si>
  <si>
    <t>Lønnskostnader</t>
  </si>
  <si>
    <t>Herav kun lønn</t>
  </si>
  <si>
    <t>Pensjonskostnader</t>
  </si>
  <si>
    <t>Avskriving varige driftsmidler/im. eiend.</t>
  </si>
  <si>
    <t>Tap på fordringer</t>
  </si>
  <si>
    <t>Andre driftskostnader</t>
  </si>
  <si>
    <t>Sum driftskostnader</t>
  </si>
  <si>
    <t>Driftsresultat</t>
  </si>
  <si>
    <t>Sum annen renteinntekt</t>
  </si>
  <si>
    <t>Sum annen finansinntekt</t>
  </si>
  <si>
    <t>Sum finansinntekter</t>
  </si>
  <si>
    <t>Sum annen rentekostnad</t>
  </si>
  <si>
    <t>Andre finanskostnader</t>
  </si>
  <si>
    <t>Sum annen finanskostnad</t>
  </si>
  <si>
    <t>Sum finanskostnader</t>
  </si>
  <si>
    <t>Netto finans</t>
  </si>
  <si>
    <t>Ordinært resultat før skattekostnad</t>
  </si>
  <si>
    <t>Skattekostnad på ordinært resultat</t>
  </si>
  <si>
    <t>Ordinært resultat</t>
  </si>
  <si>
    <t>Årsresultat før minoritetsinteresser</t>
  </si>
  <si>
    <t>Årsresultat</t>
  </si>
  <si>
    <t>Avsatt utbytte</t>
  </si>
  <si>
    <t>Avgitt konsernbidrag</t>
  </si>
  <si>
    <t>Overføringer til/fra annen egenkapital</t>
  </si>
  <si>
    <t>BALANSEREGNSKAP</t>
  </si>
  <si>
    <t>Forskning og utvikling</t>
  </si>
  <si>
    <t>Konsesjoner, patenter, lisenser</t>
  </si>
  <si>
    <t>Utsatt skattefordel</t>
  </si>
  <si>
    <t>Goodwill</t>
  </si>
  <si>
    <t>Sum immaterielle anleggsmidler</t>
  </si>
  <si>
    <t>Tomter, bygninger og annen fast eiendom</t>
  </si>
  <si>
    <t>Maskiner og anlegg</t>
  </si>
  <si>
    <t>Driftsløsøre/inventar/verktøy/biler</t>
  </si>
  <si>
    <t>Sum varige driftsmidler</t>
  </si>
  <si>
    <t>Aksjer/Investeringer i datterselskap</t>
  </si>
  <si>
    <t>Investeringer i tilknytte selskap</t>
  </si>
  <si>
    <t>Lån tilknyttet selsk. og felles kontrollert virk.</t>
  </si>
  <si>
    <t>Investeringer i aksjer og andeler</t>
  </si>
  <si>
    <t>Andre fordringer</t>
  </si>
  <si>
    <t>Sum finansielle anleggsmidler</t>
  </si>
  <si>
    <t>Sum anleggsmidler</t>
  </si>
  <si>
    <t>Sum varer</t>
  </si>
  <si>
    <t>Sum varelager</t>
  </si>
  <si>
    <t>Kundefordringer</t>
  </si>
  <si>
    <t>Konsernfordringer</t>
  </si>
  <si>
    <t>Sum fordringer</t>
  </si>
  <si>
    <t>Kasse/Bank/Post</t>
  </si>
  <si>
    <t>Sum Kasse/Bank/Post</t>
  </si>
  <si>
    <t>Sum omløpsmidler</t>
  </si>
  <si>
    <t>Sum eiendeler</t>
  </si>
  <si>
    <t>Aksjekapital/Selskapskapital</t>
  </si>
  <si>
    <t>Overkursfond</t>
  </si>
  <si>
    <t>Sum innskutt egenkapital</t>
  </si>
  <si>
    <t>Annen egenkapital</t>
  </si>
  <si>
    <t>Sum opptjent egenkapital</t>
  </si>
  <si>
    <t>Minoritetsintr. etter sum opptjent EK</t>
  </si>
  <si>
    <t>Sum egenkapital</t>
  </si>
  <si>
    <t>Utsatt skatt</t>
  </si>
  <si>
    <t>Sum avsetninger til forpliktelser</t>
  </si>
  <si>
    <t>Pantegjeld/gjeld til kredittinstitusjoner</t>
  </si>
  <si>
    <t>Annen langsiktig gjeld</t>
  </si>
  <si>
    <t>Sum annen langsiktig gjeld</t>
  </si>
  <si>
    <t>Sum langsiktig gjeld</t>
  </si>
  <si>
    <t>Gjeld til kredittinstitusjoner</t>
  </si>
  <si>
    <t>Leverandørgjeld</t>
  </si>
  <si>
    <t>Betalbar skatt</t>
  </si>
  <si>
    <t>Skyldige offentlige utgifter</t>
  </si>
  <si>
    <t>Utbytte</t>
  </si>
  <si>
    <t>Kortsiktig konserngjeld</t>
  </si>
  <si>
    <t>Annen kortsiktig gjeld</t>
  </si>
  <si>
    <t>Sum kortsiktig gjeld</t>
  </si>
  <si>
    <t>Sum gjeld</t>
  </si>
  <si>
    <t>Sum egenkapital og gjeld</t>
  </si>
  <si>
    <t>ØVRIG INFORMASJON</t>
  </si>
  <si>
    <t>Antall årsverk</t>
  </si>
  <si>
    <t>LØNNSOMHETSANALYSE</t>
  </si>
  <si>
    <t>Lønnsomhet (Totalkap. rentabilitet i %)</t>
  </si>
  <si>
    <t>Resultat av driften i %</t>
  </si>
  <si>
    <t xml:space="preserve">Kapitalens omløpshastighet </t>
  </si>
  <si>
    <t>SOLIDITETSANALYSE</t>
  </si>
  <si>
    <t>Egenkapitalandel i %</t>
  </si>
  <si>
    <t>Egenkapitalandel av omsetning i %</t>
  </si>
  <si>
    <t>Rentedekningsgrad</t>
  </si>
  <si>
    <t>Finansieringsgrad I</t>
  </si>
  <si>
    <t>Langsiktig lagerfinansiering i %</t>
  </si>
  <si>
    <t>Gjeldsgrad</t>
  </si>
  <si>
    <t>Kortsiktig gjeldsandel i %</t>
  </si>
  <si>
    <t>Langsiktig gjeldsandel i %</t>
  </si>
  <si>
    <t>Vare</t>
  </si>
  <si>
    <t>Asbest</t>
  </si>
  <si>
    <t>Asfalt</t>
  </si>
  <si>
    <t>Betong/tegl, ren</t>
  </si>
  <si>
    <t>Betong/tegl m/trevirke innblandet</t>
  </si>
  <si>
    <t>Betong/tegl med armering, ren</t>
  </si>
  <si>
    <t>Betong, forurenset</t>
  </si>
  <si>
    <t>EE-avfall (Elretur) fra næring til gjenvinningsst.</t>
  </si>
  <si>
    <t>Hage-/parkeavfall</t>
  </si>
  <si>
    <t>Keramikk/porselen til deponi</t>
  </si>
  <si>
    <t>Oljeholdig sand/slam til behandling</t>
  </si>
  <si>
    <t>Gipsavfall rent</t>
  </si>
  <si>
    <t>Gipsavfall urent (med stenderverk osv)</t>
  </si>
  <si>
    <t>Gateoppsop</t>
  </si>
  <si>
    <t>Avløpssøppel</t>
  </si>
  <si>
    <t>Sluk overvann/sandfang, spyling avløp m.m.</t>
  </si>
  <si>
    <t>Treverk i containere/på stor bil</t>
  </si>
  <si>
    <t>Treverk løst (småbiler m/u henger)</t>
  </si>
  <si>
    <t>Impregnert treverk</t>
  </si>
  <si>
    <t>Våtorganisk avfall næring</t>
  </si>
  <si>
    <t>Pris i kr/tonn eks. mva</t>
  </si>
  <si>
    <t>Nedenfor er gitt et utdrag av våre veiledende standardpriser for 2019:</t>
  </si>
  <si>
    <t>LINDUM AS: PRISER 2019 FOR NÆRINGSKUNDER</t>
  </si>
  <si>
    <t>Gateoppsop, kommunen</t>
  </si>
  <si>
    <t>TOTALT</t>
  </si>
  <si>
    <t>Laste- og lossetid per tur</t>
  </si>
  <si>
    <t>Totaltid per tur</t>
  </si>
  <si>
    <t>Lindum</t>
  </si>
  <si>
    <t>ROAF</t>
  </si>
  <si>
    <t>Skjørten</t>
  </si>
  <si>
    <t>Timelønn</t>
  </si>
  <si>
    <t>Sosiale kostnader</t>
  </si>
  <si>
    <t>Tonnfordeling</t>
  </si>
  <si>
    <t>Prosentfordeling</t>
  </si>
  <si>
    <t>Antall turer, basert på tonn</t>
  </si>
  <si>
    <t>Dieselpris (per liter)</t>
  </si>
  <si>
    <t>Sum faste kostnader per km</t>
  </si>
  <si>
    <t>08162: Transport og lagring. Nøkkeltall for ikke-finansielle aksjeselskaper, etter region, næring (SN2007), statistikkvariabel og år</t>
  </si>
  <si>
    <t>Driftsmargin (prosent)</t>
  </si>
  <si>
    <t>2012</t>
  </si>
  <si>
    <t>2013</t>
  </si>
  <si>
    <t>2014</t>
  </si>
  <si>
    <t>2015</t>
  </si>
  <si>
    <t>2016</t>
  </si>
  <si>
    <t>2017</t>
  </si>
  <si>
    <t>Akershus</t>
  </si>
  <si>
    <t>Godstransport på vei, herunder flyttetransport</t>
  </si>
  <si>
    <t>Oslo</t>
  </si>
  <si>
    <t>Tall for 2016 ble korrigert 15.05.2018.</t>
  </si>
  <si>
    <t>Siste oppdatering:</t>
  </si>
  <si>
    <t>Driftsmargin (prosent):</t>
  </si>
  <si>
    <t>20190426 08:00</t>
  </si>
  <si>
    <t>Kilde:</t>
  </si>
  <si>
    <t>Statistisk sentralbyrå</t>
  </si>
  <si>
    <t>Alle fylker</t>
  </si>
  <si>
    <t>Orgnr: 985131473</t>
  </si>
  <si>
    <t>Etablert 21.11.2002</t>
  </si>
  <si>
    <t>Orgnr: 984122624</t>
  </si>
  <si>
    <t>ACTION TRANSPORT AS</t>
  </si>
  <si>
    <t>TRANSPORTSERVICE AS</t>
  </si>
  <si>
    <t>Bedrift 6 - TRANSPORTSERVICE AS:</t>
  </si>
  <si>
    <t>Bedrift 4 - ACTION TRANSPORT AS:</t>
  </si>
  <si>
    <t>ALF JOHANSEN AS</t>
  </si>
  <si>
    <t>HADELAND MASKINDRIFT AS</t>
  </si>
  <si>
    <t>Bedrift 1 - ALF JOHANSEN AS:</t>
  </si>
  <si>
    <t>Orgnr: 910402722</t>
  </si>
  <si>
    <t>Etablert 18.09.1980</t>
  </si>
  <si>
    <t>NACE-bransje: 43.120 - Grunnarbeid</t>
  </si>
  <si>
    <t>Bedrift 3 - HADELAND ANLEGG AS:</t>
  </si>
  <si>
    <t>Bedrift 5 - BJØRNARS TRANSPORT AS:</t>
  </si>
  <si>
    <t>Bedrift 7 - KJÆRSTAD TRANSPORT AS:</t>
  </si>
  <si>
    <t>Bedrift 8 - OPG ANLEGG AS:</t>
  </si>
  <si>
    <t>Bedrift 9 - HADELAND MASKINDRIFT AS:</t>
  </si>
  <si>
    <t>Orgnr: 991100296</t>
  </si>
  <si>
    <t>Etablert 20.03.2007</t>
  </si>
  <si>
    <t>Bedrift 10 - TOM WILHELMSEN AS:</t>
  </si>
  <si>
    <t>DRIFTSMARGIN</t>
  </si>
  <si>
    <t>Country ID</t>
  </si>
  <si>
    <t>Country</t>
  </si>
  <si>
    <t>Country ISO code</t>
  </si>
  <si>
    <t>Year</t>
  </si>
  <si>
    <t>Currency</t>
  </si>
  <si>
    <t>Diesel</t>
  </si>
  <si>
    <t>NOR</t>
  </si>
  <si>
    <t>Norway</t>
  </si>
  <si>
    <t>GJENNOMSNITTLIGE DIESELPRISER SOM HENTET FRA GLOBAL PETROL PRICES (BETALINGSMUR) - 18. MAI 2019</t>
  </si>
  <si>
    <t>Kunne brukt prediksjonmodell for prognostisering av en dieselpris som hadde vært et bedre estimat, men nøyer oss med dette.</t>
  </si>
  <si>
    <t>Kapasitetsbegrensninger</t>
  </si>
  <si>
    <t>Sum variable kostnader (per km)</t>
  </si>
  <si>
    <t>Med last</t>
  </si>
  <si>
    <t>Uten last</t>
  </si>
  <si>
    <t>Tilbakelagte kilometer m. last</t>
  </si>
  <si>
    <t>Tilbakelagte kilometer u. last</t>
  </si>
  <si>
    <t>Antall tonn innsamlet for frakt</t>
  </si>
  <si>
    <t>Tonn per last fraktet</t>
  </si>
  <si>
    <t>Totalt antall turer, utg. i tonn</t>
  </si>
  <si>
    <t>Asak</t>
  </si>
  <si>
    <t xml:space="preserve">            i prosent</t>
  </si>
  <si>
    <t>Kilometer kjørt totalt, årlig</t>
  </si>
  <si>
    <t>Gjennomsnittshastighet (km/t)</t>
  </si>
  <si>
    <t>Distanse tur-retur (kilometer)</t>
  </si>
  <si>
    <t>Kjøretid per tur, i timer</t>
  </si>
  <si>
    <t>Kjøretid i timer</t>
  </si>
  <si>
    <t>Bompenger sentrum til deponi</t>
  </si>
  <si>
    <t>Bompenger deponi til sentrum</t>
  </si>
  <si>
    <t>Totale bomavgifter begge veier</t>
  </si>
  <si>
    <t>Rute</t>
  </si>
  <si>
    <t>KILOMETERSPESIFIKASJON</t>
  </si>
  <si>
    <t>SUM</t>
  </si>
  <si>
    <t>Antall mulige turer, daglig</t>
  </si>
  <si>
    <t>Turer per dag, totalt</t>
  </si>
  <si>
    <t>Turer per dag, per bil</t>
  </si>
  <si>
    <t>Månedslønn (kr)</t>
  </si>
  <si>
    <t>Uregelmessige tillegg (kr)</t>
  </si>
  <si>
    <t>Bonus (kr)</t>
  </si>
  <si>
    <t>Overtidsgodtgjørelse (kr)</t>
  </si>
  <si>
    <t>2018</t>
  </si>
  <si>
    <t>Lastebil- og trailersjåfører</t>
  </si>
  <si>
    <t>Sum alle sektorer</t>
  </si>
  <si>
    <t>Månedslønn, etter statistikkmål, yrke, sektor, statistikkvariabel og år</t>
  </si>
  <si>
    <t>SUM, 2015</t>
  </si>
  <si>
    <t>SUM, 2016</t>
  </si>
  <si>
    <t>SUM, 2017</t>
  </si>
  <si>
    <t>SUM, 2018</t>
  </si>
  <si>
    <t>Økning</t>
  </si>
  <si>
    <t>PROGNOSE - SUM, 2019</t>
  </si>
  <si>
    <t>PROGNOSE - SUM, 2020</t>
  </si>
  <si>
    <t>PROGNOSE - SUM, 2021</t>
  </si>
  <si>
    <t>Standard dagsverk i timer, per lastebil</t>
  </si>
  <si>
    <t>Blandet næringsavfall, inkl. bygge- og riveavfall</t>
  </si>
  <si>
    <t>FREDAG</t>
  </si>
  <si>
    <t>MANDAG</t>
  </si>
  <si>
    <t>TIRSDAG</t>
  </si>
  <si>
    <t>ONSDAG</t>
  </si>
  <si>
    <t>TORSDAG</t>
  </si>
  <si>
    <t>optimistisk</t>
  </si>
  <si>
    <t>pessimistisk</t>
  </si>
  <si>
    <t>INFOBOKS</t>
  </si>
  <si>
    <t>Trafikk konsentrert mellom Skjetten/Skedsmo og Frogner</t>
  </si>
  <si>
    <t>Trafikk konsentrert i varierende grad mellom Alnabru og Skedsmokorset langs E6.</t>
  </si>
  <si>
    <t>Trafikk konsentrert ved E18 langs Ekeberg.</t>
  </si>
  <si>
    <t>Trafikk konsentrert i strekningen mellom Asker og Fornebu.</t>
  </si>
  <si>
    <t xml:space="preserve">Trafikk konsentrert langs E6 ved Skedsmokorset. </t>
  </si>
  <si>
    <t>TRAFIKKINFORMASJON FOR NULLALTERNATIVET - estimerte kjøretider i antall minutter fra Oslo sentrum til utvalgte deponiområder og tilbake, i separerte tabeller</t>
  </si>
  <si>
    <t>Kilometer kjørt totalt i oppdraget</t>
  </si>
  <si>
    <t>Antall kilometer</t>
  </si>
  <si>
    <t>Oslo, Lindum (Drammen)</t>
  </si>
  <si>
    <t>Lindum, Oslo</t>
  </si>
  <si>
    <t>Oslo, ROAF (Skedsmo)</t>
  </si>
  <si>
    <t>ROAF, Oslo</t>
  </si>
  <si>
    <t>Oslo, Skjørten (Askim)</t>
  </si>
  <si>
    <t>Skjørten (Askim), Oslo</t>
  </si>
  <si>
    <t>Oslo, Asak (Sørum)</t>
  </si>
  <si>
    <t>Asak, Oslo</t>
  </si>
  <si>
    <t>Utenom rush</t>
  </si>
  <si>
    <t>Toveis betaling</t>
  </si>
  <si>
    <t>Euro V</t>
  </si>
  <si>
    <t>Euro VI</t>
  </si>
  <si>
    <t>Nullutslipp</t>
  </si>
  <si>
    <t>Totale bomavgifter begge veier, m/rush</t>
  </si>
  <si>
    <t>BOMAVGIFTER ETTER 1. JUNI 2019, Euro VI eller eldre</t>
  </si>
  <si>
    <r>
      <t>Bompenger sentrum til deponi</t>
    </r>
    <r>
      <rPr>
        <b/>
        <sz val="11"/>
        <color theme="1"/>
        <rFont val="Calibri"/>
        <family val="2"/>
        <scheme val="minor"/>
      </rPr>
      <t xml:space="preserve"> m/rush</t>
    </r>
  </si>
  <si>
    <r>
      <t xml:space="preserve">Bompenger deponi til sentrum </t>
    </r>
    <r>
      <rPr>
        <b/>
        <sz val="11"/>
        <color theme="1"/>
        <rFont val="Calibri"/>
        <family val="2"/>
        <scheme val="minor"/>
      </rPr>
      <t>m/rush</t>
    </r>
  </si>
  <si>
    <t>Takstgruppe 2: Indre ring, Osloringen og bygrensen etter 1. juni 2019</t>
  </si>
  <si>
    <t>Data hentet fra Fjellinjen</t>
  </si>
  <si>
    <t>Maks passeringer Bygrensen</t>
  </si>
  <si>
    <t>Maks passeringer Osloringen/Indre ring</t>
  </si>
  <si>
    <r>
      <t xml:space="preserve">Estimert kjøretid i minutter, </t>
    </r>
    <r>
      <rPr>
        <b/>
        <i/>
        <sz val="11"/>
        <color theme="1"/>
        <rFont val="Calibri"/>
        <family val="2"/>
        <scheme val="minor"/>
      </rPr>
      <t>Oslo sentrum</t>
    </r>
    <r>
      <rPr>
        <i/>
        <sz val="11"/>
        <color theme="1"/>
        <rFont val="Calibri"/>
        <family val="2"/>
        <scheme val="minor"/>
      </rPr>
      <t xml:space="preserve"> (Akershusstranda 19) til </t>
    </r>
    <r>
      <rPr>
        <b/>
        <i/>
        <sz val="11"/>
        <color theme="1"/>
        <rFont val="Calibri"/>
        <family val="2"/>
        <scheme val="minor"/>
      </rPr>
      <t>Esval Miljøpark</t>
    </r>
    <r>
      <rPr>
        <i/>
        <sz val="11"/>
        <color theme="1"/>
        <rFont val="Calibri"/>
        <family val="2"/>
        <scheme val="minor"/>
      </rPr>
      <t xml:space="preserve"> (Miljøparkvegen 112) - 57,4 til 60,1km langs hovedrute (E6):</t>
    </r>
  </si>
  <si>
    <t xml:space="preserve">Trafikk konsentrert i strekningen fra Alna-Furuset, løsner opp på Skedsmokorset. </t>
  </si>
  <si>
    <r>
      <t xml:space="preserve">Estimert kjøretid i minutter, fra </t>
    </r>
    <r>
      <rPr>
        <b/>
        <i/>
        <sz val="11"/>
        <color theme="1"/>
        <rFont val="Calibri"/>
        <family val="2"/>
        <scheme val="minor"/>
      </rPr>
      <t>Esval Miljøpark (Miljøparkvegen 112)</t>
    </r>
    <r>
      <rPr>
        <i/>
        <sz val="11"/>
        <color theme="1"/>
        <rFont val="Calibri"/>
        <family val="2"/>
        <scheme val="minor"/>
      </rPr>
      <t xml:space="preserve"> til </t>
    </r>
    <r>
      <rPr>
        <b/>
        <i/>
        <sz val="11"/>
        <color theme="1"/>
        <rFont val="Calibri"/>
        <family val="2"/>
        <scheme val="minor"/>
      </rPr>
      <t xml:space="preserve">Oslo sentrum (Akershusstranda 19) </t>
    </r>
    <r>
      <rPr>
        <i/>
        <sz val="11"/>
        <color theme="1"/>
        <rFont val="Calibri"/>
        <family val="2"/>
        <scheme val="minor"/>
      </rPr>
      <t>- mellom 57,2 og 61,3km langs hovedrute (E18):</t>
    </r>
  </si>
  <si>
    <t xml:space="preserve">Trafikk konsentrert ved Ulven og i Operatunnelen. </t>
  </si>
  <si>
    <t>Vektårsavgift</t>
  </si>
  <si>
    <t>Total årslønn pr. årsverk</t>
  </si>
  <si>
    <t>Chassis, navn</t>
  </si>
  <si>
    <t>Maks nyttelast, bil alene</t>
  </si>
  <si>
    <t>Motorytelse/effekt, i KW</t>
  </si>
  <si>
    <t>Motorytelse/effekt, i HK</t>
  </si>
  <si>
    <t>Nåværende kilometerstand</t>
  </si>
  <si>
    <t>Antall aksler</t>
  </si>
  <si>
    <t>Miljøklasse</t>
  </si>
  <si>
    <t>Euro 6T</t>
  </si>
  <si>
    <t>Investeringssum med henger/påbygg</t>
  </si>
  <si>
    <t>Pris, henger</t>
  </si>
  <si>
    <t>Chassis, investeringssum (uten henger)</t>
  </si>
  <si>
    <t>Maks nyttelast, henger alene</t>
  </si>
  <si>
    <r>
      <t xml:space="preserve">Slagvolum </t>
    </r>
    <r>
      <rPr>
        <i/>
        <sz val="11"/>
        <color theme="1"/>
        <rFont val="Calibri"/>
        <family val="2"/>
        <scheme val="minor"/>
      </rPr>
      <t>(cm3)</t>
    </r>
  </si>
  <si>
    <t>Modell</t>
  </si>
  <si>
    <t>Årsmodell</t>
  </si>
  <si>
    <t>Kilometerstand</t>
  </si>
  <si>
    <t>Pris</t>
  </si>
  <si>
    <t>Mercedes-Benz</t>
  </si>
  <si>
    <t>Aksler</t>
  </si>
  <si>
    <t>Arocs (510HK)</t>
  </si>
  <si>
    <t>Arocs (450HK)</t>
  </si>
  <si>
    <t>Arocs (530HK)</t>
  </si>
  <si>
    <t>Arocs (570HK)</t>
  </si>
  <si>
    <t>Scania</t>
  </si>
  <si>
    <t>R 500 (500HK)</t>
  </si>
  <si>
    <t>R 580 (580HK)</t>
  </si>
  <si>
    <t>På Mascus.no og Finn.no per 28. mai:</t>
  </si>
  <si>
    <t xml:space="preserve">Scania </t>
  </si>
  <si>
    <t>G490 (490HK)</t>
  </si>
  <si>
    <t>G480 (480HK)</t>
  </si>
  <si>
    <t>R 560 (560HK)</t>
  </si>
  <si>
    <t>Scania (OBS! Auksjon)</t>
  </si>
  <si>
    <t>Volvo</t>
  </si>
  <si>
    <t>FH13 (540HK)</t>
  </si>
  <si>
    <t>FH 540 (550HK)</t>
  </si>
  <si>
    <t>FH16 (750HK)</t>
  </si>
  <si>
    <t>FMX 540 (540HK)</t>
  </si>
  <si>
    <t>FH12 (540HK)</t>
  </si>
  <si>
    <t>FH 540 (540HK)</t>
  </si>
  <si>
    <t>Fra Grønland-rapport:</t>
  </si>
  <si>
    <t>Fordeling av distanseavhengige kostnadskomponenter i andel av kilometerkostnad:</t>
  </si>
  <si>
    <t>Semitrailer (trekkvogn og henger)</t>
  </si>
  <si>
    <t>Vedlikehold</t>
  </si>
  <si>
    <t>Drivstoff</t>
  </si>
  <si>
    <t>Dekk, rekvisita</t>
  </si>
  <si>
    <t>Lett distribusjon</t>
  </si>
  <si>
    <t>Tung distribusjon, kassebil</t>
  </si>
  <si>
    <t>Tung distribusjon, containere</t>
  </si>
  <si>
    <t>Tømmer (med henger)</t>
  </si>
  <si>
    <t>Tankbil (trekkvogn med semihenger)</t>
  </si>
  <si>
    <t>Lastebil med henger</t>
  </si>
  <si>
    <t>Hentet fra Kostnadsmodeller for transport og logistikk - basisåret 2016 (Stein Erik Grønland).</t>
  </si>
  <si>
    <t>Kapitalkostnad</t>
  </si>
  <si>
    <t>Lønnskostnad</t>
  </si>
  <si>
    <t>Grønland opererer med tidskostnader (kroner/time) på 456 for kjøretøytypen.</t>
  </si>
  <si>
    <t>Grønland opererer med distansekostnader  (kroner/kilometer) på 6,97 for kjøretøytypen.</t>
  </si>
  <si>
    <t>10729: Renter på nye utlån (prosent), etter utlånstype, sektor, statistikkvariabel og måned</t>
  </si>
  <si>
    <t>Renter på nye utlån</t>
  </si>
  <si>
    <t>2018M10</t>
  </si>
  <si>
    <t>2018M11</t>
  </si>
  <si>
    <t>2018M12</t>
  </si>
  <si>
    <t>2019M01</t>
  </si>
  <si>
    <t>2019M02</t>
  </si>
  <si>
    <t>2019M03</t>
  </si>
  <si>
    <t>Totale nedbetalingslån</t>
  </si>
  <si>
    <t>Totalt</t>
  </si>
  <si>
    <t>Andre nedbetalingslån</t>
  </si>
  <si>
    <t>Renter på nye utlån:</t>
  </si>
  <si>
    <t>20190528 08:00</t>
  </si>
  <si>
    <t>Hentet fra Proff Forvalt.</t>
  </si>
  <si>
    <t>Betong med armering</t>
  </si>
  <si>
    <t>Betong uten armering</t>
  </si>
  <si>
    <t>Jern og metaller</t>
  </si>
  <si>
    <t>Masser - grus/sand/stein</t>
  </si>
  <si>
    <t xml:space="preserve">1m³ </t>
  </si>
  <si>
    <t>5m³</t>
  </si>
  <si>
    <t>10m³</t>
  </si>
  <si>
    <t>15m³</t>
  </si>
  <si>
    <t>Relevante volum- og vektdata, i tonn (Norsk Gjenvinning)</t>
  </si>
  <si>
    <t xml:space="preserve">Fra Norsk Gjenvinning, finnes komplett som vedlegg. </t>
  </si>
  <si>
    <t>HADELAND ANLEGG</t>
  </si>
  <si>
    <t>ACTION TRANSPORT</t>
  </si>
  <si>
    <t>BJØRNARS TRANSPORT</t>
  </si>
  <si>
    <t>TRANSPORTSERVICE</t>
  </si>
  <si>
    <t>KJÆRSTAD TRANSPORT</t>
  </si>
  <si>
    <t xml:space="preserve">OPG ANLEGG </t>
  </si>
  <si>
    <t>HADELAND MASKINDRIFT</t>
  </si>
  <si>
    <t>TOM WILHELMSEN</t>
  </si>
  <si>
    <t>T-FORMIDLINGEN</t>
  </si>
  <si>
    <t>ALF JOHANSEN</t>
  </si>
  <si>
    <t>Utregning av månedstak</t>
  </si>
  <si>
    <t>Dieselkostnader (kr per kilometer)</t>
  </si>
  <si>
    <t>Dieselforbruk (liter per kilometer)</t>
  </si>
  <si>
    <t>Dag</t>
  </si>
  <si>
    <t>Natt</t>
  </si>
  <si>
    <t xml:space="preserve">Trafikk konsentrert i strekningen Lysaker-Stabekk-Sandvika-Holmen. </t>
  </si>
  <si>
    <t>Tur-retur</t>
  </si>
  <si>
    <t xml:space="preserve">OBS! </t>
  </si>
  <si>
    <r>
      <t xml:space="preserve">Første halvdel av denne tabellen består av bortkjøringen, </t>
    </r>
    <r>
      <rPr>
        <b/>
        <sz val="11"/>
        <color theme="1"/>
        <rFont val="Calibri"/>
        <family val="2"/>
        <scheme val="minor"/>
      </rPr>
      <t>med last</t>
    </r>
  </si>
  <si>
    <r>
      <t xml:space="preserve">Denne veien omfatter tilbakekjøringen for å hente mer last, </t>
    </r>
    <r>
      <rPr>
        <b/>
        <sz val="11"/>
        <color theme="1"/>
        <rFont val="Calibri"/>
        <family val="2"/>
        <scheme val="minor"/>
      </rPr>
      <t>tomkjøring</t>
    </r>
  </si>
  <si>
    <r>
      <t xml:space="preserve">Estimert kjøretid i minutter, Oslo sentrum </t>
    </r>
    <r>
      <rPr>
        <b/>
        <i/>
        <sz val="11"/>
        <color theme="1"/>
        <rFont val="Calibri"/>
        <family val="2"/>
        <scheme val="minor"/>
      </rPr>
      <t>(Akershusstranda 19)</t>
    </r>
    <r>
      <rPr>
        <i/>
        <sz val="11"/>
        <color theme="1"/>
        <rFont val="Calibri"/>
        <family val="2"/>
        <scheme val="minor"/>
      </rPr>
      <t xml:space="preserve"> til Lindum </t>
    </r>
    <r>
      <rPr>
        <b/>
        <i/>
        <sz val="11"/>
        <color theme="1"/>
        <rFont val="Calibri"/>
        <family val="2"/>
        <scheme val="minor"/>
      </rPr>
      <t>(Lerpeveien 155)</t>
    </r>
    <r>
      <rPr>
        <i/>
        <sz val="11"/>
        <color theme="1"/>
        <rFont val="Calibri"/>
        <family val="2"/>
        <scheme val="minor"/>
      </rPr>
      <t xml:space="preserve"> - 50,5km langs hovedrute (E18):</t>
    </r>
  </si>
  <si>
    <r>
      <t>Estimert kjøretid i minutter, fra Lindum</t>
    </r>
    <r>
      <rPr>
        <b/>
        <i/>
        <sz val="11"/>
        <color theme="1"/>
        <rFont val="Calibri"/>
        <family val="2"/>
        <scheme val="minor"/>
      </rPr>
      <t xml:space="preserve"> (Lerpeveien 155)</t>
    </r>
    <r>
      <rPr>
        <i/>
        <sz val="11"/>
        <color theme="1"/>
        <rFont val="Calibri"/>
        <family val="2"/>
        <scheme val="minor"/>
      </rPr>
      <t xml:space="preserve"> til Oslo sentrum </t>
    </r>
    <r>
      <rPr>
        <b/>
        <i/>
        <sz val="11"/>
        <color theme="1"/>
        <rFont val="Calibri"/>
        <family val="2"/>
        <scheme val="minor"/>
      </rPr>
      <t>(Akershusstranda 19)</t>
    </r>
    <r>
      <rPr>
        <i/>
        <sz val="11"/>
        <color theme="1"/>
        <rFont val="Calibri"/>
        <family val="2"/>
        <scheme val="minor"/>
      </rPr>
      <t xml:space="preserve"> - 50,1km langs hovedrute (E18):</t>
    </r>
  </si>
  <si>
    <r>
      <t>Estimert kjøretid i minutter, Oslo sentrum</t>
    </r>
    <r>
      <rPr>
        <b/>
        <i/>
        <sz val="11"/>
        <color theme="1"/>
        <rFont val="Calibri"/>
        <family val="2"/>
        <scheme val="minor"/>
      </rPr>
      <t xml:space="preserve"> (Akershusstranda 19)</t>
    </r>
    <r>
      <rPr>
        <i/>
        <sz val="11"/>
        <color theme="1"/>
        <rFont val="Calibri"/>
        <family val="2"/>
        <scheme val="minor"/>
      </rPr>
      <t xml:space="preserve"> til ROAF </t>
    </r>
    <r>
      <rPr>
        <b/>
        <i/>
        <sz val="11"/>
        <color theme="1"/>
        <rFont val="Calibri"/>
        <family val="2"/>
        <scheme val="minor"/>
      </rPr>
      <t xml:space="preserve">(Bølerveien 93) </t>
    </r>
    <r>
      <rPr>
        <i/>
        <sz val="11"/>
        <color theme="1"/>
        <rFont val="Calibri"/>
        <family val="2"/>
        <scheme val="minor"/>
      </rPr>
      <t>- mellom 27,1 - 30,2km langs hovedrute (E6):</t>
    </r>
  </si>
  <si>
    <r>
      <t xml:space="preserve">Estimert kjøretid i minutter, fra ROAF </t>
    </r>
    <r>
      <rPr>
        <b/>
        <i/>
        <sz val="11"/>
        <color theme="1"/>
        <rFont val="Calibri"/>
        <family val="2"/>
        <scheme val="minor"/>
      </rPr>
      <t>(Bølerveien 93)</t>
    </r>
    <r>
      <rPr>
        <i/>
        <sz val="11"/>
        <color theme="1"/>
        <rFont val="Calibri"/>
        <family val="2"/>
        <scheme val="minor"/>
      </rPr>
      <t xml:space="preserve"> til Oslo sentrum </t>
    </r>
    <r>
      <rPr>
        <b/>
        <i/>
        <sz val="11"/>
        <color theme="1"/>
        <rFont val="Calibri"/>
        <family val="2"/>
        <scheme val="minor"/>
      </rPr>
      <t>(Akershusstranda 19)</t>
    </r>
    <r>
      <rPr>
        <i/>
        <sz val="11"/>
        <color theme="1"/>
        <rFont val="Calibri"/>
        <family val="2"/>
        <scheme val="minor"/>
      </rPr>
      <t xml:space="preserve"> mellom 27,1 - 30,2km langs hovedrute (E6):</t>
    </r>
  </si>
  <si>
    <r>
      <t xml:space="preserve">Estimert kjøretid i minutter, Oslo sentrum </t>
    </r>
    <r>
      <rPr>
        <b/>
        <i/>
        <sz val="11"/>
        <color theme="1"/>
        <rFont val="Calibri"/>
        <family val="2"/>
        <scheme val="minor"/>
      </rPr>
      <t xml:space="preserve">(Akershusstranda 19) </t>
    </r>
    <r>
      <rPr>
        <i/>
        <sz val="11"/>
        <color theme="1"/>
        <rFont val="Calibri"/>
        <family val="2"/>
        <scheme val="minor"/>
      </rPr>
      <t>til Skjørten Massemottak (</t>
    </r>
    <r>
      <rPr>
        <b/>
        <i/>
        <sz val="11"/>
        <color theme="1"/>
        <rFont val="Calibri"/>
        <family val="2"/>
        <scheme val="minor"/>
      </rPr>
      <t>Vammaveien</t>
    </r>
    <r>
      <rPr>
        <i/>
        <sz val="11"/>
        <color theme="1"/>
        <rFont val="Calibri"/>
        <family val="2"/>
        <scheme val="minor"/>
      </rPr>
      <t>) - 53,6km langs hovedrute (E18):</t>
    </r>
  </si>
  <si>
    <r>
      <t>Estimert kjøretid i minutter, Skjørten Massemottak</t>
    </r>
    <r>
      <rPr>
        <b/>
        <i/>
        <sz val="11"/>
        <color theme="1"/>
        <rFont val="Calibri"/>
        <family val="2"/>
        <scheme val="minor"/>
      </rPr>
      <t xml:space="preserve"> (Vammaveien)</t>
    </r>
    <r>
      <rPr>
        <i/>
        <sz val="11"/>
        <color theme="1"/>
        <rFont val="Calibri"/>
        <family val="2"/>
        <scheme val="minor"/>
      </rPr>
      <t xml:space="preserve"> til Oslo sentrum </t>
    </r>
    <r>
      <rPr>
        <b/>
        <i/>
        <sz val="11"/>
        <color theme="1"/>
        <rFont val="Calibri"/>
        <family val="2"/>
        <scheme val="minor"/>
      </rPr>
      <t>(Akershusstranda 19)</t>
    </r>
    <r>
      <rPr>
        <i/>
        <sz val="11"/>
        <color theme="1"/>
        <rFont val="Calibri"/>
        <family val="2"/>
        <scheme val="minor"/>
      </rPr>
      <t xml:space="preserve"> - 54,3km langs hovedrute (E18):</t>
    </r>
  </si>
  <si>
    <r>
      <t xml:space="preserve">Estimert kjøretid i minutter, Oslo sentrum </t>
    </r>
    <r>
      <rPr>
        <b/>
        <i/>
        <sz val="11"/>
        <color theme="1"/>
        <rFont val="Calibri"/>
        <family val="2"/>
        <scheme val="minor"/>
      </rPr>
      <t xml:space="preserve">(Akershusstranda 19) </t>
    </r>
    <r>
      <rPr>
        <i/>
        <sz val="11"/>
        <color theme="1"/>
        <rFont val="Calibri"/>
        <family val="2"/>
        <scheme val="minor"/>
      </rPr>
      <t xml:space="preserve">til Asak Massemottak </t>
    </r>
    <r>
      <rPr>
        <b/>
        <i/>
        <sz val="11"/>
        <color theme="1"/>
        <rFont val="Calibri"/>
        <family val="2"/>
        <scheme val="minor"/>
      </rPr>
      <t xml:space="preserve">(Asakvegen 60) </t>
    </r>
    <r>
      <rPr>
        <i/>
        <sz val="11"/>
        <color theme="1"/>
        <rFont val="Calibri"/>
        <family val="2"/>
        <scheme val="minor"/>
      </rPr>
      <t>- mellom 35,1 og 37,8km langs hovedrute (E6):</t>
    </r>
  </si>
  <si>
    <r>
      <t xml:space="preserve">Estimert kjøretid i minutter, Asak Massemottak </t>
    </r>
    <r>
      <rPr>
        <b/>
        <i/>
        <sz val="11"/>
        <color theme="1"/>
        <rFont val="Calibri"/>
        <family val="2"/>
        <scheme val="minor"/>
      </rPr>
      <t>(Asakvegen 60)</t>
    </r>
    <r>
      <rPr>
        <i/>
        <sz val="11"/>
        <color theme="1"/>
        <rFont val="Calibri"/>
        <family val="2"/>
        <scheme val="minor"/>
      </rPr>
      <t xml:space="preserve"> til Oslo sentrum </t>
    </r>
    <r>
      <rPr>
        <b/>
        <i/>
        <sz val="11"/>
        <color theme="1"/>
        <rFont val="Calibri"/>
        <family val="2"/>
        <scheme val="minor"/>
      </rPr>
      <t>(Akershusstranda 19)</t>
    </r>
    <r>
      <rPr>
        <i/>
        <sz val="11"/>
        <color theme="1"/>
        <rFont val="Calibri"/>
        <family val="2"/>
        <scheme val="minor"/>
      </rPr>
      <t xml:space="preserve"> - mellom 35,8 og 38,9km langs hovedrute (E6):</t>
    </r>
  </si>
  <si>
    <t>Mandag</t>
  </si>
  <si>
    <t>Tirsdag</t>
  </si>
  <si>
    <t>Onsdag</t>
  </si>
  <si>
    <t>Torsdag</t>
  </si>
  <si>
    <t>Fredag</t>
  </si>
  <si>
    <t>Kjøretid begge veier, minutter</t>
  </si>
  <si>
    <t>Kjøretid begge veier, timer</t>
  </si>
  <si>
    <t>Strekning</t>
  </si>
  <si>
    <t>Lastetid, per last</t>
  </si>
  <si>
    <t>Treakslet</t>
  </si>
  <si>
    <t>Kombinert (3+2)</t>
  </si>
  <si>
    <t>Hentet fra Skatteetaten.no.</t>
  </si>
  <si>
    <t>Kjøretøytype</t>
  </si>
  <si>
    <t>Utslippsfaktor</t>
  </si>
  <si>
    <t>Activity</t>
  </si>
  <si>
    <t>Type</t>
  </si>
  <si>
    <t>Unit</t>
  </si>
  <si>
    <r>
      <t>kg CO</t>
    </r>
    <r>
      <rPr>
        <vertAlign val="subscript"/>
        <sz val="11"/>
        <color indexed="56"/>
        <rFont val="Calibri"/>
        <family val="2"/>
      </rPr>
      <t>2</t>
    </r>
    <r>
      <rPr>
        <sz val="11"/>
        <color indexed="56"/>
        <rFont val="Calibri"/>
        <family val="2"/>
      </rPr>
      <t>e</t>
    </r>
  </si>
  <si>
    <r>
      <t>kg CO</t>
    </r>
    <r>
      <rPr>
        <vertAlign val="subscript"/>
        <sz val="11"/>
        <color indexed="56"/>
        <rFont val="Calibri"/>
        <family val="2"/>
      </rPr>
      <t>2</t>
    </r>
  </si>
  <si>
    <r>
      <t>kg CH</t>
    </r>
    <r>
      <rPr>
        <vertAlign val="subscript"/>
        <sz val="11"/>
        <color indexed="56"/>
        <rFont val="Calibri"/>
        <family val="2"/>
      </rPr>
      <t>4</t>
    </r>
  </si>
  <si>
    <r>
      <t>kg N</t>
    </r>
    <r>
      <rPr>
        <vertAlign val="subscript"/>
        <sz val="11"/>
        <color indexed="56"/>
        <rFont val="Calibri"/>
        <family val="2"/>
      </rPr>
      <t>2</t>
    </r>
    <r>
      <rPr>
        <sz val="11"/>
        <color indexed="56"/>
        <rFont val="Calibri"/>
        <family val="2"/>
      </rPr>
      <t>O</t>
    </r>
  </si>
  <si>
    <t>Rigid (&gt;3.5 - 7.5 tonnes)</t>
  </si>
  <si>
    <t>km</t>
  </si>
  <si>
    <t>miles</t>
  </si>
  <si>
    <t>Rigid (&gt;7.5 tonnes-17 tonnes)</t>
  </si>
  <si>
    <t>Rigid (&gt;17 tonnes)</t>
  </si>
  <si>
    <t>All rigids</t>
  </si>
  <si>
    <t>Articulated (&gt;3.5 - 33t)</t>
  </si>
  <si>
    <t>Articulated (&gt;33t)</t>
  </si>
  <si>
    <t>All artics</t>
  </si>
  <si>
    <t>All HGVs</t>
  </si>
  <si>
    <t>HGV (all diesel)</t>
  </si>
  <si>
    <t>Tippbiler, maksimal vekt 33 tonn</t>
  </si>
  <si>
    <t>Tippbiler, maksimal vekt &gt;33 tonn</t>
  </si>
  <si>
    <t>Ingen last (kapasitetsutnyttelse lik null)</t>
  </si>
  <si>
    <t>Kapasitetsutnyttelse lik 50 prosent</t>
  </si>
  <si>
    <t>KG/CO2e</t>
  </si>
  <si>
    <t>Kapasitetsutnyttelse lik 100 prosent</t>
  </si>
  <si>
    <t>Tonnkilometer per tur</t>
  </si>
  <si>
    <t>Relevante aktiviteter oppgis å starte etter fullført innsamling av mengdene strøsand- og grus.</t>
  </si>
  <si>
    <t>Maks nyttelast totalt</t>
  </si>
  <si>
    <t>Totalt investert i lastebiler med hengere</t>
  </si>
  <si>
    <t>Rentesats</t>
  </si>
  <si>
    <t>Restverdi</t>
  </si>
  <si>
    <t>Levetid, antall år</t>
  </si>
  <si>
    <t>Volvo FH 540 (6x4)</t>
  </si>
  <si>
    <t>Nytt sett med dekk, 385/65R22,5</t>
  </si>
  <si>
    <t>Sum lønnskostnader, per tur</t>
  </si>
  <si>
    <t>Lønn til administrasjon</t>
  </si>
  <si>
    <t>Total kjøretid</t>
  </si>
  <si>
    <t>Antall arbeidsdager påkrevd</t>
  </si>
  <si>
    <t>Sosiale kostnader i prosent</t>
  </si>
  <si>
    <t>Ledere av logistikk og transport mv.</t>
  </si>
  <si>
    <t>Månedslønn sjåfør, snitt</t>
  </si>
  <si>
    <t>Årslønn sjåfør, snitt</t>
  </si>
  <si>
    <t>Månedslønn administrativt arbeid, snitt</t>
  </si>
  <si>
    <t>Fiktiv Transport AS</t>
  </si>
  <si>
    <t>Lønn basert på årsverk</t>
  </si>
  <si>
    <t>Én bil</t>
  </si>
  <si>
    <t>I rushtiden (06:30 til 09:00) og (15:00 til 17:00)</t>
  </si>
  <si>
    <t>Månedstak, én bil</t>
  </si>
  <si>
    <t>Månedstak, fire biler</t>
  </si>
  <si>
    <t>Vrakpantavgift</t>
  </si>
  <si>
    <t>Alle biler (4)</t>
  </si>
  <si>
    <t>Lossetid, per last</t>
  </si>
  <si>
    <t>Generell kilometerspesifikasjon</t>
  </si>
  <si>
    <t>Lindumbilen</t>
  </si>
  <si>
    <t>Roafbilen</t>
  </si>
  <si>
    <t>Skjørtenbilen</t>
  </si>
  <si>
    <t>Asakbilen</t>
  </si>
  <si>
    <t>Kost til dekk</t>
  </si>
  <si>
    <t>Antall uker</t>
  </si>
  <si>
    <t>Arbeidsdager i uken</t>
  </si>
  <si>
    <t>Årslønn, sjåfør</t>
  </si>
  <si>
    <t>Serviceavtale</t>
  </si>
  <si>
    <t>Sosiale kostnader er kostnadsdifferansen mellom lønn og "kun lønn", har ekskludert dette nøkkeltallet fra en av bedriftene i bransjesammenligningen pga for høyt avvik.</t>
  </si>
  <si>
    <t>Medregnet overtidstillegg, sosiale kostnader</t>
  </si>
  <si>
    <t>Spesielt tilpasset kilometerspesifikasjon</t>
  </si>
  <si>
    <t>Timelønn ved overtidsarbeid</t>
  </si>
  <si>
    <t>SUM KOSTNADER</t>
  </si>
  <si>
    <t>Brutto turpris, etter fortjeneste</t>
  </si>
  <si>
    <t>Tonnpris</t>
  </si>
  <si>
    <t>Timepris</t>
  </si>
  <si>
    <t>Priser</t>
  </si>
  <si>
    <t>Tonnkilometer totalt (250 turer hver)</t>
  </si>
  <si>
    <t>Antall turer for oppdraget, hver bil</t>
  </si>
  <si>
    <t xml:space="preserve">I sitt fjere år ser bilens verdi til å variere, naturligvis avhengig av kilometerstand, utstyrsnivå og forfatning ellers - større variasjon for kategorien alle, men det skyldes nok større datamengde. </t>
  </si>
  <si>
    <t>Priser hentet fra Fjellinjen.</t>
  </si>
  <si>
    <t>Fordeling av tidsavhengige kostnadskomponenter i andel av tidskostnad</t>
  </si>
  <si>
    <t>Rentesats og etableringsgebyr til bruk i kapitalkostnadsposten, oktober 2018 til mars 2019</t>
  </si>
  <si>
    <t>Se "Trafikkdata, nullalt."</t>
  </si>
  <si>
    <t>Storgata 10</t>
  </si>
  <si>
    <t>Gateadresse</t>
  </si>
  <si>
    <t>Kjøretid - trafikk</t>
  </si>
  <si>
    <t>Holmens gate 5</t>
  </si>
  <si>
    <t>Johanne Dybwads plass 1</t>
  </si>
  <si>
    <t>Uranienborgveien 13</t>
  </si>
  <si>
    <t>Reisetider, utgangspunkt fra Oslo havn (Akershusstranda 19)</t>
  </si>
  <si>
    <t>Sannergata 12</t>
  </si>
  <si>
    <t>Avstand i km</t>
  </si>
  <si>
    <t>Kjøretid - u/trafikk</t>
  </si>
  <si>
    <t>Sandakerveien 16</t>
  </si>
  <si>
    <t>Normørgata 14</t>
  </si>
  <si>
    <t>Louises gate 15</t>
  </si>
  <si>
    <t>To måneder, åtte uker</t>
  </si>
  <si>
    <t>Åtte uker, 40 dager</t>
  </si>
  <si>
    <t>Gjennomsnitt, verdi 2015</t>
  </si>
  <si>
    <t>Nypris 2019</t>
  </si>
  <si>
    <t>Hentet fra SSB.</t>
  </si>
  <si>
    <t>Årslønn administrativt arbeid, snitt</t>
  </si>
  <si>
    <t>Antall kjøretøy</t>
  </si>
  <si>
    <t xml:space="preserve">For Volvo er gjennomsnittlig restverdi etter fire år ca. 40 prosent dersom man ekskluderer ekstremverdien. </t>
  </si>
  <si>
    <t>Etableringsgebyr</t>
  </si>
  <si>
    <t>Scenario 1 (Strøsand- og grus)</t>
  </si>
  <si>
    <t>Scenario 2 (Overskuddsmasser)</t>
  </si>
  <si>
    <t>SUM I NOK</t>
  </si>
  <si>
    <r>
      <t>NULLALTERNATIVET I</t>
    </r>
    <r>
      <rPr>
        <b/>
        <sz val="11"/>
        <color theme="1"/>
        <rFont val="Calibri"/>
        <family val="2"/>
        <scheme val="minor"/>
      </rPr>
      <t xml:space="preserve"> CO2</t>
    </r>
  </si>
  <si>
    <r>
      <t xml:space="preserve">NULLALTERNATIVET I </t>
    </r>
    <r>
      <rPr>
        <b/>
        <sz val="11"/>
        <color theme="1"/>
        <rFont val="Calibri"/>
        <family val="2"/>
        <scheme val="minor"/>
      </rPr>
      <t>NOK</t>
    </r>
  </si>
  <si>
    <t>Maks totalvekt</t>
  </si>
  <si>
    <t>Fyllingsgrad</t>
  </si>
  <si>
    <t>SUM I CO2-ekvivalenter</t>
  </si>
  <si>
    <t>Strømpris (per kWh)</t>
  </si>
  <si>
    <t>Strømforbruk (kWh per km)</t>
  </si>
  <si>
    <t>Kraftpriser i sluttbrukermarkedet, kvartalsvis. Øre/kWh</t>
  </si>
  <si>
    <t/>
  </si>
  <si>
    <t>1. kvartal 2019</t>
  </si>
  <si>
    <t>Endring i prosent</t>
  </si>
  <si>
    <t>Øre/kWh</t>
  </si>
  <si>
    <t>Siste 3 md.</t>
  </si>
  <si>
    <t>Siste 12 md.</t>
  </si>
  <si>
    <t>Husholdninger. Total pris for kraft, nettleie og avgifter</t>
  </si>
  <si>
    <t>Kraftpris</t>
  </si>
  <si>
    <t>Nettleie</t>
  </si>
  <si>
    <t>Avgifter</t>
  </si>
  <si>
    <t>Husholdninger. Kraftpris etter kontraktstype. Ekskl. avgifter</t>
  </si>
  <si>
    <r>
      <t>Nye fastpriskontrakter-inntil 1-års varighet</t>
    </r>
    <r>
      <rPr>
        <vertAlign val="superscript"/>
        <sz val="10"/>
        <rFont val="Arial Unicode MS"/>
      </rPr>
      <t>1</t>
    </r>
  </si>
  <si>
    <r>
      <t>Nye fastpriskontrakter-Over 1-års varighet</t>
    </r>
    <r>
      <rPr>
        <vertAlign val="superscript"/>
        <sz val="10"/>
        <rFont val="Arial Unicode MS"/>
      </rPr>
      <t>1</t>
    </r>
  </si>
  <si>
    <t>Alle andre fastpriskontrakter</t>
  </si>
  <si>
    <t>Kontrakter tilknyttet elspotprisen</t>
  </si>
  <si>
    <t>Variabel pris kontrakter</t>
  </si>
  <si>
    <t>Næringsvirksomhet kraftpris ekskl. avgifter</t>
  </si>
  <si>
    <t>Tjenesteytende næringer</t>
  </si>
  <si>
    <t>Industri untatt kraftintensiv industri</t>
  </si>
  <si>
    <t>Kraftintensiv industri</t>
  </si>
  <si>
    <r>
      <rPr>
        <vertAlign val="superscript"/>
        <sz val="10"/>
        <rFont val="Arial Unicode MS"/>
      </rPr>
      <t>1</t>
    </r>
    <r>
      <rPr>
        <sz val="11"/>
        <color theme="1"/>
        <rFont val="Calibri"/>
        <family val="2"/>
        <scheme val="minor"/>
      </rPr>
      <t>Nye fastpriskontrakter er inngått i løpet av måleperioden, mens eldre fastpriskontrakter er inngått tidligere.</t>
    </r>
  </si>
  <si>
    <t>Kilde: Statistisk sentralbyrå</t>
  </si>
  <si>
    <t>Strømkostnader (kr per kilowatt)</t>
  </si>
  <si>
    <t>Tonnkilometer totalt (250 turer)</t>
  </si>
  <si>
    <t>Ved kapasitetsvurdering bør man prioritere de nærmeste prosjektene</t>
  </si>
  <si>
    <t>Område</t>
  </si>
  <si>
    <t>Avstand</t>
  </si>
  <si>
    <t>Antall turer</t>
  </si>
  <si>
    <t>Tilbakelagt km</t>
  </si>
  <si>
    <t>Antall tonn til frakt</t>
  </si>
  <si>
    <t>Årlig sentrumkm</t>
  </si>
  <si>
    <t>Deponering</t>
  </si>
  <si>
    <t>Strøsand og grus (gateoppsop)</t>
  </si>
  <si>
    <t>Overskuddsmasse</t>
  </si>
  <si>
    <t>Aktuell mengde</t>
  </si>
  <si>
    <t>Pris p/tonn</t>
  </si>
  <si>
    <t>Å betale</t>
  </si>
  <si>
    <t>DEPONERING I NULLALTERNATIVET</t>
  </si>
  <si>
    <r>
      <t xml:space="preserve">ALTERNATIV 1 I </t>
    </r>
    <r>
      <rPr>
        <b/>
        <sz val="11"/>
        <color theme="1"/>
        <rFont val="Calibri"/>
        <family val="2"/>
        <scheme val="minor"/>
      </rPr>
      <t>NOK (korte strekninger)</t>
    </r>
  </si>
  <si>
    <t>Scenario 1</t>
  </si>
  <si>
    <t>Scenario 2</t>
  </si>
  <si>
    <t>Alternativ 1 - mellom terminal og prosjektområde (korte strekninger)</t>
  </si>
  <si>
    <t>Alternativ 1 - mellom terminal og renseanlegg (lange strekninger)</t>
  </si>
  <si>
    <t>Esval</t>
  </si>
  <si>
    <t>Til Esval</t>
  </si>
  <si>
    <t>Fra Esval</t>
  </si>
  <si>
    <t>Tonn per tur</t>
  </si>
  <si>
    <t>Antall tonn totalt</t>
  </si>
  <si>
    <t>Km hver tur</t>
  </si>
  <si>
    <t xml:space="preserve">Tonnkilometer totalt </t>
  </si>
  <si>
    <t>Antall tonnkilometer</t>
  </si>
  <si>
    <t>Nyttelast</t>
  </si>
  <si>
    <t>Utslippsfaktor (målt i gram) per tonnkilometer</t>
  </si>
  <si>
    <t>Utslippsfaktor i gram/Tkm</t>
  </si>
  <si>
    <t>Utslippsfaktor i kg/Tkm</t>
  </si>
  <si>
    <t>Hjelpeberegninger</t>
  </si>
  <si>
    <r>
      <t xml:space="preserve">Alternativ 1 I </t>
    </r>
    <r>
      <rPr>
        <b/>
        <sz val="11"/>
        <color theme="1"/>
        <rFont val="Calibri"/>
        <family val="2"/>
        <scheme val="minor"/>
      </rPr>
      <t>NOK</t>
    </r>
    <r>
      <rPr>
        <sz val="11"/>
        <color theme="1"/>
        <rFont val="Calibri"/>
        <family val="2"/>
        <scheme val="minor"/>
      </rPr>
      <t xml:space="preserve"> (begge strekninger)</t>
    </r>
  </si>
  <si>
    <t>ALTERNATIV 1</t>
  </si>
  <si>
    <t>CO2</t>
  </si>
  <si>
    <t>NULLALTERNATIVET</t>
  </si>
  <si>
    <r>
      <t>Fuel used in Ecoinvent transport data = Diesel (</t>
    </r>
    <r>
      <rPr>
        <i/>
        <sz val="11"/>
        <color theme="1"/>
        <rFont val="Calibri"/>
        <family val="2"/>
        <scheme val="minor"/>
      </rPr>
      <t>Diesel, low-sulfur {RoW}| market for | Alloc Rec, U</t>
    </r>
    <r>
      <rPr>
        <sz val="11"/>
        <color theme="1"/>
        <rFont val="Calibri"/>
        <family val="2"/>
        <scheme val="minor"/>
      </rPr>
      <t>) with emission factor of 0,586kgCO2eq/kg</t>
    </r>
  </si>
  <si>
    <t>The lorry transport processes in Ecoinvent  are based on the following assumptions (reference ecoinvent):</t>
  </si>
  <si>
    <t>Lorry Size Class</t>
  </si>
  <si>
    <t>Average Load 
[ton]</t>
  </si>
  <si>
    <t>Gross Vehicle 
Weight (GVW ) [ton]</t>
  </si>
  <si>
    <t>Net Vehicle 
Weight [ton]</t>
  </si>
  <si>
    <t>Max GVW 
[ton]</t>
  </si>
  <si>
    <t>Max load 
[ton]</t>
  </si>
  <si>
    <t>Capacity Utilisation
(%)</t>
  </si>
  <si>
    <t>3,5 - 7,5t</t>
  </si>
  <si>
    <t>7,5 - 16t</t>
  </si>
  <si>
    <t>16 - 32t</t>
  </si>
  <si>
    <t>&gt; 32t</t>
  </si>
  <si>
    <t>This is the size classification of the vehicle, indicating the gross weight range.</t>
  </si>
  <si>
    <t>This is the average load of the lorry for that specific weight class, inclusive of the return journey.</t>
  </si>
  <si>
    <t>This is the weight of the lorry and the load combined.</t>
  </si>
  <si>
    <t>The net vehicle weight is found by subtracting average load from GVW.</t>
  </si>
  <si>
    <t xml:space="preserve">Max GVW is taken from the upper limit of the lorry size class. For &gt;32t, we know that max GVW on Norwegian roads is 50 tons. </t>
  </si>
  <si>
    <t>Maximum load is found by subtracting net vehicle weight from max GVW.</t>
  </si>
  <si>
    <t>Økning i CO2</t>
  </si>
  <si>
    <t>Reduksjon i NOK</t>
  </si>
  <si>
    <t>Totalt, oppdrag</t>
  </si>
  <si>
    <t>Totalt, år</t>
  </si>
  <si>
    <t>Årspris med månedstak</t>
  </si>
  <si>
    <t>Kilometerspesifikasjon - lange strekninger</t>
  </si>
  <si>
    <t>Reparasjon og vedlikehold</t>
  </si>
  <si>
    <t>Kjøretid i timer, dag</t>
  </si>
  <si>
    <t>Kjøretid i timer, natt</t>
  </si>
  <si>
    <t>Alternativ 1 i CO2 (totalt)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</si>
</sst>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kr&quot;\ * #,##0.00_-;\-&quot;kr&quot;\ * #,##0.00_-;_-&quot;kr&quot;\ * &quot;-&quot;??_-;_-@_-"/>
    <numFmt numFmtId="164" formatCode="###,###,###,##0"/>
    <numFmt numFmtId="165" formatCode="###,##0.00"/>
    <numFmt numFmtId="166" formatCode="###,##0.0"/>
    <numFmt numFmtId="167" formatCode="_-&quot;kr&quot;\ * #,##0_-;\-&quot;kr&quot;\ * #,##0_-;_-&quot;kr&quot;\ * &quot;-&quot;??_-;_-@_-"/>
    <numFmt numFmtId="168" formatCode="0.0000"/>
    <numFmt numFmtId="169" formatCode="0.0"/>
    <numFmt numFmtId="170" formatCode="0.0\ %"/>
    <numFmt numFmtId="171" formatCode="&quot;kr&quot;\ #,##0.00"/>
    <numFmt numFmtId="172" formatCode="0.000"/>
    <numFmt numFmtId="173" formatCode="hh:mm;@"/>
    <numFmt numFmtId="174" formatCode="??0.0????"/>
    <numFmt numFmtId="175" formatCode="&quot;kr&quot;\ #,##0"/>
  </numFmts>
  <fonts count="67">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u/>
      <sz val="11"/>
      <color theme="5" tint="-0.249977111117893"/>
      <name val="Calibri"/>
      <family val="2"/>
      <scheme val="minor"/>
    </font>
    <font>
      <b/>
      <sz val="12"/>
      <color theme="1"/>
      <name val="Calibri"/>
      <family val="2"/>
      <scheme val="minor"/>
    </font>
    <font>
      <sz val="11"/>
      <color theme="1"/>
      <name val="Calibri"/>
      <family val="2"/>
      <scheme val="minor"/>
    </font>
    <font>
      <b/>
      <sz val="16"/>
      <name val="Arial"/>
      <family val="2"/>
    </font>
    <font>
      <b/>
      <sz val="12"/>
      <name val="Arial"/>
      <family val="2"/>
    </font>
    <font>
      <b/>
      <sz val="10"/>
      <name val="Arial"/>
      <family val="2"/>
    </font>
    <font>
      <b/>
      <i/>
      <sz val="11"/>
      <color theme="1"/>
      <name val="Calibri"/>
      <family val="2"/>
      <scheme val="minor"/>
    </font>
    <font>
      <b/>
      <sz val="14"/>
      <color rgb="FF000000"/>
      <name val="Calibri"/>
      <family val="2"/>
    </font>
    <font>
      <b/>
      <sz val="11"/>
      <color rgb="FF000000"/>
      <name val="Calibri"/>
      <family val="2"/>
    </font>
    <font>
      <b/>
      <u/>
      <sz val="11"/>
      <color rgb="FF000000"/>
      <name val="Calibri"/>
      <family val="2"/>
    </font>
    <font>
      <sz val="9"/>
      <color indexed="81"/>
      <name val="Tahoma"/>
      <family val="2"/>
    </font>
    <font>
      <b/>
      <sz val="9"/>
      <color indexed="81"/>
      <name val="Tahoma"/>
      <family val="2"/>
    </font>
    <font>
      <b/>
      <sz val="9"/>
      <color rgb="FF000000"/>
      <name val="Tahoma"/>
      <family val="2"/>
    </font>
    <font>
      <sz val="9"/>
      <color rgb="FF000000"/>
      <name val="Tahoma"/>
      <family val="2"/>
    </font>
    <font>
      <sz val="10"/>
      <color theme="1"/>
      <name val="Calibri"/>
      <family val="2"/>
      <scheme val="minor"/>
    </font>
    <font>
      <u/>
      <sz val="9"/>
      <color theme="1"/>
      <name val="Calibri"/>
      <family val="2"/>
      <scheme val="minor"/>
    </font>
    <font>
      <b/>
      <u/>
      <sz val="10"/>
      <color theme="1"/>
      <name val="Calibri"/>
      <family val="2"/>
      <scheme val="minor"/>
    </font>
    <font>
      <b/>
      <sz val="10"/>
      <color theme="1"/>
      <name val="Calibri"/>
      <family val="2"/>
      <scheme val="minor"/>
    </font>
    <font>
      <b/>
      <u/>
      <sz val="11"/>
      <color theme="4" tint="-0.249977111117893"/>
      <name val="Calibri"/>
      <family val="2"/>
      <scheme val="minor"/>
    </font>
    <font>
      <sz val="10"/>
      <color theme="4" tint="-0.249977111117893"/>
      <name val="Calibri"/>
      <family val="2"/>
      <scheme val="minor"/>
    </font>
    <font>
      <sz val="11"/>
      <color theme="4" tint="-0.249977111117893"/>
      <name val="Calibri"/>
      <family val="2"/>
      <scheme val="minor"/>
    </font>
    <font>
      <b/>
      <u/>
      <sz val="11"/>
      <color theme="8" tint="-0.499984740745262"/>
      <name val="Calibri"/>
      <family val="2"/>
      <scheme val="minor"/>
    </font>
    <font>
      <b/>
      <sz val="10"/>
      <color theme="8" tint="-0.499984740745262"/>
      <name val="Calibri"/>
      <family val="2"/>
      <scheme val="minor"/>
    </font>
    <font>
      <b/>
      <sz val="8"/>
      <name val="Arial"/>
      <family val="2"/>
    </font>
    <font>
      <sz val="9"/>
      <color theme="1"/>
      <name val="Calibri"/>
      <family val="2"/>
      <scheme val="minor"/>
    </font>
    <font>
      <i/>
      <sz val="9"/>
      <color theme="1"/>
      <name val="Calibri"/>
      <family val="2"/>
      <scheme val="minor"/>
    </font>
    <font>
      <sz val="10"/>
      <color rgb="FF000000"/>
      <name val="Tahoma"/>
      <family val="2"/>
    </font>
    <font>
      <b/>
      <sz val="10"/>
      <color rgb="FF000000"/>
      <name val="Tahoma"/>
      <family val="2"/>
    </font>
    <font>
      <sz val="8"/>
      <name val="Calibri"/>
      <family val="2"/>
      <scheme val="minor"/>
    </font>
    <font>
      <b/>
      <sz val="11"/>
      <color theme="2" tint="-0.89999084444715716"/>
      <name val="Calibri"/>
      <family val="2"/>
      <scheme val="minor"/>
    </font>
    <font>
      <b/>
      <sz val="9"/>
      <color theme="4" tint="-0.249977111117893"/>
      <name val="Calibri"/>
      <family val="2"/>
      <scheme val="minor"/>
    </font>
    <font>
      <b/>
      <sz val="11"/>
      <color rgb="FFFF0000"/>
      <name val="Calibri"/>
      <family val="2"/>
      <scheme val="minor"/>
    </font>
    <font>
      <i/>
      <sz val="8"/>
      <color theme="1"/>
      <name val="Calibri"/>
      <family val="2"/>
      <scheme val="minor"/>
    </font>
    <font>
      <b/>
      <sz val="9"/>
      <color theme="1"/>
      <name val="Calibri"/>
      <family val="2"/>
      <scheme val="minor"/>
    </font>
    <font>
      <sz val="11"/>
      <color rgb="FFC00000"/>
      <name val="Calibri"/>
      <family val="2"/>
      <scheme val="minor"/>
    </font>
    <font>
      <b/>
      <i/>
      <sz val="11"/>
      <color rgb="FFFF0000"/>
      <name val="Calibri"/>
      <family val="2"/>
      <scheme val="minor"/>
    </font>
    <font>
      <i/>
      <sz val="11"/>
      <color rgb="FFC00000"/>
      <name val="Calibri"/>
      <family val="2"/>
      <scheme val="minor"/>
    </font>
    <font>
      <b/>
      <i/>
      <sz val="10"/>
      <color theme="1"/>
      <name val="Calibri"/>
      <family val="2"/>
      <scheme val="minor"/>
    </font>
    <font>
      <sz val="11"/>
      <color rgb="FF000000"/>
      <name val="Calibri"/>
      <family val="2"/>
      <scheme val="minor"/>
    </font>
    <font>
      <sz val="11"/>
      <color rgb="FF002060"/>
      <name val="Calibri"/>
      <family val="2"/>
      <scheme val="minor"/>
    </font>
    <font>
      <vertAlign val="subscript"/>
      <sz val="11"/>
      <color indexed="56"/>
      <name val="Calibri"/>
      <family val="2"/>
    </font>
    <font>
      <sz val="11"/>
      <color indexed="56"/>
      <name val="Calibri"/>
      <family val="2"/>
    </font>
    <font>
      <b/>
      <sz val="8"/>
      <name val="Tahoma"/>
      <family val="2"/>
    </font>
    <font>
      <sz val="11"/>
      <name val="Calibri"/>
      <family val="2"/>
      <scheme val="minor"/>
    </font>
    <font>
      <sz val="10"/>
      <color rgb="FF000000"/>
      <name val="Calibri"/>
      <family val="2"/>
      <scheme val="minor"/>
    </font>
    <font>
      <b/>
      <sz val="11"/>
      <color rgb="FFC00000"/>
      <name val="Calibri"/>
      <family val="2"/>
      <scheme val="minor"/>
    </font>
    <font>
      <b/>
      <u/>
      <sz val="11"/>
      <color rgb="FFC00000"/>
      <name val="Calibri"/>
      <family val="2"/>
      <scheme val="minor"/>
    </font>
    <font>
      <b/>
      <sz val="11"/>
      <color theme="0"/>
      <name val="Calibri"/>
      <family val="2"/>
      <scheme val="minor"/>
    </font>
    <font>
      <b/>
      <u/>
      <sz val="12"/>
      <color theme="1"/>
      <name val="Calibri"/>
      <family val="2"/>
      <scheme val="minor"/>
    </font>
    <font>
      <b/>
      <u/>
      <sz val="11"/>
      <color theme="0"/>
      <name val="Calibri"/>
      <family val="2"/>
      <scheme val="minor"/>
    </font>
    <font>
      <b/>
      <sz val="8"/>
      <color rgb="FF000000"/>
      <name val="Tahoma"/>
      <family val="2"/>
    </font>
    <font>
      <sz val="10"/>
      <color rgb="FF000000"/>
      <name val="Calibri"/>
      <family val="2"/>
    </font>
    <font>
      <sz val="9"/>
      <color indexed="81"/>
      <name val="Tahoma"/>
      <charset val="1"/>
    </font>
    <font>
      <b/>
      <sz val="9"/>
      <color indexed="81"/>
      <name val="Tahoma"/>
      <charset val="1"/>
    </font>
    <font>
      <vertAlign val="superscript"/>
      <sz val="10"/>
      <name val="Arial Unicode MS"/>
    </font>
    <font>
      <sz val="12"/>
      <color rgb="FF3F3F76"/>
      <name val="Calibri"/>
      <family val="2"/>
      <scheme val="minor"/>
    </font>
    <font>
      <b/>
      <sz val="12"/>
      <color rgb="FF3F3F3F"/>
      <name val="Calibri"/>
      <family val="2"/>
      <scheme val="minor"/>
    </font>
    <font>
      <b/>
      <u/>
      <sz val="11"/>
      <color rgb="FFFFFFFF"/>
      <name val="Calibri"/>
      <family val="2"/>
      <scheme val="minor"/>
    </font>
    <font>
      <u/>
      <sz val="11"/>
      <color theme="1"/>
      <name val="Calibri"/>
      <family val="2"/>
      <scheme val="minor"/>
    </font>
    <font>
      <b/>
      <sz val="9"/>
      <color rgb="FF3F3F76"/>
      <name val="Calibri"/>
      <family val="2"/>
      <scheme val="minor"/>
    </font>
    <font>
      <b/>
      <sz val="9"/>
      <color rgb="FF3F3F3F"/>
      <name val="Calibri"/>
      <family val="2"/>
      <scheme val="minor"/>
    </font>
    <font>
      <sz val="9"/>
      <color rgb="FF3F3F76"/>
      <name val="Calibri"/>
      <family val="2"/>
      <scheme val="minor"/>
    </font>
    <font>
      <sz val="8"/>
      <color theme="1"/>
      <name val="Calibri"/>
      <family val="2"/>
      <scheme val="minor"/>
    </font>
  </fonts>
  <fills count="27">
    <fill>
      <patternFill patternType="none"/>
    </fill>
    <fill>
      <patternFill patternType="gray125"/>
    </fill>
    <fill>
      <patternFill patternType="solid">
        <fgColor theme="7"/>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D9D9D9"/>
        <bgColor indexed="64"/>
      </patternFill>
    </fill>
    <fill>
      <patternFill patternType="solid">
        <fgColor rgb="FF92D050"/>
        <bgColor indexed="64"/>
      </patternFill>
    </fill>
    <fill>
      <patternFill patternType="solid">
        <fgColor theme="4"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C99"/>
      </patternFill>
    </fill>
    <fill>
      <patternFill patternType="solid">
        <fgColor rgb="FFF2F2F2"/>
      </patternFill>
    </fill>
    <fill>
      <patternFill patternType="solid">
        <fgColor rgb="FF2F75B5"/>
        <bgColor rgb="FF000000"/>
      </patternFill>
    </fill>
    <fill>
      <patternFill patternType="solid">
        <fgColor theme="9" tint="0.79998168889431442"/>
        <bgColor indexed="64"/>
      </patternFill>
    </fill>
    <fill>
      <patternFill patternType="solid">
        <fgColor theme="2"/>
        <bgColor indexed="64"/>
      </patternFill>
    </fill>
    <fill>
      <patternFill patternType="solid">
        <fgColor theme="2" tint="-0.499984740745262"/>
        <bgColor indexed="64"/>
      </patternFill>
    </fill>
  </fills>
  <borders count="48">
    <border>
      <left/>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53D5F"/>
      </left>
      <right style="thin">
        <color rgb="FF053D5F"/>
      </right>
      <top style="thin">
        <color rgb="FF053D5F"/>
      </top>
      <bottom style="thin">
        <color rgb="FF053D5F"/>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rgb="FF000000"/>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9" fontId="6" fillId="0" borderId="0" applyFont="0" applyFill="0" applyBorder="0" applyAlignment="0" applyProtection="0"/>
    <xf numFmtId="44" fontId="6" fillId="0" borderId="0" applyFont="0" applyFill="0" applyBorder="0" applyAlignment="0" applyProtection="0"/>
    <xf numFmtId="0" fontId="59" fillId="21" borderId="39" applyNumberFormat="0" applyAlignment="0" applyProtection="0"/>
    <xf numFmtId="0" fontId="60" fillId="22" borderId="40" applyNumberFormat="0" applyAlignment="0" applyProtection="0"/>
  </cellStyleXfs>
  <cellXfs count="612">
    <xf numFmtId="0" fontId="0" fillId="0" borderId="0" xfId="0"/>
    <xf numFmtId="0" fontId="3" fillId="0" borderId="0" xfId="0" applyFont="1"/>
    <xf numFmtId="0" fontId="2" fillId="0" borderId="0" xfId="0" applyFont="1" applyBorder="1" applyAlignment="1">
      <alignment horizontal="left"/>
    </xf>
    <xf numFmtId="0" fontId="1" fillId="0" borderId="0" xfId="0" applyFont="1" applyFill="1" applyAlignment="1"/>
    <xf numFmtId="0" fontId="2" fillId="0" borderId="0" xfId="0" applyFont="1" applyAlignment="1"/>
    <xf numFmtId="0" fontId="4" fillId="0" borderId="0" xfId="0" applyFont="1" applyAlignment="1"/>
    <xf numFmtId="0" fontId="0" fillId="0" borderId="0" xfId="0" applyAlignment="1"/>
    <xf numFmtId="0" fontId="0" fillId="0" borderId="0" xfId="0" applyBorder="1"/>
    <xf numFmtId="0" fontId="2" fillId="0" borderId="0" xfId="0" applyFont="1" applyFill="1" applyBorder="1"/>
    <xf numFmtId="0" fontId="1" fillId="0" borderId="0" xfId="0" applyFont="1" applyFill="1" applyBorder="1"/>
    <xf numFmtId="0" fontId="0" fillId="0" borderId="0" xfId="0" applyFill="1"/>
    <xf numFmtId="0" fontId="3" fillId="0" borderId="0" xfId="0" applyFont="1" applyAlignment="1"/>
    <xf numFmtId="0" fontId="0" fillId="0" borderId="0" xfId="0" applyAlignment="1">
      <alignment horizontal="center"/>
    </xf>
    <xf numFmtId="0" fontId="0" fillId="0" borderId="0" xfId="0" applyFill="1" applyBorder="1"/>
    <xf numFmtId="2" fontId="0" fillId="0" borderId="0" xfId="0" applyNumberFormat="1"/>
    <xf numFmtId="0" fontId="8" fillId="0" borderId="0" xfId="0" applyFont="1"/>
    <xf numFmtId="0" fontId="1" fillId="0" borderId="0" xfId="0" applyFont="1"/>
    <xf numFmtId="0" fontId="2" fillId="0" borderId="0" xfId="0" applyFont="1"/>
    <xf numFmtId="167" fontId="0" fillId="0" borderId="0" xfId="2" applyNumberFormat="1" applyFont="1"/>
    <xf numFmtId="167" fontId="1" fillId="0" borderId="0" xfId="2" applyNumberFormat="1" applyFont="1"/>
    <xf numFmtId="0" fontId="10" fillId="0" borderId="0" xfId="0" applyFont="1"/>
    <xf numFmtId="167" fontId="10" fillId="0" borderId="0" xfId="2" applyNumberFormat="1" applyFont="1"/>
    <xf numFmtId="167" fontId="0" fillId="0" borderId="0" xfId="0" applyNumberFormat="1"/>
    <xf numFmtId="3" fontId="0" fillId="0" borderId="0" xfId="0" applyNumberFormat="1"/>
    <xf numFmtId="0" fontId="0" fillId="0" borderId="0" xfId="0" applyFill="1" applyProtection="1"/>
    <xf numFmtId="0" fontId="11" fillId="0" borderId="5" xfId="0" applyFont="1"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0" fillId="0" borderId="0" xfId="0" applyFill="1" applyBorder="1" applyProtection="1"/>
    <xf numFmtId="0" fontId="0" fillId="0" borderId="9" xfId="0" applyFill="1" applyBorder="1" applyProtection="1"/>
    <xf numFmtId="0" fontId="12" fillId="0" borderId="0" xfId="0" applyFont="1" applyFill="1" applyBorder="1" applyProtection="1"/>
    <xf numFmtId="0" fontId="0" fillId="0" borderId="9" xfId="0" applyBorder="1"/>
    <xf numFmtId="0" fontId="12" fillId="4" borderId="0" xfId="0" applyFont="1" applyFill="1" applyBorder="1" applyProtection="1"/>
    <xf numFmtId="0" fontId="12" fillId="0" borderId="8" xfId="0" applyFont="1" applyFill="1" applyBorder="1" applyProtection="1"/>
    <xf numFmtId="169" fontId="0" fillId="0" borderId="0" xfId="0" applyNumberFormat="1" applyFill="1" applyBorder="1" applyProtection="1"/>
    <xf numFmtId="0" fontId="0" fillId="0" borderId="8" xfId="0" applyFill="1" applyBorder="1" applyAlignment="1" applyProtection="1">
      <alignment wrapText="1"/>
    </xf>
    <xf numFmtId="0" fontId="0" fillId="0" borderId="11" xfId="0" applyFill="1" applyBorder="1" applyProtection="1"/>
    <xf numFmtId="0" fontId="0" fillId="0" borderId="12" xfId="0" applyFill="1" applyBorder="1" applyProtection="1"/>
    <xf numFmtId="0" fontId="1" fillId="0" borderId="10" xfId="0" applyFont="1" applyFill="1" applyBorder="1" applyProtection="1"/>
    <xf numFmtId="0" fontId="7" fillId="0" borderId="0" xfId="0" applyFont="1" applyFill="1" applyBorder="1" applyAlignment="1"/>
    <xf numFmtId="0" fontId="2" fillId="0" borderId="0" xfId="0" applyFont="1" applyAlignment="1">
      <alignment horizontal="center"/>
    </xf>
    <xf numFmtId="0" fontId="0" fillId="0" borderId="8" xfId="0" applyBorder="1"/>
    <xf numFmtId="0" fontId="0" fillId="0" borderId="0" xfId="0" applyBorder="1" applyAlignment="1">
      <alignment horizontal="right"/>
    </xf>
    <xf numFmtId="0" fontId="0" fillId="0" borderId="10" xfId="0" applyBorder="1"/>
    <xf numFmtId="0" fontId="0" fillId="0" borderId="11" xfId="0" applyBorder="1"/>
    <xf numFmtId="0" fontId="0" fillId="0" borderId="11" xfId="0" applyBorder="1" applyAlignment="1">
      <alignment horizontal="right"/>
    </xf>
    <xf numFmtId="0" fontId="0" fillId="0" borderId="12" xfId="0" applyBorder="1"/>
    <xf numFmtId="0" fontId="2" fillId="0" borderId="5" xfId="0" applyFont="1" applyBorder="1"/>
    <xf numFmtId="0" fontId="2" fillId="0" borderId="6" xfId="0" applyFont="1" applyBorder="1"/>
    <xf numFmtId="0" fontId="2" fillId="0" borderId="7" xfId="0" applyFont="1" applyBorder="1"/>
    <xf numFmtId="3" fontId="1" fillId="0" borderId="0" xfId="0" applyNumberFormat="1" applyFont="1" applyBorder="1" applyAlignment="1">
      <alignment horizontal="center"/>
    </xf>
    <xf numFmtId="170" fontId="19" fillId="0" borderId="0" xfId="1" applyNumberFormat="1" applyFont="1" applyBorder="1" applyAlignment="1">
      <alignment horizontal="center"/>
    </xf>
    <xf numFmtId="0" fontId="18" fillId="0" borderId="0" xfId="0" applyFont="1" applyBorder="1" applyAlignment="1">
      <alignment horizontal="center"/>
    </xf>
    <xf numFmtId="2" fontId="18" fillId="0" borderId="0" xfId="0" applyNumberFormat="1" applyFont="1"/>
    <xf numFmtId="0" fontId="18" fillId="0" borderId="0" xfId="0" applyFont="1"/>
    <xf numFmtId="167" fontId="18" fillId="0" borderId="0" xfId="2" applyNumberFormat="1" applyFont="1"/>
    <xf numFmtId="0" fontId="20" fillId="0" borderId="0" xfId="0" applyFont="1" applyAlignment="1">
      <alignment horizontal="center"/>
    </xf>
    <xf numFmtId="0" fontId="20" fillId="0" borderId="0" xfId="0" applyFont="1" applyBorder="1" applyAlignment="1">
      <alignment horizontal="center"/>
    </xf>
    <xf numFmtId="2" fontId="0" fillId="0" borderId="0" xfId="0" applyNumberFormat="1" applyBorder="1" applyAlignment="1">
      <alignment horizontal="center"/>
    </xf>
    <xf numFmtId="2" fontId="1" fillId="0" borderId="0" xfId="0" applyNumberFormat="1" applyFont="1" applyBorder="1" applyAlignment="1">
      <alignment horizontal="center"/>
    </xf>
    <xf numFmtId="0" fontId="0" fillId="0" borderId="0" xfId="0" quotePrefix="1" applyBorder="1"/>
    <xf numFmtId="9" fontId="19" fillId="0" borderId="0" xfId="1" applyFont="1" applyBorder="1" applyAlignment="1">
      <alignment horizontal="center"/>
    </xf>
    <xf numFmtId="9" fontId="19" fillId="0" borderId="0" xfId="1" applyNumberFormat="1" applyFont="1" applyBorder="1" applyAlignment="1">
      <alignment horizontal="center"/>
    </xf>
    <xf numFmtId="0" fontId="10" fillId="6" borderId="0" xfId="0" applyFont="1" applyFill="1" applyBorder="1" applyAlignment="1">
      <alignment horizontal="center"/>
    </xf>
    <xf numFmtId="2" fontId="18" fillId="0" borderId="0" xfId="0" applyNumberFormat="1" applyFont="1" applyBorder="1"/>
    <xf numFmtId="0" fontId="24" fillId="0" borderId="0" xfId="0" applyFont="1"/>
    <xf numFmtId="0" fontId="22" fillId="0" borderId="0" xfId="0" applyFont="1" applyAlignment="1">
      <alignment horizontal="center"/>
    </xf>
    <xf numFmtId="0" fontId="23" fillId="0" borderId="0" xfId="0" applyFont="1" applyAlignment="1">
      <alignment horizontal="center"/>
    </xf>
    <xf numFmtId="2" fontId="23" fillId="0" borderId="0" xfId="0" applyNumberFormat="1" applyFont="1" applyAlignment="1">
      <alignment horizontal="center"/>
    </xf>
    <xf numFmtId="0" fontId="2" fillId="6" borderId="15" xfId="0" applyFont="1" applyFill="1" applyBorder="1" applyAlignment="1">
      <alignment horizontal="center"/>
    </xf>
    <xf numFmtId="0" fontId="2" fillId="6" borderId="16" xfId="0" applyFont="1" applyFill="1" applyBorder="1" applyAlignment="1">
      <alignment horizontal="center"/>
    </xf>
    <xf numFmtId="3" fontId="18" fillId="0" borderId="17" xfId="0" applyNumberFormat="1" applyFont="1" applyBorder="1" applyAlignment="1">
      <alignment horizontal="center"/>
    </xf>
    <xf numFmtId="3" fontId="18" fillId="0" borderId="18" xfId="0" applyNumberFormat="1" applyFont="1" applyBorder="1" applyAlignment="1">
      <alignment horizontal="center"/>
    </xf>
    <xf numFmtId="0" fontId="2" fillId="9" borderId="0" xfId="0" applyFont="1" applyFill="1" applyBorder="1" applyAlignment="1">
      <alignment horizontal="center"/>
    </xf>
    <xf numFmtId="0" fontId="12" fillId="0" borderId="0" xfId="0" applyFont="1" applyFill="1" applyProtection="1"/>
    <xf numFmtId="0" fontId="5" fillId="0" borderId="0" xfId="0" applyFont="1" applyFill="1" applyProtection="1"/>
    <xf numFmtId="0" fontId="1" fillId="0" borderId="8" xfId="0" applyFont="1" applyBorder="1" applyAlignment="1">
      <alignment horizontal="center"/>
    </xf>
    <xf numFmtId="0" fontId="1" fillId="0" borderId="10" xfId="0" applyFont="1" applyBorder="1" applyAlignment="1">
      <alignment horizontal="center"/>
    </xf>
    <xf numFmtId="171" fontId="21" fillId="0" borderId="9" xfId="0" applyNumberFormat="1" applyFont="1" applyBorder="1" applyAlignment="1"/>
    <xf numFmtId="171" fontId="21" fillId="0" borderId="0" xfId="0" applyNumberFormat="1" applyFont="1" applyBorder="1"/>
    <xf numFmtId="0" fontId="3" fillId="8" borderId="9" xfId="0" applyFont="1" applyFill="1" applyBorder="1"/>
    <xf numFmtId="10" fontId="0" fillId="0" borderId="0" xfId="0" applyNumberFormat="1"/>
    <xf numFmtId="0" fontId="1" fillId="0" borderId="8" xfId="0" applyFont="1" applyFill="1" applyBorder="1" applyAlignment="1">
      <alignment horizontal="center"/>
    </xf>
    <xf numFmtId="171" fontId="21" fillId="0" borderId="0" xfId="0" applyNumberFormat="1" applyFont="1" applyFill="1" applyBorder="1"/>
    <xf numFmtId="0" fontId="1" fillId="0" borderId="10" xfId="0" applyFont="1" applyFill="1" applyBorder="1" applyAlignment="1">
      <alignment horizontal="center"/>
    </xf>
    <xf numFmtId="171" fontId="21" fillId="0" borderId="11" xfId="0" applyNumberFormat="1" applyFont="1" applyFill="1" applyBorder="1"/>
    <xf numFmtId="0" fontId="1" fillId="0" borderId="19" xfId="0" applyFont="1" applyBorder="1" applyAlignment="1">
      <alignment horizontal="center"/>
    </xf>
    <xf numFmtId="171" fontId="21" fillId="0" borderId="20" xfId="0" applyNumberFormat="1" applyFont="1" applyBorder="1"/>
    <xf numFmtId="10" fontId="29" fillId="8" borderId="9" xfId="1" applyNumberFormat="1" applyFont="1" applyFill="1" applyBorder="1"/>
    <xf numFmtId="10" fontId="29" fillId="8" borderId="21" xfId="1" applyNumberFormat="1" applyFont="1" applyFill="1" applyBorder="1"/>
    <xf numFmtId="10" fontId="28" fillId="0" borderId="9" xfId="0" applyNumberFormat="1" applyFont="1" applyBorder="1"/>
    <xf numFmtId="10" fontId="28" fillId="0" borderId="12" xfId="0" applyNumberFormat="1" applyFont="1" applyBorder="1"/>
    <xf numFmtId="3" fontId="21" fillId="0" borderId="17" xfId="0" applyNumberFormat="1" applyFont="1" applyBorder="1" applyAlignment="1">
      <alignment horizontal="center"/>
    </xf>
    <xf numFmtId="20" fontId="10" fillId="0" borderId="8" xfId="0" applyNumberFormat="1" applyFont="1" applyBorder="1" applyAlignment="1">
      <alignment horizontal="center"/>
    </xf>
    <xf numFmtId="20" fontId="10" fillId="0" borderId="10" xfId="0" applyNumberFormat="1" applyFont="1" applyBorder="1" applyAlignment="1">
      <alignment horizontal="center"/>
    </xf>
    <xf numFmtId="0" fontId="18" fillId="0" borderId="0" xfId="0" applyFont="1" applyBorder="1"/>
    <xf numFmtId="0" fontId="18" fillId="0" borderId="9" xfId="0" applyFont="1" applyBorder="1"/>
    <xf numFmtId="0" fontId="18" fillId="0" borderId="11" xfId="0" applyFont="1" applyBorder="1"/>
    <xf numFmtId="0" fontId="18" fillId="0" borderId="12" xfId="0" applyFont="1" applyBorder="1"/>
    <xf numFmtId="20" fontId="10" fillId="0" borderId="5" xfId="0" applyNumberFormat="1" applyFont="1" applyBorder="1" applyAlignment="1">
      <alignment horizontal="center"/>
    </xf>
    <xf numFmtId="0" fontId="18" fillId="0" borderId="6" xfId="0" applyFont="1" applyBorder="1"/>
    <xf numFmtId="0" fontId="18" fillId="0" borderId="7" xfId="0" applyFont="1" applyBorder="1"/>
    <xf numFmtId="20" fontId="10" fillId="0" borderId="22" xfId="0" applyNumberFormat="1" applyFont="1" applyBorder="1" applyAlignment="1">
      <alignment horizontal="center"/>
    </xf>
    <xf numFmtId="20" fontId="10" fillId="0" borderId="23" xfId="0" applyNumberFormat="1" applyFont="1" applyBorder="1" applyAlignment="1">
      <alignment horizontal="center"/>
    </xf>
    <xf numFmtId="20" fontId="10" fillId="0" borderId="0" xfId="0" applyNumberFormat="1" applyFont="1" applyBorder="1" applyAlignment="1">
      <alignment horizontal="center"/>
    </xf>
    <xf numFmtId="20" fontId="10" fillId="0" borderId="24" xfId="0" applyNumberFormat="1" applyFont="1" applyBorder="1" applyAlignment="1">
      <alignment horizontal="center"/>
    </xf>
    <xf numFmtId="0" fontId="18" fillId="0" borderId="5" xfId="0" applyFont="1" applyBorder="1"/>
    <xf numFmtId="0" fontId="18" fillId="0" borderId="8" xfId="0" applyFont="1" applyBorder="1"/>
    <xf numFmtId="0" fontId="18" fillId="0" borderId="10" xfId="0" applyFont="1" applyBorder="1"/>
    <xf numFmtId="0" fontId="34" fillId="0" borderId="5" xfId="0" applyFont="1" applyFill="1" applyBorder="1" applyAlignment="1">
      <alignment horizontal="center"/>
    </xf>
    <xf numFmtId="0" fontId="34" fillId="0" borderId="7" xfId="0" applyFont="1" applyFill="1" applyBorder="1" applyAlignment="1">
      <alignment horizontal="center"/>
    </xf>
    <xf numFmtId="0" fontId="35" fillId="0" borderId="0" xfId="0" applyFont="1" applyAlignment="1"/>
    <xf numFmtId="0" fontId="35" fillId="0" borderId="0" xfId="0" applyFont="1" applyFill="1"/>
    <xf numFmtId="0" fontId="21" fillId="0" borderId="25" xfId="0" applyFont="1" applyBorder="1" applyAlignment="1">
      <alignment horizontal="center"/>
    </xf>
    <xf numFmtId="0" fontId="21" fillId="0" borderId="27" xfId="0" applyFont="1" applyBorder="1" applyAlignment="1">
      <alignment horizontal="center"/>
    </xf>
    <xf numFmtId="0" fontId="21" fillId="0" borderId="28" xfId="0" applyFont="1" applyBorder="1" applyAlignment="1">
      <alignment horizontal="center"/>
    </xf>
    <xf numFmtId="169" fontId="21" fillId="0" borderId="28" xfId="0" applyNumberFormat="1" applyFont="1" applyBorder="1" applyAlignment="1">
      <alignment horizontal="center"/>
    </xf>
    <xf numFmtId="169" fontId="21" fillId="0" borderId="27" xfId="0" applyNumberFormat="1" applyFont="1" applyBorder="1" applyAlignment="1">
      <alignment horizontal="center"/>
    </xf>
    <xf numFmtId="0" fontId="1" fillId="0" borderId="0" xfId="0" applyFont="1" applyFill="1" applyBorder="1" applyAlignment="1"/>
    <xf numFmtId="0" fontId="10" fillId="0" borderId="0" xfId="0" applyFont="1" applyFill="1" applyBorder="1" applyAlignment="1">
      <alignment horizontal="center"/>
    </xf>
    <xf numFmtId="0" fontId="20" fillId="0" borderId="0" xfId="0" applyFont="1" applyFill="1" applyBorder="1" applyAlignment="1">
      <alignment horizontal="center"/>
    </xf>
    <xf numFmtId="0" fontId="0" fillId="0" borderId="0" xfId="0" applyFont="1" applyFill="1" applyBorder="1" applyAlignment="1"/>
    <xf numFmtId="0" fontId="3" fillId="0" borderId="29" xfId="0" applyFont="1" applyBorder="1"/>
    <xf numFmtId="0" fontId="3" fillId="0" borderId="29" xfId="0" applyFont="1" applyBorder="1" applyAlignment="1">
      <alignment horizontal="center"/>
    </xf>
    <xf numFmtId="0" fontId="21" fillId="0" borderId="0" xfId="0" applyFont="1"/>
    <xf numFmtId="44" fontId="18" fillId="0" borderId="0" xfId="2" applyFont="1"/>
    <xf numFmtId="44" fontId="18" fillId="0" borderId="0" xfId="2" applyFont="1" applyFill="1" applyBorder="1" applyAlignment="1"/>
    <xf numFmtId="0" fontId="3" fillId="0" borderId="0" xfId="0" applyFont="1" applyFill="1" applyBorder="1"/>
    <xf numFmtId="0" fontId="3" fillId="0" borderId="0" xfId="0" applyFont="1" applyFill="1" applyBorder="1" applyAlignment="1">
      <alignment horizontal="center"/>
    </xf>
    <xf numFmtId="0" fontId="21" fillId="0" borderId="0" xfId="0" applyFont="1" applyFill="1" applyBorder="1"/>
    <xf numFmtId="44" fontId="18" fillId="0" borderId="0" xfId="2" applyFont="1" applyFill="1" applyBorder="1"/>
    <xf numFmtId="0" fontId="36" fillId="0" borderId="0" xfId="0" applyFont="1"/>
    <xf numFmtId="167" fontId="37" fillId="0" borderId="0" xfId="2" applyNumberFormat="1" applyFont="1" applyBorder="1"/>
    <xf numFmtId="0" fontId="0" fillId="0" borderId="0" xfId="0" applyBorder="1"/>
    <xf numFmtId="0" fontId="38" fillId="0" borderId="0" xfId="0" applyFont="1" applyFill="1" applyBorder="1" applyProtection="1"/>
    <xf numFmtId="164" fontId="0" fillId="11" borderId="0" xfId="0" applyNumberFormat="1" applyFill="1"/>
    <xf numFmtId="0" fontId="0" fillId="11" borderId="0" xfId="0" applyFill="1"/>
    <xf numFmtId="0" fontId="0" fillId="9" borderId="0" xfId="0" applyFill="1"/>
    <xf numFmtId="164" fontId="0" fillId="9" borderId="0" xfId="0" applyNumberFormat="1" applyFill="1"/>
    <xf numFmtId="0" fontId="9" fillId="9" borderId="1" xfId="0" applyFont="1" applyFill="1" applyBorder="1"/>
    <xf numFmtId="0" fontId="9" fillId="11" borderId="1" xfId="0" applyFont="1" applyFill="1" applyBorder="1"/>
    <xf numFmtId="164" fontId="0" fillId="11" borderId="1" xfId="0" applyNumberFormat="1" applyFill="1" applyBorder="1"/>
    <xf numFmtId="0" fontId="27" fillId="11" borderId="1" xfId="0" applyFont="1" applyFill="1" applyBorder="1"/>
    <xf numFmtId="0" fontId="0" fillId="12" borderId="0" xfId="0" applyFill="1"/>
    <xf numFmtId="164" fontId="0" fillId="12" borderId="0" xfId="0" applyNumberFormat="1" applyFill="1"/>
    <xf numFmtId="0" fontId="9" fillId="13" borderId="0" xfId="0" applyFont="1" applyFill="1"/>
    <xf numFmtId="164" fontId="0" fillId="13" borderId="0" xfId="0" applyNumberFormat="1" applyFill="1"/>
    <xf numFmtId="0" fontId="27" fillId="13" borderId="0" xfId="0" applyFont="1" applyFill="1"/>
    <xf numFmtId="0" fontId="0" fillId="13" borderId="0" xfId="0" applyFill="1"/>
    <xf numFmtId="4" fontId="0" fillId="13" borderId="0" xfId="0" applyNumberFormat="1" applyFill="1"/>
    <xf numFmtId="3" fontId="0" fillId="13" borderId="0" xfId="0" applyNumberFormat="1" applyFill="1"/>
    <xf numFmtId="166" fontId="0" fillId="13" borderId="0" xfId="0" applyNumberFormat="1" applyFill="1"/>
    <xf numFmtId="165" fontId="0" fillId="13" borderId="0" xfId="0" applyNumberFormat="1" applyFill="1"/>
    <xf numFmtId="2" fontId="0" fillId="0" borderId="15" xfId="0" applyNumberFormat="1" applyBorder="1" applyAlignment="1"/>
    <xf numFmtId="2" fontId="0" fillId="0" borderId="26" xfId="0" applyNumberFormat="1" applyBorder="1" applyAlignment="1"/>
    <xf numFmtId="2" fontId="0" fillId="0" borderId="17" xfId="0" applyNumberFormat="1" applyBorder="1" applyAlignment="1"/>
    <xf numFmtId="0" fontId="0" fillId="0" borderId="26" xfId="0" applyBorder="1" applyAlignment="1"/>
    <xf numFmtId="0" fontId="0" fillId="0" borderId="17" xfId="0" applyBorder="1" applyAlignment="1"/>
    <xf numFmtId="2" fontId="0" fillId="0" borderId="0" xfId="0" applyNumberFormat="1" applyBorder="1"/>
    <xf numFmtId="0" fontId="0" fillId="0" borderId="17" xfId="0" applyBorder="1"/>
    <xf numFmtId="0" fontId="0" fillId="0" borderId="0" xfId="0" applyBorder="1"/>
    <xf numFmtId="0" fontId="0" fillId="0" borderId="0" xfId="0" applyAlignment="1">
      <alignment horizontal="center"/>
    </xf>
    <xf numFmtId="169" fontId="0" fillId="0" borderId="0" xfId="0" applyNumberFormat="1"/>
    <xf numFmtId="0" fontId="0" fillId="0" borderId="0" xfId="0" applyAlignment="1">
      <alignment horizontal="right"/>
    </xf>
    <xf numFmtId="44" fontId="0" fillId="0" borderId="0" xfId="0" applyNumberFormat="1"/>
    <xf numFmtId="0" fontId="0" fillId="0" borderId="0" xfId="0" applyFill="1" applyBorder="1" applyAlignment="1">
      <alignment horizontal="center"/>
    </xf>
    <xf numFmtId="0" fontId="0" fillId="0" borderId="0" xfId="0" applyFill="1" applyAlignment="1"/>
    <xf numFmtId="9" fontId="0" fillId="0" borderId="0" xfId="1" applyFont="1" applyBorder="1"/>
    <xf numFmtId="0" fontId="0" fillId="0" borderId="28" xfId="0" applyBorder="1"/>
    <xf numFmtId="9" fontId="0" fillId="0" borderId="28" xfId="1" applyFont="1" applyBorder="1"/>
    <xf numFmtId="0" fontId="0" fillId="0" borderId="26" xfId="0" applyBorder="1"/>
    <xf numFmtId="9" fontId="0" fillId="0" borderId="20" xfId="1" applyFont="1" applyBorder="1"/>
    <xf numFmtId="9" fontId="0" fillId="0" borderId="27" xfId="1" applyFont="1" applyBorder="1"/>
    <xf numFmtId="0" fontId="1" fillId="0" borderId="17" xfId="0" applyFont="1" applyBorder="1"/>
    <xf numFmtId="0" fontId="2" fillId="0" borderId="0" xfId="0" applyFont="1" applyBorder="1" applyAlignment="1">
      <alignment horizontal="center"/>
    </xf>
    <xf numFmtId="0" fontId="2" fillId="0" borderId="28" xfId="0" applyFont="1" applyBorder="1" applyAlignment="1">
      <alignment horizontal="center"/>
    </xf>
    <xf numFmtId="0" fontId="0" fillId="0" borderId="6" xfId="0" applyBorder="1"/>
    <xf numFmtId="0" fontId="12" fillId="0" borderId="0" xfId="0" applyFont="1" applyBorder="1"/>
    <xf numFmtId="0" fontId="3" fillId="0" borderId="17" xfId="0" applyFont="1" applyBorder="1"/>
    <xf numFmtId="0" fontId="3" fillId="14" borderId="26" xfId="0" applyFont="1" applyFill="1" applyBorder="1"/>
    <xf numFmtId="0" fontId="0" fillId="14" borderId="20" xfId="0" applyFill="1" applyBorder="1"/>
    <xf numFmtId="0" fontId="0" fillId="14" borderId="27" xfId="0" applyFill="1" applyBorder="1"/>
    <xf numFmtId="0" fontId="39" fillId="0" borderId="17" xfId="0" applyFont="1" applyBorder="1"/>
    <xf numFmtId="0" fontId="35" fillId="0" borderId="0" xfId="0" applyFont="1" applyBorder="1"/>
    <xf numFmtId="0" fontId="35" fillId="0" borderId="28" xfId="0" applyFont="1" applyBorder="1"/>
    <xf numFmtId="0" fontId="40" fillId="0" borderId="0" xfId="0" applyFont="1"/>
    <xf numFmtId="167" fontId="40" fillId="0" borderId="0" xfId="2" applyNumberFormat="1" applyFont="1"/>
    <xf numFmtId="3" fontId="40" fillId="0" borderId="0" xfId="0" applyNumberFormat="1" applyFont="1"/>
    <xf numFmtId="0" fontId="27" fillId="9" borderId="1" xfId="0" applyFont="1" applyFill="1" applyBorder="1" applyAlignment="1">
      <alignment horizontal="center"/>
    </xf>
    <xf numFmtId="20" fontId="10" fillId="0" borderId="0" xfId="0" applyNumberFormat="1" applyFont="1" applyBorder="1" applyAlignment="1">
      <alignment horizontal="left"/>
    </xf>
    <xf numFmtId="169" fontId="18" fillId="0" borderId="0" xfId="0" applyNumberFormat="1" applyFont="1" applyBorder="1"/>
    <xf numFmtId="169" fontId="0" fillId="0" borderId="0" xfId="0" applyNumberFormat="1" applyBorder="1"/>
    <xf numFmtId="0" fontId="2" fillId="0" borderId="0" xfId="0" applyFont="1" applyAlignment="1">
      <alignment horizontal="center"/>
    </xf>
    <xf numFmtId="0" fontId="3" fillId="0" borderId="0" xfId="0" applyFont="1"/>
    <xf numFmtId="2" fontId="0" fillId="0" borderId="0" xfId="0" applyNumberFormat="1" applyFill="1" applyBorder="1" applyProtection="1"/>
    <xf numFmtId="2" fontId="0" fillId="0" borderId="0" xfId="0" applyNumberFormat="1" applyFill="1" applyProtection="1"/>
    <xf numFmtId="168" fontId="0" fillId="0" borderId="0" xfId="0" applyNumberFormat="1" applyFill="1" applyProtection="1"/>
    <xf numFmtId="0" fontId="42" fillId="0" borderId="0" xfId="0" applyFont="1"/>
    <xf numFmtId="0" fontId="3" fillId="0" borderId="0" xfId="0" applyFont="1" applyAlignment="1">
      <alignment horizontal="center"/>
    </xf>
    <xf numFmtId="9" fontId="0" fillId="0" borderId="0" xfId="1" applyFont="1" applyAlignment="1">
      <alignment horizontal="center"/>
    </xf>
    <xf numFmtId="0" fontId="43" fillId="0" borderId="34" xfId="0" applyFont="1" applyBorder="1"/>
    <xf numFmtId="0" fontId="43" fillId="15" borderId="34" xfId="0" applyFont="1" applyFill="1" applyBorder="1"/>
    <xf numFmtId="174" fontId="43" fillId="0" borderId="34" xfId="0" applyNumberFormat="1" applyFont="1" applyBorder="1" applyAlignment="1">
      <alignment horizontal="center" vertical="center"/>
    </xf>
    <xf numFmtId="174" fontId="0" fillId="0" borderId="0" xfId="0" applyNumberFormat="1"/>
    <xf numFmtId="0" fontId="43" fillId="0" borderId="0" xfId="0" applyFont="1" applyFill="1" applyBorder="1"/>
    <xf numFmtId="0" fontId="43" fillId="0" borderId="0" xfId="0" applyFont="1" applyFill="1" applyBorder="1" applyAlignment="1"/>
    <xf numFmtId="0" fontId="0" fillId="0" borderId="0" xfId="0" applyFill="1" applyBorder="1" applyAlignment="1">
      <alignment horizontal="right"/>
    </xf>
    <xf numFmtId="167" fontId="1" fillId="0" borderId="0" xfId="0" applyNumberFormat="1" applyFont="1"/>
    <xf numFmtId="0" fontId="1" fillId="0" borderId="31" xfId="0" applyFont="1" applyBorder="1"/>
    <xf numFmtId="44" fontId="1" fillId="0" borderId="33" xfId="0" applyNumberFormat="1" applyFont="1" applyBorder="1"/>
    <xf numFmtId="0" fontId="0" fillId="0" borderId="31" xfId="0" applyBorder="1"/>
    <xf numFmtId="0" fontId="0" fillId="0" borderId="32" xfId="0" applyBorder="1"/>
    <xf numFmtId="0" fontId="0" fillId="0" borderId="33" xfId="0" applyBorder="1"/>
    <xf numFmtId="9" fontId="0" fillId="0" borderId="0" xfId="1" applyFont="1"/>
    <xf numFmtId="0" fontId="47" fillId="0" borderId="0" xfId="0" applyFont="1"/>
    <xf numFmtId="0" fontId="0" fillId="0" borderId="0" xfId="0" applyBorder="1" applyAlignment="1"/>
    <xf numFmtId="0" fontId="1" fillId="7" borderId="0" xfId="0" applyFont="1" applyFill="1" applyAlignment="1">
      <alignment horizontal="center"/>
    </xf>
    <xf numFmtId="0" fontId="3" fillId="0" borderId="0" xfId="0" applyFont="1"/>
    <xf numFmtId="0" fontId="3" fillId="0" borderId="0" xfId="0" applyFont="1" applyFill="1" applyBorder="1" applyAlignment="1">
      <alignment horizontal="center"/>
    </xf>
    <xf numFmtId="0" fontId="0" fillId="0" borderId="0" xfId="0" applyAlignment="1">
      <alignment horizontal="center"/>
    </xf>
    <xf numFmtId="0" fontId="10" fillId="9" borderId="4" xfId="0" applyFont="1" applyFill="1" applyBorder="1" applyAlignment="1">
      <alignment horizontal="center"/>
    </xf>
    <xf numFmtId="0" fontId="2" fillId="9" borderId="5" xfId="0" applyFont="1" applyFill="1" applyBorder="1" applyAlignment="1">
      <alignment horizontal="center"/>
    </xf>
    <xf numFmtId="0" fontId="2" fillId="9" borderId="7" xfId="0" applyFont="1" applyFill="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0" xfId="0" applyFont="1" applyAlignment="1">
      <alignment horizontal="center"/>
    </xf>
    <xf numFmtId="0" fontId="2" fillId="0" borderId="0" xfId="0" applyFont="1" applyAlignment="1">
      <alignment horizontal="center"/>
    </xf>
    <xf numFmtId="175" fontId="0" fillId="0" borderId="0" xfId="0" applyNumberFormat="1"/>
    <xf numFmtId="2" fontId="18" fillId="0" borderId="0" xfId="0" applyNumberFormat="1" applyFont="1" applyBorder="1" applyAlignment="1">
      <alignment horizontal="center"/>
    </xf>
    <xf numFmtId="0" fontId="49" fillId="9" borderId="0" xfId="0" applyFont="1" applyFill="1"/>
    <xf numFmtId="9" fontId="49" fillId="9" borderId="0" xfId="1" applyFont="1" applyFill="1"/>
    <xf numFmtId="0" fontId="50" fillId="9" borderId="1" xfId="0" applyFont="1" applyFill="1" applyBorder="1" applyAlignment="1">
      <alignment vertical="center"/>
    </xf>
    <xf numFmtId="0" fontId="11" fillId="0" borderId="0" xfId="0" applyFont="1"/>
    <xf numFmtId="0" fontId="12" fillId="0" borderId="0" xfId="0" applyFont="1"/>
    <xf numFmtId="0" fontId="0" fillId="0" borderId="15" xfId="0" applyFill="1" applyBorder="1" applyProtection="1"/>
    <xf numFmtId="0" fontId="0" fillId="0" borderId="16" xfId="0" applyFill="1" applyBorder="1" applyProtection="1"/>
    <xf numFmtId="0" fontId="0" fillId="0" borderId="17" xfId="0" applyFill="1" applyBorder="1" applyProtection="1"/>
    <xf numFmtId="0" fontId="12" fillId="0" borderId="17" xfId="0" applyFont="1" applyFill="1" applyBorder="1" applyProtection="1"/>
    <xf numFmtId="1" fontId="0" fillId="0" borderId="0" xfId="0" applyNumberFormat="1" applyFill="1" applyBorder="1" applyProtection="1"/>
    <xf numFmtId="1" fontId="0" fillId="0" borderId="28" xfId="0" applyNumberFormat="1" applyFill="1" applyBorder="1" applyProtection="1"/>
    <xf numFmtId="0" fontId="12" fillId="0" borderId="26" xfId="0" applyFont="1" applyFill="1" applyBorder="1" applyAlignment="1" applyProtection="1">
      <alignment horizontal="center"/>
    </xf>
    <xf numFmtId="0" fontId="0" fillId="0" borderId="20" xfId="0" applyBorder="1"/>
    <xf numFmtId="170" fontId="28" fillId="10" borderId="20" xfId="1" applyNumberFormat="1" applyFont="1" applyFill="1" applyBorder="1"/>
    <xf numFmtId="170" fontId="28" fillId="10" borderId="27" xfId="1" applyNumberFormat="1" applyFont="1" applyFill="1" applyBorder="1"/>
    <xf numFmtId="0" fontId="12" fillId="0" borderId="20" xfId="0" applyFont="1" applyBorder="1" applyAlignment="1">
      <alignment horizontal="center"/>
    </xf>
    <xf numFmtId="0" fontId="12" fillId="0" borderId="20" xfId="0" applyFont="1" applyFill="1" applyBorder="1" applyAlignment="1" applyProtection="1">
      <alignment horizontal="center"/>
    </xf>
    <xf numFmtId="0" fontId="12" fillId="0" borderId="27" xfId="0" applyFont="1" applyFill="1" applyBorder="1" applyAlignment="1" applyProtection="1">
      <alignment horizontal="center"/>
    </xf>
    <xf numFmtId="171" fontId="21" fillId="0" borderId="12" xfId="0" applyNumberFormat="1" applyFont="1" applyBorder="1" applyAlignment="1"/>
    <xf numFmtId="0" fontId="12" fillId="0" borderId="5" xfId="0" applyFont="1" applyBorder="1"/>
    <xf numFmtId="0" fontId="12" fillId="0" borderId="6" xfId="0" applyFont="1" applyBorder="1"/>
    <xf numFmtId="0" fontId="12" fillId="0" borderId="21" xfId="0" applyFont="1" applyBorder="1" applyAlignment="1">
      <alignment horizontal="center"/>
    </xf>
    <xf numFmtId="1" fontId="0" fillId="0" borderId="11" xfId="0" applyNumberFormat="1" applyBorder="1" applyAlignment="1">
      <alignment horizontal="center"/>
    </xf>
    <xf numFmtId="1" fontId="0" fillId="0" borderId="12" xfId="0" applyNumberFormat="1" applyBorder="1" applyAlignment="1">
      <alignment horizontal="center"/>
    </xf>
    <xf numFmtId="167" fontId="0" fillId="0" borderId="0" xfId="2" applyNumberFormat="1" applyFont="1" applyBorder="1"/>
    <xf numFmtId="0" fontId="2" fillId="0" borderId="0" xfId="0" applyFont="1" applyFill="1" applyBorder="1" applyAlignment="1"/>
    <xf numFmtId="0" fontId="2" fillId="0" borderId="8" xfId="0" applyFont="1" applyBorder="1" applyAlignment="1">
      <alignment horizontal="center"/>
    </xf>
    <xf numFmtId="0" fontId="25" fillId="9" borderId="35" xfId="0" applyFont="1" applyFill="1" applyBorder="1" applyAlignment="1">
      <alignment horizontal="center"/>
    </xf>
    <xf numFmtId="3" fontId="26" fillId="9" borderId="36" xfId="0" applyNumberFormat="1" applyFont="1" applyFill="1" applyBorder="1" applyAlignment="1">
      <alignment horizontal="center"/>
    </xf>
    <xf numFmtId="0" fontId="1" fillId="0" borderId="8" xfId="0" applyFont="1" applyFill="1" applyBorder="1"/>
    <xf numFmtId="0" fontId="0" fillId="0" borderId="10" xfId="0" applyFill="1" applyBorder="1"/>
    <xf numFmtId="3" fontId="26" fillId="9" borderId="37" xfId="0" applyNumberFormat="1" applyFont="1" applyFill="1" applyBorder="1" applyAlignment="1">
      <alignment horizontal="center"/>
    </xf>
    <xf numFmtId="2" fontId="0" fillId="0" borderId="0" xfId="0" applyNumberFormat="1" applyAlignment="1">
      <alignment horizontal="center"/>
    </xf>
    <xf numFmtId="0" fontId="1" fillId="0" borderId="0" xfId="0" applyFont="1" applyFill="1" applyBorder="1" applyAlignment="1">
      <alignment horizontal="left"/>
    </xf>
    <xf numFmtId="0" fontId="1" fillId="0" borderId="8" xfId="0" applyFont="1" applyBorder="1" applyAlignment="1">
      <alignment horizontal="left"/>
    </xf>
    <xf numFmtId="0" fontId="1" fillId="0" borderId="10" xfId="0" applyFont="1" applyBorder="1" applyAlignment="1">
      <alignment horizontal="left"/>
    </xf>
    <xf numFmtId="0" fontId="1" fillId="0" borderId="19" xfId="0" applyFont="1" applyBorder="1" applyAlignment="1">
      <alignment horizontal="left"/>
    </xf>
    <xf numFmtId="0" fontId="1" fillId="0" borderId="8" xfId="0" applyFont="1" applyFill="1" applyBorder="1" applyAlignment="1">
      <alignment horizontal="left"/>
    </xf>
    <xf numFmtId="0" fontId="1" fillId="0" borderId="10" xfId="0" applyFont="1" applyFill="1" applyBorder="1" applyAlignment="1">
      <alignment horizontal="left"/>
    </xf>
    <xf numFmtId="44" fontId="49" fillId="13" borderId="0" xfId="2" applyFont="1" applyFill="1"/>
    <xf numFmtId="167" fontId="18" fillId="0" borderId="0" xfId="2" applyNumberFormat="1" applyFont="1" applyFill="1" applyBorder="1"/>
    <xf numFmtId="170" fontId="50" fillId="9" borderId="1" xfId="1" applyNumberFormat="1" applyFont="1" applyFill="1" applyBorder="1" applyAlignment="1">
      <alignment vertical="center"/>
    </xf>
    <xf numFmtId="0" fontId="2" fillId="0" borderId="16" xfId="0" applyFont="1" applyBorder="1" applyAlignment="1">
      <alignment horizontal="center"/>
    </xf>
    <xf numFmtId="0" fontId="2" fillId="0" borderId="25" xfId="0" applyFont="1" applyBorder="1" applyAlignment="1">
      <alignment horizontal="center"/>
    </xf>
    <xf numFmtId="44" fontId="0" fillId="0" borderId="0" xfId="0" applyNumberFormat="1" applyBorder="1"/>
    <xf numFmtId="44" fontId="0" fillId="0" borderId="28" xfId="0" applyNumberFormat="1" applyBorder="1"/>
    <xf numFmtId="44" fontId="0" fillId="0" borderId="0" xfId="2" applyFont="1" applyBorder="1"/>
    <xf numFmtId="44" fontId="0" fillId="0" borderId="28" xfId="2" applyFont="1" applyBorder="1"/>
    <xf numFmtId="167" fontId="0" fillId="0" borderId="0" xfId="0" applyNumberFormat="1" applyBorder="1"/>
    <xf numFmtId="167" fontId="1" fillId="0" borderId="0" xfId="0" applyNumberFormat="1" applyFont="1" applyBorder="1"/>
    <xf numFmtId="167" fontId="1" fillId="0" borderId="28" xfId="0" applyNumberFormat="1" applyFont="1" applyBorder="1"/>
    <xf numFmtId="0" fontId="1" fillId="0" borderId="17" xfId="0" applyFont="1" applyFill="1" applyBorder="1"/>
    <xf numFmtId="0" fontId="0" fillId="0" borderId="28" xfId="0" applyFill="1" applyBorder="1"/>
    <xf numFmtId="167" fontId="0" fillId="0" borderId="28" xfId="0" applyNumberFormat="1" applyBorder="1"/>
    <xf numFmtId="44" fontId="0" fillId="0" borderId="0" xfId="0" applyNumberFormat="1" applyBorder="1" applyAlignment="1"/>
    <xf numFmtId="44" fontId="0" fillId="0" borderId="28" xfId="0" applyNumberFormat="1" applyBorder="1" applyAlignment="1"/>
    <xf numFmtId="0" fontId="1" fillId="0" borderId="26" xfId="0" applyFont="1" applyBorder="1"/>
    <xf numFmtId="167" fontId="1" fillId="0" borderId="20" xfId="0" applyNumberFormat="1" applyFont="1" applyBorder="1"/>
    <xf numFmtId="167" fontId="1" fillId="0" borderId="27" xfId="0" applyNumberFormat="1" applyFont="1" applyBorder="1"/>
    <xf numFmtId="2" fontId="0" fillId="9" borderId="0" xfId="0" applyNumberFormat="1" applyFill="1" applyAlignment="1">
      <alignment horizontal="center"/>
    </xf>
    <xf numFmtId="167" fontId="3" fillId="0" borderId="0" xfId="2" applyNumberFormat="1" applyFont="1"/>
    <xf numFmtId="0" fontId="1" fillId="3" borderId="18" xfId="0" applyFont="1" applyFill="1" applyBorder="1" applyAlignment="1"/>
    <xf numFmtId="0" fontId="2" fillId="0" borderId="32" xfId="0" applyFont="1" applyBorder="1" applyAlignment="1">
      <alignment horizontal="center"/>
    </xf>
    <xf numFmtId="0" fontId="2" fillId="0" borderId="33" xfId="0" applyFont="1" applyBorder="1" applyAlignment="1">
      <alignment horizontal="center"/>
    </xf>
    <xf numFmtId="0" fontId="3" fillId="0" borderId="17" xfId="0" applyFont="1" applyBorder="1" applyAlignment="1">
      <alignment horizontal="center"/>
    </xf>
    <xf numFmtId="169" fontId="0" fillId="0" borderId="28" xfId="0" applyNumberFormat="1" applyBorder="1"/>
    <xf numFmtId="0" fontId="3" fillId="0" borderId="26" xfId="0" applyFont="1" applyBorder="1" applyAlignment="1">
      <alignment horizontal="center"/>
    </xf>
    <xf numFmtId="169" fontId="0" fillId="0" borderId="20" xfId="0" applyNumberFormat="1" applyBorder="1"/>
    <xf numFmtId="169" fontId="0" fillId="0" borderId="27" xfId="0" applyNumberFormat="1" applyBorder="1"/>
    <xf numFmtId="2" fontId="0" fillId="0" borderId="28" xfId="0" applyNumberFormat="1" applyBorder="1"/>
    <xf numFmtId="0" fontId="41" fillId="0" borderId="31" xfId="0" applyFont="1" applyBorder="1" applyAlignment="1">
      <alignment horizontal="center"/>
    </xf>
    <xf numFmtId="2" fontId="21" fillId="0" borderId="32" xfId="0" applyNumberFormat="1" applyFont="1" applyBorder="1"/>
    <xf numFmtId="2" fontId="21" fillId="0" borderId="33" xfId="0" applyNumberFormat="1" applyFont="1" applyBorder="1"/>
    <xf numFmtId="0" fontId="1" fillId="3" borderId="15" xfId="0" applyFont="1" applyFill="1" applyBorder="1" applyAlignment="1"/>
    <xf numFmtId="0" fontId="3" fillId="0" borderId="15" xfId="0" applyFont="1" applyBorder="1" applyAlignment="1">
      <alignment horizontal="center"/>
    </xf>
    <xf numFmtId="2" fontId="0" fillId="0" borderId="16" xfId="0" applyNumberFormat="1" applyBorder="1"/>
    <xf numFmtId="2" fontId="0" fillId="0" borderId="25" xfId="0" applyNumberFormat="1" applyBorder="1"/>
    <xf numFmtId="2" fontId="0" fillId="0" borderId="20" xfId="0" applyNumberFormat="1" applyBorder="1"/>
    <xf numFmtId="2" fontId="0" fillId="0" borderId="27" xfId="0" applyNumberFormat="1" applyBorder="1"/>
    <xf numFmtId="3" fontId="1" fillId="0" borderId="0" xfId="0" applyNumberFormat="1" applyFont="1" applyFill="1" applyBorder="1" applyAlignment="1"/>
    <xf numFmtId="0" fontId="0" fillId="0" borderId="0" xfId="0" applyFill="1" applyBorder="1" applyAlignment="1"/>
    <xf numFmtId="0" fontId="3" fillId="0" borderId="0" xfId="0" applyFont="1" applyFill="1" applyBorder="1" applyAlignment="1">
      <alignment horizontal="centerContinuous"/>
    </xf>
    <xf numFmtId="0" fontId="1" fillId="0" borderId="0" xfId="0" applyFont="1" applyBorder="1" applyAlignment="1">
      <alignment horizontal="center"/>
    </xf>
    <xf numFmtId="0" fontId="1" fillId="16" borderId="15" xfId="0" applyFont="1" applyFill="1" applyBorder="1" applyAlignment="1">
      <alignment horizontal="left"/>
    </xf>
    <xf numFmtId="0" fontId="2" fillId="16" borderId="16" xfId="0" applyFont="1" applyFill="1" applyBorder="1" applyAlignment="1">
      <alignment horizontal="center"/>
    </xf>
    <xf numFmtId="0" fontId="2" fillId="16" borderId="25" xfId="0" applyFont="1" applyFill="1" applyBorder="1" applyAlignment="1">
      <alignment horizontal="center"/>
    </xf>
    <xf numFmtId="0" fontId="1" fillId="7" borderId="1" xfId="0" applyFont="1" applyFill="1" applyBorder="1"/>
    <xf numFmtId="0" fontId="51" fillId="17" borderId="1" xfId="0" applyFont="1" applyFill="1" applyBorder="1"/>
    <xf numFmtId="0" fontId="2" fillId="0" borderId="15" xfId="0" applyFont="1" applyFill="1" applyBorder="1"/>
    <xf numFmtId="0" fontId="0" fillId="0" borderId="17" xfId="0" applyFont="1" applyFill="1" applyBorder="1"/>
    <xf numFmtId="167" fontId="18" fillId="0" borderId="0" xfId="0" applyNumberFormat="1" applyFont="1" applyBorder="1"/>
    <xf numFmtId="167" fontId="18" fillId="0" borderId="28" xfId="0" applyNumberFormat="1" applyFont="1" applyBorder="1"/>
    <xf numFmtId="2" fontId="18" fillId="0" borderId="0" xfId="2" applyNumberFormat="1" applyFont="1" applyBorder="1"/>
    <xf numFmtId="2" fontId="18" fillId="0" borderId="28" xfId="2" applyNumberFormat="1" applyFont="1" applyBorder="1"/>
    <xf numFmtId="0" fontId="1" fillId="11" borderId="31" xfId="0" applyFont="1" applyFill="1" applyBorder="1"/>
    <xf numFmtId="44" fontId="0" fillId="11" borderId="32" xfId="2" applyFont="1" applyFill="1" applyBorder="1"/>
    <xf numFmtId="44" fontId="0" fillId="11" borderId="33" xfId="2" applyFont="1" applyFill="1" applyBorder="1"/>
    <xf numFmtId="0" fontId="0" fillId="0" borderId="15" xfId="0" applyBorder="1" applyAlignment="1"/>
    <xf numFmtId="3" fontId="0" fillId="0" borderId="16" xfId="0" applyNumberFormat="1" applyFill="1" applyBorder="1"/>
    <xf numFmtId="0" fontId="0" fillId="0" borderId="16" xfId="0" applyFill="1" applyBorder="1"/>
    <xf numFmtId="0" fontId="0" fillId="0" borderId="16" xfId="0" applyBorder="1"/>
    <xf numFmtId="0" fontId="1" fillId="0" borderId="26" xfId="0" applyFont="1" applyFill="1" applyBorder="1" applyAlignment="1">
      <alignment horizontal="left"/>
    </xf>
    <xf numFmtId="3" fontId="1" fillId="0" borderId="20" xfId="0" applyNumberFormat="1" applyFont="1" applyFill="1" applyBorder="1" applyAlignment="1">
      <alignment horizontal="right"/>
    </xf>
    <xf numFmtId="0" fontId="52" fillId="19" borderId="25" xfId="0" applyFont="1" applyFill="1" applyBorder="1" applyAlignment="1">
      <alignment horizontal="right"/>
    </xf>
    <xf numFmtId="3" fontId="1" fillId="19" borderId="27" xfId="0" applyNumberFormat="1" applyFont="1" applyFill="1" applyBorder="1" applyAlignment="1"/>
    <xf numFmtId="2" fontId="18" fillId="0" borderId="0" xfId="0" applyNumberFormat="1" applyFont="1" applyAlignment="1">
      <alignment horizontal="right"/>
    </xf>
    <xf numFmtId="0" fontId="2" fillId="0" borderId="15" xfId="0" applyFont="1" applyBorder="1"/>
    <xf numFmtId="0" fontId="0" fillId="0" borderId="17" xfId="0" applyFont="1" applyBorder="1"/>
    <xf numFmtId="1" fontId="18" fillId="0" borderId="0" xfId="0" applyNumberFormat="1" applyFont="1" applyBorder="1" applyAlignment="1">
      <alignment horizontal="center"/>
    </xf>
    <xf numFmtId="1" fontId="18" fillId="0" borderId="28" xfId="0" applyNumberFormat="1" applyFont="1" applyBorder="1" applyAlignment="1">
      <alignment horizontal="center"/>
    </xf>
    <xf numFmtId="0" fontId="18" fillId="0" borderId="28" xfId="0" applyFont="1" applyBorder="1" applyAlignment="1">
      <alignment horizontal="center"/>
    </xf>
    <xf numFmtId="2" fontId="18" fillId="0" borderId="28" xfId="0" applyNumberFormat="1" applyFont="1" applyBorder="1" applyAlignment="1">
      <alignment horizontal="center"/>
    </xf>
    <xf numFmtId="172" fontId="18" fillId="0" borderId="0" xfId="0" applyNumberFormat="1" applyFont="1" applyBorder="1" applyAlignment="1">
      <alignment horizontal="center"/>
    </xf>
    <xf numFmtId="172" fontId="18" fillId="0" borderId="28" xfId="0" applyNumberFormat="1" applyFont="1" applyBorder="1" applyAlignment="1">
      <alignment horizontal="center"/>
    </xf>
    <xf numFmtId="168" fontId="18" fillId="0" borderId="0" xfId="0" applyNumberFormat="1" applyFont="1" applyBorder="1" applyAlignment="1">
      <alignment horizontal="center"/>
    </xf>
    <xf numFmtId="168" fontId="18" fillId="0" borderId="28" xfId="0" applyNumberFormat="1" applyFont="1" applyBorder="1" applyAlignment="1">
      <alignment horizontal="center"/>
    </xf>
    <xf numFmtId="0" fontId="1" fillId="18" borderId="31" xfId="0" applyFont="1" applyFill="1" applyBorder="1"/>
    <xf numFmtId="2" fontId="18" fillId="0" borderId="32" xfId="0" applyNumberFormat="1" applyFont="1" applyBorder="1" applyAlignment="1">
      <alignment horizontal="center"/>
    </xf>
    <xf numFmtId="2" fontId="18" fillId="0" borderId="33" xfId="0" applyNumberFormat="1" applyFont="1" applyBorder="1" applyAlignment="1">
      <alignment horizontal="center"/>
    </xf>
    <xf numFmtId="2" fontId="21" fillId="0" borderId="1" xfId="0" applyNumberFormat="1" applyFont="1" applyBorder="1" applyAlignment="1">
      <alignment horizontal="right"/>
    </xf>
    <xf numFmtId="0" fontId="2" fillId="0" borderId="20"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0" fillId="0" borderId="27" xfId="0" applyBorder="1"/>
    <xf numFmtId="0" fontId="1" fillId="0" borderId="32" xfId="0" applyFont="1" applyBorder="1" applyAlignment="1">
      <alignment horizontal="center"/>
    </xf>
    <xf numFmtId="0" fontId="1" fillId="0" borderId="33" xfId="0" applyFont="1" applyBorder="1" applyAlignment="1">
      <alignment horizontal="center"/>
    </xf>
    <xf numFmtId="167" fontId="0" fillId="0" borderId="28" xfId="2" applyNumberFormat="1" applyFont="1" applyBorder="1"/>
    <xf numFmtId="3" fontId="0" fillId="0" borderId="0" xfId="0" applyNumberFormat="1" applyBorder="1"/>
    <xf numFmtId="3" fontId="0" fillId="0" borderId="28" xfId="0" applyNumberFormat="1" applyBorder="1"/>
    <xf numFmtId="0" fontId="0" fillId="0" borderId="20" xfId="0" applyBorder="1" applyAlignment="1">
      <alignment horizontal="right"/>
    </xf>
    <xf numFmtId="0" fontId="0" fillId="0" borderId="27" xfId="0" applyBorder="1" applyAlignment="1">
      <alignment horizontal="right"/>
    </xf>
    <xf numFmtId="0" fontId="0" fillId="0" borderId="15" xfId="0" applyBorder="1"/>
    <xf numFmtId="9" fontId="0" fillId="0" borderId="16" xfId="1" applyFont="1" applyBorder="1"/>
    <xf numFmtId="9" fontId="0" fillId="0" borderId="25" xfId="1" applyFont="1" applyBorder="1"/>
    <xf numFmtId="1" fontId="0" fillId="0" borderId="0" xfId="0" applyNumberFormat="1" applyBorder="1"/>
    <xf numFmtId="1" fontId="0" fillId="0" borderId="28" xfId="0" applyNumberFormat="1" applyBorder="1"/>
    <xf numFmtId="167" fontId="0" fillId="0" borderId="20" xfId="0" applyNumberFormat="1" applyBorder="1"/>
    <xf numFmtId="9" fontId="2" fillId="0" borderId="0" xfId="1" applyFont="1" applyAlignment="1">
      <alignment horizontal="center"/>
    </xf>
    <xf numFmtId="0" fontId="18" fillId="0" borderId="17" xfId="0" applyFont="1" applyBorder="1" applyAlignment="1">
      <alignment horizontal="left"/>
    </xf>
    <xf numFmtId="0" fontId="0" fillId="0" borderId="17" xfId="0" applyFont="1" applyBorder="1" applyAlignment="1">
      <alignment horizontal="left"/>
    </xf>
    <xf numFmtId="44" fontId="0" fillId="0" borderId="27" xfId="0" applyNumberFormat="1" applyBorder="1"/>
    <xf numFmtId="0" fontId="10" fillId="6" borderId="17" xfId="0" applyFont="1" applyFill="1" applyBorder="1" applyAlignment="1">
      <alignment horizontal="center"/>
    </xf>
    <xf numFmtId="0" fontId="20" fillId="0" borderId="28" xfId="0" applyFont="1" applyBorder="1" applyAlignment="1">
      <alignment horizontal="center"/>
    </xf>
    <xf numFmtId="167" fontId="28" fillId="0" borderId="0" xfId="2" applyNumberFormat="1" applyFont="1" applyBorder="1"/>
    <xf numFmtId="167" fontId="28" fillId="0" borderId="28" xfId="2" applyNumberFormat="1" applyFont="1" applyBorder="1"/>
    <xf numFmtId="0" fontId="0" fillId="0" borderId="17" xfId="0" quotePrefix="1" applyFont="1" applyFill="1" applyBorder="1"/>
    <xf numFmtId="167" fontId="28" fillId="0" borderId="0" xfId="0" applyNumberFormat="1" applyFont="1" applyBorder="1"/>
    <xf numFmtId="167" fontId="28" fillId="0" borderId="28" xfId="0" applyNumberFormat="1" applyFont="1" applyBorder="1"/>
    <xf numFmtId="0" fontId="28" fillId="0" borderId="0" xfId="0" applyFont="1" applyBorder="1"/>
    <xf numFmtId="0" fontId="28" fillId="0" borderId="28" xfId="0" applyFont="1" applyBorder="1"/>
    <xf numFmtId="167" fontId="37" fillId="0" borderId="28" xfId="2" applyNumberFormat="1" applyFont="1" applyBorder="1"/>
    <xf numFmtId="167" fontId="37" fillId="0" borderId="20" xfId="0" applyNumberFormat="1" applyFont="1" applyBorder="1"/>
    <xf numFmtId="167" fontId="37" fillId="0" borderId="27" xfId="0" applyNumberFormat="1" applyFont="1" applyBorder="1"/>
    <xf numFmtId="173" fontId="3" fillId="0" borderId="0" xfId="0" applyNumberFormat="1" applyFont="1" applyBorder="1" applyAlignment="1">
      <alignment horizontal="center"/>
    </xf>
    <xf numFmtId="173" fontId="0" fillId="0" borderId="0" xfId="0" applyNumberFormat="1" applyBorder="1"/>
    <xf numFmtId="167" fontId="18" fillId="0" borderId="28" xfId="2" applyNumberFormat="1" applyFont="1" applyBorder="1"/>
    <xf numFmtId="0" fontId="1" fillId="7" borderId="31" xfId="0" applyFont="1" applyFill="1" applyBorder="1"/>
    <xf numFmtId="44" fontId="21" fillId="0" borderId="33" xfId="0" applyNumberFormat="1" applyFont="1" applyBorder="1"/>
    <xf numFmtId="0" fontId="0" fillId="0" borderId="17" xfId="0" applyFill="1" applyBorder="1"/>
    <xf numFmtId="44" fontId="18" fillId="0" borderId="28" xfId="2" applyFont="1" applyBorder="1" applyAlignment="1">
      <alignment horizontal="center"/>
    </xf>
    <xf numFmtId="2" fontId="18" fillId="0" borderId="28" xfId="0" applyNumberFormat="1" applyFont="1" applyBorder="1" applyAlignment="1">
      <alignment horizontal="right"/>
    </xf>
    <xf numFmtId="44" fontId="0" fillId="0" borderId="28" xfId="2" applyFont="1" applyBorder="1" applyAlignment="1">
      <alignment horizontal="center"/>
    </xf>
    <xf numFmtId="0" fontId="51" fillId="17" borderId="31" xfId="0" applyFont="1" applyFill="1" applyBorder="1"/>
    <xf numFmtId="2" fontId="21" fillId="0" borderId="33" xfId="0" applyNumberFormat="1" applyFont="1" applyBorder="1" applyAlignment="1">
      <alignment horizontal="right"/>
    </xf>
    <xf numFmtId="0" fontId="0" fillId="0" borderId="25" xfId="0" applyBorder="1"/>
    <xf numFmtId="0" fontId="2" fillId="0" borderId="17" xfId="0" applyFont="1" applyBorder="1" applyAlignment="1"/>
    <xf numFmtId="172" fontId="0" fillId="0" borderId="28" xfId="0" applyNumberFormat="1" applyBorder="1"/>
    <xf numFmtId="172" fontId="0" fillId="0" borderId="27" xfId="0" applyNumberFormat="1" applyBorder="1"/>
    <xf numFmtId="0" fontId="0" fillId="7" borderId="0" xfId="0" applyFill="1" applyAlignment="1">
      <alignment horizontal="center"/>
    </xf>
    <xf numFmtId="0" fontId="0" fillId="0" borderId="0" xfId="0" applyAlignment="1">
      <alignment horizontal="center"/>
    </xf>
    <xf numFmtId="0" fontId="0" fillId="3" borderId="0" xfId="0" applyFill="1"/>
    <xf numFmtId="167" fontId="10" fillId="3" borderId="0" xfId="0" applyNumberFormat="1" applyFont="1" applyFill="1"/>
    <xf numFmtId="167" fontId="0" fillId="3" borderId="0" xfId="0" applyNumberFormat="1" applyFill="1"/>
    <xf numFmtId="1" fontId="0" fillId="3" borderId="0" xfId="0" applyNumberFormat="1" applyFill="1"/>
    <xf numFmtId="44" fontId="0" fillId="3" borderId="0" xfId="0" applyNumberFormat="1" applyFill="1"/>
    <xf numFmtId="0" fontId="3" fillId="0" borderId="0" xfId="0" applyFont="1"/>
    <xf numFmtId="0" fontId="0" fillId="0" borderId="17" xfId="0" applyBorder="1" applyAlignment="1">
      <alignment horizontal="center"/>
    </xf>
    <xf numFmtId="0" fontId="0" fillId="0" borderId="0" xfId="0" applyAlignment="1">
      <alignment horizontal="center"/>
    </xf>
    <xf numFmtId="167" fontId="1" fillId="0" borderId="38" xfId="0" applyNumberFormat="1" applyFont="1" applyBorder="1"/>
    <xf numFmtId="0" fontId="1" fillId="20" borderId="25" xfId="0" applyFont="1" applyFill="1" applyBorder="1" applyAlignment="1">
      <alignment horizontal="center"/>
    </xf>
    <xf numFmtId="3" fontId="0" fillId="0" borderId="20" xfId="0" applyNumberFormat="1" applyBorder="1"/>
    <xf numFmtId="3" fontId="1" fillId="0" borderId="28" xfId="0" applyNumberFormat="1" applyFont="1" applyBorder="1"/>
    <xf numFmtId="3" fontId="1" fillId="0" borderId="27" xfId="0" applyNumberFormat="1" applyFont="1" applyBorder="1"/>
    <xf numFmtId="9" fontId="0" fillId="0" borderId="0" xfId="0" applyNumberFormat="1" applyAlignment="1">
      <alignment horizontal="center"/>
    </xf>
    <xf numFmtId="3" fontId="1" fillId="0" borderId="38" xfId="0" applyNumberFormat="1" applyFont="1" applyBorder="1"/>
    <xf numFmtId="0" fontId="1" fillId="0" borderId="38" xfId="0" applyFont="1" applyBorder="1" applyAlignment="1">
      <alignment horizontal="center"/>
    </xf>
    <xf numFmtId="0" fontId="0" fillId="0" borderId="38" xfId="0" applyBorder="1"/>
    <xf numFmtId="0" fontId="0" fillId="0" borderId="0" xfId="0"/>
    <xf numFmtId="0" fontId="1" fillId="18" borderId="26" xfId="0" applyFont="1" applyFill="1" applyBorder="1"/>
    <xf numFmtId="2" fontId="21" fillId="0" borderId="0" xfId="0" applyNumberFormat="1" applyFont="1" applyBorder="1" applyAlignment="1">
      <alignment horizontal="center"/>
    </xf>
    <xf numFmtId="2" fontId="21" fillId="0" borderId="28" xfId="0" applyNumberFormat="1" applyFont="1" applyBorder="1" applyAlignment="1">
      <alignment horizontal="center"/>
    </xf>
    <xf numFmtId="2" fontId="21" fillId="0" borderId="20" xfId="0" applyNumberFormat="1" applyFont="1" applyBorder="1" applyAlignment="1">
      <alignment horizontal="center"/>
    </xf>
    <xf numFmtId="2" fontId="21" fillId="0" borderId="27" xfId="0" applyNumberFormat="1" applyFont="1" applyBorder="1" applyAlignment="1">
      <alignment horizontal="center"/>
    </xf>
    <xf numFmtId="44" fontId="18" fillId="0" borderId="0" xfId="2" applyFont="1" applyAlignment="1">
      <alignment horizontal="right"/>
    </xf>
    <xf numFmtId="167" fontId="21" fillId="0" borderId="1" xfId="0" applyNumberFormat="1" applyFont="1" applyBorder="1"/>
    <xf numFmtId="0" fontId="2" fillId="13" borderId="0" xfId="0" applyFont="1" applyFill="1" applyAlignment="1">
      <alignment horizontal="center"/>
    </xf>
    <xf numFmtId="0" fontId="2" fillId="13" borderId="0" xfId="0" applyFont="1" applyFill="1" applyBorder="1" applyAlignment="1">
      <alignment horizontal="center"/>
    </xf>
    <xf numFmtId="9" fontId="18" fillId="13" borderId="0" xfId="1" applyFont="1" applyFill="1" applyAlignment="1">
      <alignment horizontal="center"/>
    </xf>
    <xf numFmtId="0" fontId="18" fillId="13" borderId="0" xfId="0" applyFont="1" applyFill="1" applyAlignment="1">
      <alignment horizontal="center"/>
    </xf>
    <xf numFmtId="2" fontId="18" fillId="13" borderId="0" xfId="0" applyNumberFormat="1" applyFont="1" applyFill="1" applyAlignment="1">
      <alignment horizontal="center"/>
    </xf>
    <xf numFmtId="1" fontId="18" fillId="13" borderId="0" xfId="0" applyNumberFormat="1" applyFont="1" applyFill="1" applyAlignment="1">
      <alignment horizontal="center"/>
    </xf>
    <xf numFmtId="171" fontId="0" fillId="0" borderId="0" xfId="0" applyNumberFormat="1" applyFill="1"/>
    <xf numFmtId="0" fontId="1" fillId="0" borderId="0" xfId="0" applyFont="1" applyFill="1"/>
    <xf numFmtId="175" fontId="0" fillId="0" borderId="0" xfId="0" applyNumberFormat="1" applyFill="1"/>
    <xf numFmtId="3" fontId="0" fillId="0" borderId="0" xfId="0" applyNumberFormat="1" applyAlignment="1">
      <alignment horizontal="center"/>
    </xf>
    <xf numFmtId="3" fontId="1" fillId="0" borderId="38" xfId="0" applyNumberFormat="1" applyFont="1" applyBorder="1" applyAlignment="1">
      <alignment horizontal="center"/>
    </xf>
    <xf numFmtId="0" fontId="1" fillId="0" borderId="38" xfId="0" applyFont="1" applyBorder="1"/>
    <xf numFmtId="0" fontId="0" fillId="0" borderId="28" xfId="0" applyBorder="1" applyAlignment="1">
      <alignment horizontal="center"/>
    </xf>
    <xf numFmtId="0" fontId="1" fillId="0" borderId="42" xfId="0" applyFont="1" applyBorder="1"/>
    <xf numFmtId="44" fontId="1" fillId="0" borderId="43" xfId="0" applyNumberFormat="1" applyFont="1" applyBorder="1"/>
    <xf numFmtId="167" fontId="0" fillId="0" borderId="38" xfId="0" applyNumberFormat="1" applyBorder="1"/>
    <xf numFmtId="0" fontId="1" fillId="16" borderId="25" xfId="0" applyFont="1" applyFill="1" applyBorder="1" applyAlignment="1">
      <alignment horizontal="center"/>
    </xf>
    <xf numFmtId="0" fontId="0" fillId="20" borderId="15" xfId="0" applyFill="1" applyBorder="1" applyAlignment="1"/>
    <xf numFmtId="167" fontId="1" fillId="0" borderId="0" xfId="0" applyNumberFormat="1" applyFont="1" applyFill="1" applyBorder="1"/>
    <xf numFmtId="0" fontId="0" fillId="20" borderId="17" xfId="0" applyFill="1" applyBorder="1" applyAlignment="1">
      <alignment horizontal="center"/>
    </xf>
    <xf numFmtId="167" fontId="21" fillId="0" borderId="33" xfId="0" applyNumberFormat="1" applyFont="1" applyBorder="1"/>
    <xf numFmtId="0" fontId="0" fillId="0" borderId="20" xfId="0" applyBorder="1" applyAlignment="1">
      <alignment horizontal="center"/>
    </xf>
    <xf numFmtId="0" fontId="1" fillId="20" borderId="0" xfId="0" applyFont="1" applyFill="1" applyBorder="1" applyAlignment="1">
      <alignment horizontal="center"/>
    </xf>
    <xf numFmtId="0" fontId="2" fillId="0" borderId="31" xfId="0" applyFont="1" applyBorder="1"/>
    <xf numFmtId="1" fontId="2" fillId="0" borderId="32" xfId="0" applyNumberFormat="1" applyFont="1" applyBorder="1" applyAlignment="1">
      <alignment horizontal="center"/>
    </xf>
    <xf numFmtId="1" fontId="20" fillId="0" borderId="32" xfId="0" applyNumberFormat="1" applyFont="1" applyBorder="1" applyAlignment="1">
      <alignment horizontal="center"/>
    </xf>
    <xf numFmtId="1" fontId="2" fillId="0" borderId="32" xfId="0" applyNumberFormat="1" applyFont="1" applyFill="1" applyBorder="1" applyAlignment="1">
      <alignment horizontal="center"/>
    </xf>
    <xf numFmtId="1" fontId="2" fillId="0" borderId="33" xfId="0" applyNumberFormat="1" applyFont="1" applyFill="1" applyBorder="1" applyAlignment="1">
      <alignment horizontal="center"/>
    </xf>
    <xf numFmtId="0" fontId="62" fillId="0" borderId="0" xfId="0" applyFont="1" applyAlignment="1">
      <alignment horizontal="center"/>
    </xf>
    <xf numFmtId="3" fontId="0" fillId="0" borderId="25" xfId="0" applyNumberFormat="1" applyFill="1" applyBorder="1"/>
    <xf numFmtId="3" fontId="1" fillId="0" borderId="27" xfId="0" applyNumberFormat="1" applyFont="1" applyFill="1" applyBorder="1" applyAlignment="1">
      <alignment horizontal="right"/>
    </xf>
    <xf numFmtId="0" fontId="1" fillId="0" borderId="18" xfId="0" applyFont="1" applyBorder="1" applyAlignment="1">
      <alignment horizontal="center"/>
    </xf>
    <xf numFmtId="0" fontId="1" fillId="0" borderId="1" xfId="0" applyFont="1" applyBorder="1" applyAlignment="1">
      <alignment horizontal="center"/>
    </xf>
    <xf numFmtId="0" fontId="1" fillId="0" borderId="45" xfId="0" applyFont="1" applyBorder="1" applyAlignment="1">
      <alignment horizontal="center"/>
    </xf>
    <xf numFmtId="3" fontId="1" fillId="0" borderId="17" xfId="0" applyNumberFormat="1" applyFont="1" applyBorder="1" applyAlignment="1">
      <alignment horizontal="center"/>
    </xf>
    <xf numFmtId="3" fontId="0" fillId="0" borderId="0" xfId="0" applyNumberFormat="1" applyBorder="1" applyAlignment="1">
      <alignment horizontal="center"/>
    </xf>
    <xf numFmtId="3" fontId="0" fillId="0" borderId="28" xfId="0" applyNumberFormat="1" applyBorder="1" applyAlignment="1">
      <alignment horizontal="center"/>
    </xf>
    <xf numFmtId="3" fontId="0" fillId="0" borderId="26" xfId="0" applyNumberFormat="1" applyBorder="1"/>
    <xf numFmtId="3" fontId="0" fillId="0" borderId="20" xfId="0" applyNumberFormat="1" applyBorder="1" applyAlignment="1">
      <alignment horizontal="center"/>
    </xf>
    <xf numFmtId="3" fontId="1" fillId="0" borderId="27" xfId="0" applyNumberFormat="1" applyFont="1" applyBorder="1" applyAlignment="1">
      <alignment horizontal="center"/>
    </xf>
    <xf numFmtId="167" fontId="0" fillId="0" borderId="0" xfId="0" applyNumberFormat="1" applyFill="1" applyBorder="1"/>
    <xf numFmtId="0" fontId="1" fillId="0" borderId="0" xfId="0" applyFont="1" applyFill="1" applyBorder="1" applyAlignment="1">
      <alignment horizontal="center"/>
    </xf>
    <xf numFmtId="0" fontId="0" fillId="0" borderId="42" xfId="0" applyFill="1" applyBorder="1"/>
    <xf numFmtId="9" fontId="0" fillId="0" borderId="0" xfId="0" applyNumberFormat="1"/>
    <xf numFmtId="0" fontId="1" fillId="0" borderId="17" xfId="0" applyFont="1" applyBorder="1" applyAlignment="1">
      <alignment horizontal="center"/>
    </xf>
    <xf numFmtId="9" fontId="1" fillId="0" borderId="0" xfId="0" applyNumberFormat="1" applyFont="1" applyBorder="1"/>
    <xf numFmtId="9" fontId="0" fillId="0" borderId="28" xfId="0" applyNumberFormat="1" applyBorder="1"/>
    <xf numFmtId="0" fontId="3" fillId="0" borderId="28" xfId="0" applyFont="1" applyBorder="1"/>
    <xf numFmtId="0" fontId="1" fillId="0" borderId="26" xfId="0" applyFont="1" applyBorder="1" applyAlignment="1">
      <alignment horizontal="center"/>
    </xf>
    <xf numFmtId="0" fontId="1" fillId="0" borderId="20" xfId="0" applyFont="1" applyBorder="1"/>
    <xf numFmtId="3" fontId="0" fillId="0" borderId="25" xfId="0" applyNumberFormat="1" applyBorder="1"/>
    <xf numFmtId="0" fontId="0" fillId="16" borderId="28" xfId="0" applyFill="1" applyBorder="1" applyAlignment="1">
      <alignment horizontal="center"/>
    </xf>
    <xf numFmtId="0" fontId="0" fillId="24" borderId="0" xfId="0" applyFill="1"/>
    <xf numFmtId="0" fontId="63" fillId="21" borderId="41" xfId="3" applyFont="1" applyBorder="1" applyAlignment="1">
      <alignment horizontal="left" vertical="center"/>
    </xf>
    <xf numFmtId="0" fontId="63" fillId="21" borderId="41" xfId="3" applyFont="1" applyBorder="1" applyAlignment="1">
      <alignment horizontal="center" vertical="center" wrapText="1"/>
    </xf>
    <xf numFmtId="0" fontId="64" fillId="22" borderId="41" xfId="4" applyFont="1" applyBorder="1" applyAlignment="1">
      <alignment horizontal="center" vertical="center" wrapText="1"/>
    </xf>
    <xf numFmtId="0" fontId="65" fillId="21" borderId="41" xfId="3" applyFont="1" applyBorder="1"/>
    <xf numFmtId="0" fontId="65" fillId="21" borderId="41" xfId="3" applyFont="1" applyBorder="1" applyAlignment="1">
      <alignment horizontal="center"/>
    </xf>
    <xf numFmtId="0" fontId="64" fillId="22" borderId="41" xfId="4" applyFont="1" applyBorder="1" applyAlignment="1">
      <alignment horizontal="center"/>
    </xf>
    <xf numFmtId="169" fontId="64" fillId="22" borderId="41" xfId="4" applyNumberFormat="1" applyFont="1" applyBorder="1" applyAlignment="1">
      <alignment horizontal="center"/>
    </xf>
    <xf numFmtId="0" fontId="66" fillId="0" borderId="0" xfId="0" applyFont="1" applyAlignment="1">
      <alignment horizontal="left" vertical="top" wrapText="1"/>
    </xf>
    <xf numFmtId="0" fontId="0" fillId="0" borderId="0" xfId="0" applyFont="1" applyBorder="1"/>
    <xf numFmtId="44" fontId="0" fillId="0" borderId="28" xfId="0" applyNumberFormat="1" applyFont="1" applyBorder="1"/>
    <xf numFmtId="0" fontId="0" fillId="0" borderId="26" xfId="0" applyFont="1" applyFill="1" applyBorder="1"/>
    <xf numFmtId="167" fontId="1" fillId="0" borderId="27" xfId="2" applyNumberFormat="1" applyFont="1" applyBorder="1"/>
    <xf numFmtId="0" fontId="1" fillId="0" borderId="28" xfId="0" applyFont="1" applyBorder="1" applyAlignment="1">
      <alignment horizontal="center"/>
    </xf>
    <xf numFmtId="167" fontId="1" fillId="0" borderId="20" xfId="2" applyNumberFormat="1" applyFont="1" applyBorder="1"/>
    <xf numFmtId="0" fontId="11" fillId="0" borderId="46" xfId="0" applyFont="1" applyBorder="1"/>
    <xf numFmtId="0" fontId="0" fillId="0" borderId="47" xfId="0" applyBorder="1"/>
    <xf numFmtId="0" fontId="12" fillId="0" borderId="28" xfId="0" applyFont="1" applyBorder="1"/>
    <xf numFmtId="0" fontId="12" fillId="0" borderId="17" xfId="0" applyFont="1" applyBorder="1"/>
    <xf numFmtId="0" fontId="3" fillId="0" borderId="26" xfId="0" applyFont="1" applyBorder="1"/>
    <xf numFmtId="9" fontId="6" fillId="0" borderId="0" xfId="1" applyFont="1" applyBorder="1"/>
    <xf numFmtId="9" fontId="6" fillId="0" borderId="28" xfId="1" applyFont="1" applyBorder="1"/>
    <xf numFmtId="2" fontId="21" fillId="26" borderId="28" xfId="0" applyNumberFormat="1" applyFont="1" applyFill="1" applyBorder="1" applyAlignment="1">
      <alignment horizontal="center"/>
    </xf>
    <xf numFmtId="2" fontId="0" fillId="26" borderId="15" xfId="0" applyNumberFormat="1" applyFill="1" applyBorder="1" applyAlignment="1"/>
    <xf numFmtId="0" fontId="21" fillId="26" borderId="28" xfId="0" applyFont="1" applyFill="1" applyBorder="1" applyAlignment="1">
      <alignment horizontal="center"/>
    </xf>
    <xf numFmtId="0" fontId="0" fillId="26" borderId="15" xfId="0" applyFill="1" applyBorder="1" applyAlignment="1"/>
    <xf numFmtId="0" fontId="0" fillId="26" borderId="14" xfId="0" applyFill="1" applyBorder="1"/>
    <xf numFmtId="0" fontId="2" fillId="0" borderId="31" xfId="0" applyFont="1" applyBorder="1" applyAlignment="1">
      <alignment horizontal="center"/>
    </xf>
    <xf numFmtId="0" fontId="2" fillId="0" borderId="41" xfId="0" applyFont="1" applyBorder="1" applyAlignment="1">
      <alignment horizontal="center"/>
    </xf>
    <xf numFmtId="3" fontId="1" fillId="0" borderId="33" xfId="0" applyNumberFormat="1" applyFont="1" applyBorder="1"/>
    <xf numFmtId="0" fontId="1" fillId="0" borderId="31" xfId="0" applyFont="1" applyBorder="1" applyAlignment="1">
      <alignment horizontal="left"/>
    </xf>
    <xf numFmtId="0" fontId="1" fillId="16" borderId="15" xfId="0" applyFont="1" applyFill="1" applyBorder="1" applyAlignment="1"/>
    <xf numFmtId="0" fontId="1" fillId="0" borderId="31" xfId="0" applyFont="1" applyFill="1" applyBorder="1"/>
    <xf numFmtId="0" fontId="1" fillId="11" borderId="15" xfId="0" applyFont="1" applyFill="1" applyBorder="1" applyAlignment="1">
      <alignment horizontal="center"/>
    </xf>
    <xf numFmtId="0" fontId="1" fillId="11" borderId="16" xfId="0" applyFont="1" applyFill="1" applyBorder="1" applyAlignment="1">
      <alignment horizontal="center"/>
    </xf>
    <xf numFmtId="0" fontId="1" fillId="11" borderId="25" xfId="0" applyFont="1" applyFill="1" applyBorder="1" applyAlignment="1">
      <alignment horizontal="center"/>
    </xf>
    <xf numFmtId="0" fontId="3" fillId="0" borderId="0" xfId="0" applyFont="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7" xfId="0" applyFont="1" applyFill="1" applyBorder="1" applyAlignment="1">
      <alignment horizontal="center"/>
    </xf>
    <xf numFmtId="0" fontId="0" fillId="20" borderId="15" xfId="0" applyFill="1" applyBorder="1" applyAlignment="1">
      <alignment horizontal="center"/>
    </xf>
    <xf numFmtId="0" fontId="0" fillId="20" borderId="16" xfId="0" applyFill="1" applyBorder="1" applyAlignment="1">
      <alignment horizontal="center"/>
    </xf>
    <xf numFmtId="2" fontId="1" fillId="3" borderId="13" xfId="0" applyNumberFormat="1" applyFont="1" applyFill="1" applyBorder="1" applyAlignment="1">
      <alignment horizontal="center" vertical="center"/>
    </xf>
    <xf numFmtId="2" fontId="1" fillId="3" borderId="14" xfId="0" applyNumberFormat="1" applyFont="1" applyFill="1" applyBorder="1" applyAlignment="1">
      <alignment horizontal="center" vertical="center"/>
    </xf>
    <xf numFmtId="2" fontId="1" fillId="3" borderId="30" xfId="0" applyNumberFormat="1" applyFont="1" applyFill="1" applyBorder="1" applyAlignment="1">
      <alignment horizontal="center" vertical="center"/>
    </xf>
    <xf numFmtId="0" fontId="0" fillId="16" borderId="15" xfId="0" applyFill="1" applyBorder="1" applyAlignment="1">
      <alignment horizontal="center"/>
    </xf>
    <xf numFmtId="0" fontId="0" fillId="16" borderId="16" xfId="0" applyFill="1" applyBorder="1" applyAlignment="1">
      <alignment horizontal="center"/>
    </xf>
    <xf numFmtId="2" fontId="5" fillId="3" borderId="13" xfId="0" applyNumberFormat="1" applyFont="1" applyFill="1" applyBorder="1" applyAlignment="1">
      <alignment horizontal="center" vertical="center"/>
    </xf>
    <xf numFmtId="2" fontId="5" fillId="3" borderId="30" xfId="0" applyNumberFormat="1" applyFont="1" applyFill="1" applyBorder="1" applyAlignment="1">
      <alignment horizontal="center" vertical="center"/>
    </xf>
    <xf numFmtId="2" fontId="5" fillId="3" borderId="14" xfId="0" applyNumberFormat="1" applyFont="1" applyFill="1" applyBorder="1" applyAlignment="1">
      <alignment horizontal="center" vertical="center"/>
    </xf>
    <xf numFmtId="0" fontId="1" fillId="9" borderId="15" xfId="0" applyFont="1" applyFill="1" applyBorder="1" applyAlignment="1">
      <alignment horizontal="center"/>
    </xf>
    <xf numFmtId="0" fontId="1" fillId="9" borderId="16" xfId="0" applyFont="1" applyFill="1" applyBorder="1" applyAlignment="1">
      <alignment horizontal="center"/>
    </xf>
    <xf numFmtId="0" fontId="1" fillId="9" borderId="25" xfId="0" applyFont="1" applyFill="1" applyBorder="1" applyAlignment="1">
      <alignment horizontal="center"/>
    </xf>
    <xf numFmtId="0" fontId="3" fillId="25" borderId="20" xfId="0" applyFont="1" applyFill="1" applyBorder="1" applyAlignment="1">
      <alignment horizontal="center"/>
    </xf>
    <xf numFmtId="0" fontId="0" fillId="24" borderId="15" xfId="0" applyFill="1" applyBorder="1" applyAlignment="1">
      <alignment horizontal="center"/>
    </xf>
    <xf numFmtId="0" fontId="0" fillId="24" borderId="16" xfId="0" applyFill="1" applyBorder="1" applyAlignment="1">
      <alignment horizontal="center"/>
    </xf>
    <xf numFmtId="0" fontId="0" fillId="24" borderId="25" xfId="0" applyFill="1" applyBorder="1" applyAlignment="1">
      <alignment horizontal="center"/>
    </xf>
    <xf numFmtId="0" fontId="0" fillId="0" borderId="0" xfId="0" applyAlignment="1">
      <alignment horizontal="center"/>
    </xf>
    <xf numFmtId="0" fontId="53" fillId="17" borderId="2" xfId="0" applyFont="1" applyFill="1" applyBorder="1" applyAlignment="1">
      <alignment horizontal="center"/>
    </xf>
    <xf numFmtId="0" fontId="53" fillId="17" borderId="3" xfId="0" applyFont="1" applyFill="1" applyBorder="1" applyAlignment="1">
      <alignment horizontal="center"/>
    </xf>
    <xf numFmtId="0" fontId="53" fillId="17" borderId="4" xfId="0" applyFont="1" applyFill="1" applyBorder="1" applyAlignment="1">
      <alignment horizontal="center"/>
    </xf>
    <xf numFmtId="0" fontId="0" fillId="20" borderId="17" xfId="0" applyFill="1" applyBorder="1" applyAlignment="1">
      <alignment horizontal="center"/>
    </xf>
    <xf numFmtId="0" fontId="0" fillId="20" borderId="0" xfId="0" applyFill="1" applyBorder="1" applyAlignment="1">
      <alignment horizontal="center"/>
    </xf>
    <xf numFmtId="0" fontId="61" fillId="23" borderId="2" xfId="0" applyFont="1" applyFill="1" applyBorder="1" applyAlignment="1">
      <alignment horizontal="center"/>
    </xf>
    <xf numFmtId="0" fontId="61" fillId="23" borderId="3" xfId="0" applyFont="1" applyFill="1" applyBorder="1" applyAlignment="1">
      <alignment horizontal="center"/>
    </xf>
    <xf numFmtId="0" fontId="61" fillId="23" borderId="44" xfId="0" applyFont="1" applyFill="1" applyBorder="1" applyAlignment="1">
      <alignment horizontal="center"/>
    </xf>
    <xf numFmtId="0" fontId="1" fillId="2" borderId="18" xfId="0" applyFont="1" applyFill="1" applyBorder="1" applyAlignment="1">
      <alignment horizontal="center"/>
    </xf>
    <xf numFmtId="0" fontId="1" fillId="2" borderId="1" xfId="0" applyFont="1" applyFill="1" applyBorder="1" applyAlignment="1">
      <alignment horizontal="center"/>
    </xf>
    <xf numFmtId="0" fontId="1" fillId="2" borderId="45" xfId="0" applyFont="1" applyFill="1" applyBorder="1" applyAlignment="1">
      <alignment horizontal="center"/>
    </xf>
    <xf numFmtId="0" fontId="1" fillId="7" borderId="15" xfId="0" applyFont="1" applyFill="1" applyBorder="1" applyAlignment="1">
      <alignment horizontal="center"/>
    </xf>
    <xf numFmtId="0" fontId="1" fillId="7" borderId="16" xfId="0" applyFont="1" applyFill="1" applyBorder="1" applyAlignment="1">
      <alignment horizontal="center"/>
    </xf>
    <xf numFmtId="0" fontId="1" fillId="7" borderId="25" xfId="0" applyFont="1" applyFill="1" applyBorder="1" applyAlignment="1">
      <alignment horizontal="center"/>
    </xf>
    <xf numFmtId="0" fontId="1" fillId="7" borderId="31" xfId="0" applyFont="1" applyFill="1" applyBorder="1" applyAlignment="1">
      <alignment horizontal="center"/>
    </xf>
    <xf numFmtId="0" fontId="1" fillId="7" borderId="32" xfId="0" applyFont="1" applyFill="1" applyBorder="1" applyAlignment="1">
      <alignment horizontal="center"/>
    </xf>
    <xf numFmtId="0" fontId="1" fillId="7" borderId="33" xfId="0" applyFont="1" applyFill="1" applyBorder="1" applyAlignment="1">
      <alignment horizontal="center"/>
    </xf>
    <xf numFmtId="0" fontId="0" fillId="7" borderId="0" xfId="0" applyFill="1" applyAlignment="1">
      <alignment horizont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2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5" xfId="0" applyBorder="1" applyAlignment="1">
      <alignment horizontal="center"/>
    </xf>
    <xf numFmtId="0" fontId="0" fillId="0" borderId="17" xfId="0" applyBorder="1"/>
    <xf numFmtId="0" fontId="0" fillId="0" borderId="0" xfId="0" applyBorder="1"/>
    <xf numFmtId="0" fontId="0" fillId="0" borderId="28" xfId="0" applyBorder="1"/>
    <xf numFmtId="0" fontId="0" fillId="0" borderId="26" xfId="0" applyBorder="1"/>
    <xf numFmtId="0" fontId="0" fillId="0" borderId="20" xfId="0" applyBorder="1"/>
    <xf numFmtId="0" fontId="0" fillId="0" borderId="27" xfId="0" applyBorder="1"/>
    <xf numFmtId="0" fontId="3" fillId="0" borderId="0" xfId="0" applyFont="1"/>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25" xfId="0" applyFont="1" applyFill="1" applyBorder="1" applyAlignment="1">
      <alignment horizontal="center"/>
    </xf>
    <xf numFmtId="0" fontId="3" fillId="0" borderId="0"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0" borderId="0" xfId="0" applyFont="1" applyFill="1" applyAlignment="1">
      <alignment horizontal="center"/>
    </xf>
    <xf numFmtId="0" fontId="13" fillId="0" borderId="16" xfId="0" applyFont="1" applyFill="1" applyBorder="1" applyAlignment="1" applyProtection="1">
      <alignment horizontal="center"/>
    </xf>
    <xf numFmtId="0" fontId="13" fillId="0" borderId="25" xfId="0" applyFont="1" applyFill="1" applyBorder="1" applyAlignment="1" applyProtection="1">
      <alignment horizontal="center"/>
    </xf>
    <xf numFmtId="0" fontId="1" fillId="0" borderId="0" xfId="0" applyFont="1" applyFill="1" applyAlignment="1" applyProtection="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 fillId="9" borderId="5" xfId="0" applyFont="1" applyFill="1" applyBorder="1" applyAlignment="1">
      <alignment horizontal="center"/>
    </xf>
    <xf numFmtId="0" fontId="2" fillId="9" borderId="7" xfId="0" applyFont="1" applyFill="1" applyBorder="1" applyAlignment="1">
      <alignment horizontal="center"/>
    </xf>
    <xf numFmtId="0" fontId="13" fillId="0" borderId="0" xfId="0" applyFont="1" applyFill="1" applyBorder="1" applyAlignment="1" applyProtection="1">
      <alignment horizontal="center"/>
    </xf>
    <xf numFmtId="0" fontId="1" fillId="0" borderId="0" xfId="0" applyFont="1" applyAlignment="1">
      <alignment horizontal="center" vertical="center"/>
    </xf>
    <xf numFmtId="0" fontId="0" fillId="0" borderId="17" xfId="0" applyBorder="1" applyAlignment="1">
      <alignment horizontal="center"/>
    </xf>
    <xf numFmtId="0" fontId="0" fillId="0" borderId="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33" fillId="3" borderId="5"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33" fillId="3" borderId="10"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12" xfId="0" applyFont="1" applyFill="1" applyBorder="1" applyAlignment="1">
      <alignment horizontal="center" vertical="center"/>
    </xf>
    <xf numFmtId="0" fontId="2" fillId="0" borderId="11" xfId="0" applyFont="1" applyBorder="1" applyAlignment="1">
      <alignment horizontal="center"/>
    </xf>
    <xf numFmtId="0" fontId="3" fillId="9" borderId="0" xfId="0" applyFont="1" applyFill="1" applyAlignment="1">
      <alignment horizontal="center"/>
    </xf>
    <xf numFmtId="0" fontId="10" fillId="9" borderId="2" xfId="0" applyFont="1" applyFill="1" applyBorder="1" applyAlignment="1">
      <alignment horizontal="center"/>
    </xf>
    <xf numFmtId="0" fontId="10" fillId="9" borderId="3" xfId="0" applyFont="1" applyFill="1" applyBorder="1" applyAlignment="1">
      <alignment horizontal="center"/>
    </xf>
    <xf numFmtId="0" fontId="10" fillId="9" borderId="4" xfId="0" applyFont="1" applyFill="1" applyBorder="1" applyAlignment="1">
      <alignment horizontal="center"/>
    </xf>
    <xf numFmtId="0" fontId="2" fillId="0" borderId="0" xfId="0" applyFont="1" applyAlignment="1">
      <alignment horizontal="center"/>
    </xf>
    <xf numFmtId="0" fontId="43" fillId="15" borderId="34" xfId="0" applyFont="1" applyFill="1" applyBorder="1" applyAlignment="1">
      <alignment vertical="center"/>
    </xf>
    <xf numFmtId="0" fontId="1" fillId="0" borderId="31" xfId="0" applyFont="1" applyFill="1" applyBorder="1" applyAlignment="1">
      <alignment horizontal="center"/>
    </xf>
    <xf numFmtId="0" fontId="1" fillId="0" borderId="33" xfId="0" applyFont="1" applyFill="1" applyBorder="1" applyAlignment="1">
      <alignment horizontal="center"/>
    </xf>
    <xf numFmtId="3" fontId="62" fillId="25" borderId="17" xfId="2" applyNumberFormat="1" applyFont="1" applyFill="1" applyBorder="1" applyAlignment="1">
      <alignment horizontal="center" vertical="center"/>
    </xf>
    <xf numFmtId="3" fontId="62" fillId="25" borderId="26" xfId="2" applyNumberFormat="1" applyFont="1" applyFill="1" applyBorder="1" applyAlignment="1">
      <alignment horizontal="center" vertical="center"/>
    </xf>
    <xf numFmtId="3" fontId="62" fillId="25" borderId="28" xfId="0" applyNumberFormat="1" applyFont="1" applyFill="1" applyBorder="1" applyAlignment="1">
      <alignment horizontal="center" vertical="center"/>
    </xf>
    <xf numFmtId="3" fontId="62" fillId="25" borderId="27" xfId="0" applyNumberFormat="1" applyFont="1" applyFill="1" applyBorder="1" applyAlignment="1">
      <alignment horizontal="center" vertical="center"/>
    </xf>
  </cellXfs>
  <cellStyles count="5">
    <cellStyle name="Currency" xfId="2" builtinId="4"/>
    <cellStyle name="Input" xfId="3" builtinId="20"/>
    <cellStyle name="Normal" xfId="0" builtinId="0"/>
    <cellStyle name="Output" xfId="4" builtinId="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scatterChart>
        <c:scatterStyle val="lineMarker"/>
        <c:varyColors val="0"/>
        <c:ser>
          <c:idx val="0"/>
          <c:order val="0"/>
          <c:tx>
            <c:strRef>
              <c:f>'Biler, investering'!$E$39</c:f>
              <c:strCache>
                <c:ptCount val="1"/>
                <c:pt idx="0">
                  <c:v>Årsmodell</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xVal>
            <c:numRef>
              <c:f>'Biler, investering'!$D$40:$D$77</c:f>
              <c:numCache>
                <c:formatCode>_-"kr"\ * #\ ##0_-;\-"kr"\ * #\ ##0_-;_-"kr"\ * "-"??_-;_-@_-</c:formatCode>
                <c:ptCount val="38"/>
                <c:pt idx="0">
                  <c:v>695000</c:v>
                </c:pt>
                <c:pt idx="1">
                  <c:v>1420000</c:v>
                </c:pt>
                <c:pt idx="2">
                  <c:v>660000</c:v>
                </c:pt>
                <c:pt idx="3">
                  <c:v>1669000</c:v>
                </c:pt>
                <c:pt idx="4">
                  <c:v>1856000</c:v>
                </c:pt>
                <c:pt idx="5">
                  <c:v>1243000</c:v>
                </c:pt>
                <c:pt idx="6">
                  <c:v>1250000</c:v>
                </c:pt>
                <c:pt idx="7">
                  <c:v>1590000</c:v>
                </c:pt>
                <c:pt idx="8">
                  <c:v>1150000</c:v>
                </c:pt>
                <c:pt idx="9">
                  <c:v>1100000</c:v>
                </c:pt>
                <c:pt idx="10">
                  <c:v>1100000</c:v>
                </c:pt>
                <c:pt idx="11">
                  <c:v>790000</c:v>
                </c:pt>
                <c:pt idx="12">
                  <c:v>995000</c:v>
                </c:pt>
                <c:pt idx="13">
                  <c:v>825000</c:v>
                </c:pt>
                <c:pt idx="14">
                  <c:v>1090000</c:v>
                </c:pt>
                <c:pt idx="15">
                  <c:v>850000</c:v>
                </c:pt>
                <c:pt idx="16">
                  <c:v>590000</c:v>
                </c:pt>
                <c:pt idx="17">
                  <c:v>990000</c:v>
                </c:pt>
                <c:pt idx="18">
                  <c:v>2152000</c:v>
                </c:pt>
                <c:pt idx="19">
                  <c:v>850000</c:v>
                </c:pt>
                <c:pt idx="20">
                  <c:v>820000</c:v>
                </c:pt>
                <c:pt idx="21">
                  <c:v>780000</c:v>
                </c:pt>
                <c:pt idx="22">
                  <c:v>750000</c:v>
                </c:pt>
                <c:pt idx="23">
                  <c:v>699000</c:v>
                </c:pt>
                <c:pt idx="24">
                  <c:v>650000</c:v>
                </c:pt>
                <c:pt idx="25">
                  <c:v>630000</c:v>
                </c:pt>
                <c:pt idx="26">
                  <c:v>685000</c:v>
                </c:pt>
                <c:pt idx="27">
                  <c:v>1150000</c:v>
                </c:pt>
                <c:pt idx="28">
                  <c:v>875000</c:v>
                </c:pt>
                <c:pt idx="29">
                  <c:v>900000</c:v>
                </c:pt>
                <c:pt idx="30">
                  <c:v>1090000</c:v>
                </c:pt>
                <c:pt idx="31">
                  <c:v>1215000</c:v>
                </c:pt>
                <c:pt idx="32">
                  <c:v>1190000</c:v>
                </c:pt>
                <c:pt idx="33">
                  <c:v>990000</c:v>
                </c:pt>
                <c:pt idx="34">
                  <c:v>1200000</c:v>
                </c:pt>
                <c:pt idx="35">
                  <c:v>1190000</c:v>
                </c:pt>
                <c:pt idx="36">
                  <c:v>1395000</c:v>
                </c:pt>
                <c:pt idx="37">
                  <c:v>1900000</c:v>
                </c:pt>
              </c:numCache>
            </c:numRef>
          </c:xVal>
          <c:yVal>
            <c:numRef>
              <c:f>'Biler, investering'!$E$40:$E$77</c:f>
              <c:numCache>
                <c:formatCode>General</c:formatCode>
                <c:ptCount val="38"/>
                <c:pt idx="0">
                  <c:v>2014</c:v>
                </c:pt>
                <c:pt idx="1">
                  <c:v>2018</c:v>
                </c:pt>
                <c:pt idx="2">
                  <c:v>2014</c:v>
                </c:pt>
                <c:pt idx="3">
                  <c:v>2018</c:v>
                </c:pt>
                <c:pt idx="4">
                  <c:v>2018</c:v>
                </c:pt>
                <c:pt idx="5">
                  <c:v>2016</c:v>
                </c:pt>
                <c:pt idx="6">
                  <c:v>2018</c:v>
                </c:pt>
                <c:pt idx="7">
                  <c:v>2018</c:v>
                </c:pt>
                <c:pt idx="8">
                  <c:v>2015</c:v>
                </c:pt>
                <c:pt idx="9">
                  <c:v>2016</c:v>
                </c:pt>
                <c:pt idx="10">
                  <c:v>2016</c:v>
                </c:pt>
                <c:pt idx="11">
                  <c:v>2015</c:v>
                </c:pt>
                <c:pt idx="12">
                  <c:v>2015</c:v>
                </c:pt>
                <c:pt idx="13">
                  <c:v>2014</c:v>
                </c:pt>
                <c:pt idx="14">
                  <c:v>2016</c:v>
                </c:pt>
                <c:pt idx="15">
                  <c:v>2016</c:v>
                </c:pt>
                <c:pt idx="16">
                  <c:v>2014</c:v>
                </c:pt>
                <c:pt idx="17">
                  <c:v>2014</c:v>
                </c:pt>
                <c:pt idx="18">
                  <c:v>2018</c:v>
                </c:pt>
                <c:pt idx="19">
                  <c:v>2014</c:v>
                </c:pt>
                <c:pt idx="20">
                  <c:v>2014</c:v>
                </c:pt>
                <c:pt idx="21">
                  <c:v>2014</c:v>
                </c:pt>
                <c:pt idx="22">
                  <c:v>2014</c:v>
                </c:pt>
                <c:pt idx="23">
                  <c:v>2014</c:v>
                </c:pt>
                <c:pt idx="24">
                  <c:v>2014</c:v>
                </c:pt>
                <c:pt idx="25">
                  <c:v>2014</c:v>
                </c:pt>
                <c:pt idx="26">
                  <c:v>2015</c:v>
                </c:pt>
                <c:pt idx="27">
                  <c:v>2015</c:v>
                </c:pt>
                <c:pt idx="28">
                  <c:v>2015</c:v>
                </c:pt>
                <c:pt idx="29">
                  <c:v>2016</c:v>
                </c:pt>
                <c:pt idx="30">
                  <c:v>2016</c:v>
                </c:pt>
                <c:pt idx="31">
                  <c:v>2016</c:v>
                </c:pt>
                <c:pt idx="32">
                  <c:v>2016</c:v>
                </c:pt>
                <c:pt idx="33">
                  <c:v>2016</c:v>
                </c:pt>
                <c:pt idx="34">
                  <c:v>2016</c:v>
                </c:pt>
                <c:pt idx="35">
                  <c:v>2017</c:v>
                </c:pt>
                <c:pt idx="36">
                  <c:v>2018</c:v>
                </c:pt>
                <c:pt idx="37">
                  <c:v>2019</c:v>
                </c:pt>
              </c:numCache>
            </c:numRef>
          </c:yVal>
          <c:smooth val="0"/>
          <c:extLst>
            <c:ext xmlns:c16="http://schemas.microsoft.com/office/drawing/2014/chart" uri="{C3380CC4-5D6E-409C-BE32-E72D297353CC}">
              <c16:uniqueId val="{00000000-103A-884F-8156-11B6FF61DAD3}"/>
            </c:ext>
          </c:extLst>
        </c:ser>
        <c:dLbls>
          <c:showLegendKey val="0"/>
          <c:showVal val="0"/>
          <c:showCatName val="0"/>
          <c:showSerName val="0"/>
          <c:showPercent val="0"/>
          <c:showBubbleSize val="0"/>
        </c:dLbls>
        <c:axId val="85491520"/>
        <c:axId val="85926576"/>
      </c:scatterChart>
      <c:valAx>
        <c:axId val="85491520"/>
        <c:scaling>
          <c:orientation val="minMax"/>
        </c:scaling>
        <c:delete val="0"/>
        <c:axPos val="b"/>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5926576"/>
        <c:crosses val="autoZero"/>
        <c:crossBetween val="midCat"/>
      </c:valAx>
      <c:valAx>
        <c:axId val="85926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54915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Volvo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'Biler, investering'!$D$59:$D$77</c:f>
              <c:numCache>
                <c:formatCode>_-"kr"\ * #\ ##0_-;\-"kr"\ * #\ ##0_-;_-"kr"\ * "-"??_-;_-@_-</c:formatCode>
                <c:ptCount val="19"/>
                <c:pt idx="0">
                  <c:v>850000</c:v>
                </c:pt>
                <c:pt idx="1">
                  <c:v>820000</c:v>
                </c:pt>
                <c:pt idx="2">
                  <c:v>780000</c:v>
                </c:pt>
                <c:pt idx="3">
                  <c:v>750000</c:v>
                </c:pt>
                <c:pt idx="4">
                  <c:v>699000</c:v>
                </c:pt>
                <c:pt idx="5">
                  <c:v>650000</c:v>
                </c:pt>
                <c:pt idx="6">
                  <c:v>630000</c:v>
                </c:pt>
                <c:pt idx="7">
                  <c:v>685000</c:v>
                </c:pt>
                <c:pt idx="8">
                  <c:v>1150000</c:v>
                </c:pt>
                <c:pt idx="9">
                  <c:v>875000</c:v>
                </c:pt>
                <c:pt idx="10">
                  <c:v>900000</c:v>
                </c:pt>
                <c:pt idx="11">
                  <c:v>1090000</c:v>
                </c:pt>
                <c:pt idx="12">
                  <c:v>1215000</c:v>
                </c:pt>
                <c:pt idx="13">
                  <c:v>1190000</c:v>
                </c:pt>
                <c:pt idx="14">
                  <c:v>990000</c:v>
                </c:pt>
                <c:pt idx="15">
                  <c:v>1200000</c:v>
                </c:pt>
                <c:pt idx="16">
                  <c:v>1190000</c:v>
                </c:pt>
                <c:pt idx="17">
                  <c:v>1395000</c:v>
                </c:pt>
                <c:pt idx="18">
                  <c:v>1900000</c:v>
                </c:pt>
              </c:numCache>
            </c:numRef>
          </c:xVal>
          <c:yVal>
            <c:numRef>
              <c:f>'Biler, investering'!$E$59:$E$77</c:f>
              <c:numCache>
                <c:formatCode>General</c:formatCode>
                <c:ptCount val="19"/>
                <c:pt idx="0">
                  <c:v>2014</c:v>
                </c:pt>
                <c:pt idx="1">
                  <c:v>2014</c:v>
                </c:pt>
                <c:pt idx="2">
                  <c:v>2014</c:v>
                </c:pt>
                <c:pt idx="3">
                  <c:v>2014</c:v>
                </c:pt>
                <c:pt idx="4">
                  <c:v>2014</c:v>
                </c:pt>
                <c:pt idx="5">
                  <c:v>2014</c:v>
                </c:pt>
                <c:pt idx="6">
                  <c:v>2014</c:v>
                </c:pt>
                <c:pt idx="7">
                  <c:v>2015</c:v>
                </c:pt>
                <c:pt idx="8">
                  <c:v>2015</c:v>
                </c:pt>
                <c:pt idx="9">
                  <c:v>2015</c:v>
                </c:pt>
                <c:pt idx="10">
                  <c:v>2016</c:v>
                </c:pt>
                <c:pt idx="11">
                  <c:v>2016</c:v>
                </c:pt>
                <c:pt idx="12">
                  <c:v>2016</c:v>
                </c:pt>
                <c:pt idx="13">
                  <c:v>2016</c:v>
                </c:pt>
                <c:pt idx="14">
                  <c:v>2016</c:v>
                </c:pt>
                <c:pt idx="15">
                  <c:v>2016</c:v>
                </c:pt>
                <c:pt idx="16">
                  <c:v>2017</c:v>
                </c:pt>
                <c:pt idx="17">
                  <c:v>2018</c:v>
                </c:pt>
                <c:pt idx="18">
                  <c:v>2019</c:v>
                </c:pt>
              </c:numCache>
            </c:numRef>
          </c:yVal>
          <c:smooth val="0"/>
          <c:extLst>
            <c:ext xmlns:c16="http://schemas.microsoft.com/office/drawing/2014/chart" uri="{C3380CC4-5D6E-409C-BE32-E72D297353CC}">
              <c16:uniqueId val="{00000000-9696-9143-B5A6-2E8D0ED1AA79}"/>
            </c:ext>
          </c:extLst>
        </c:ser>
        <c:dLbls>
          <c:showLegendKey val="0"/>
          <c:showVal val="0"/>
          <c:showCatName val="0"/>
          <c:showSerName val="0"/>
          <c:showPercent val="0"/>
          <c:showBubbleSize val="0"/>
        </c:dLbls>
        <c:axId val="132783376"/>
        <c:axId val="132587776"/>
      </c:scatterChart>
      <c:valAx>
        <c:axId val="132783376"/>
        <c:scaling>
          <c:orientation val="minMax"/>
        </c:scaling>
        <c:delete val="0"/>
        <c:axPos val="b"/>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32587776"/>
        <c:crosses val="autoZero"/>
        <c:crossBetween val="midCat"/>
      </c:valAx>
      <c:valAx>
        <c:axId val="132587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32783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32616</xdr:colOff>
      <xdr:row>38</xdr:row>
      <xdr:rowOff>22470</xdr:rowOff>
    </xdr:from>
    <xdr:to>
      <xdr:col>24</xdr:col>
      <xdr:colOff>445043</xdr:colOff>
      <xdr:row>57</xdr:row>
      <xdr:rowOff>151966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613129" y="7566487"/>
          <a:ext cx="6306529" cy="3874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a:p>
          <a:r>
            <a:rPr lang="nb-NO" sz="1100" baseline="0"/>
            <a:t>- For tallet på driftsmargin: man begrenser seg stort ved å kun sammenligne data fra bransjen </a:t>
          </a:r>
          <a:r>
            <a:rPr lang="nb-NO" sz="1100" i="1" baseline="0"/>
            <a:t>godstransport på vei (bransjenummer 49.410) </a:t>
          </a:r>
          <a:r>
            <a:rPr lang="nb-NO" sz="1100" baseline="0"/>
            <a:t>- enkelte store massetransportører har slike aktiviteter som en sentral del av kjernevirksomheten uten å være oppført under bransjen, ofte er det noe nærliggende, eksempler gitt i grunnarbeid (bn. 43.120), drift av gods- og transportsentraler (bn. 52.211), riving av bygninger og andre konstruksjoner (bn. 43.110) samt oppføring av bygninger (bn. 41.200). </a:t>
          </a:r>
        </a:p>
        <a:p>
          <a:r>
            <a:rPr lang="nb-NO" sz="1100"/>
            <a:t>Forutsetninger</a:t>
          </a:r>
          <a:r>
            <a:rPr lang="nb-NO" sz="1100" baseline="0"/>
            <a:t> for bedriften:</a:t>
          </a:r>
        </a:p>
        <a:p>
          <a:r>
            <a:rPr lang="nb-NO" sz="1100" baseline="0"/>
            <a:t>- forusetter fem års konsekutiv drift i forkant av oppdragsåret, samt aktiv drift også etter oppdragsåret</a:t>
          </a:r>
        </a:p>
        <a:p>
          <a:r>
            <a:rPr lang="nb-NO" sz="1100" b="1" baseline="0"/>
            <a:t>- muligens noe optimistisk at man dekker resten av året utover oppdraget med tilsvarende jobber?</a:t>
          </a:r>
          <a:endParaRPr lang="nb-NO" sz="1100" b="1"/>
        </a:p>
        <a:p>
          <a:r>
            <a:rPr lang="nb-NO" sz="1100"/>
            <a:t>- En oppgave vi ikke</a:t>
          </a:r>
          <a:r>
            <a:rPr lang="nb-NO" sz="1100" baseline="0"/>
            <a:t> har påtatt oss men som kan utføres for en mer detaljert oversikt over transportene: fordeling av bilens ansvarsområder mht. hvilke deponier den skal bære last til - Roaf- og Asakbilene har nærmere halvparten så mye arbeidsmengde enn Lindum- og Skjørten, derfor er det naturlig at disse bilene innstilles til å ta disse turene så fort de er ferdig med egne turer. For utførelsen av oppdraget er dette lønnsomt, men i vårt tilfelle er ikke dette utslagsgivende ettersom vi forutsetter aktiv drift i selskapet likegyldig av oppdragets varighet. </a:t>
          </a:r>
          <a:endParaRPr lang="nb-NO" sz="1100"/>
        </a:p>
      </xdr:txBody>
    </xdr:sp>
    <xdr:clientData/>
  </xdr:twoCellAnchor>
  <xdr:twoCellAnchor>
    <xdr:from>
      <xdr:col>10</xdr:col>
      <xdr:colOff>129890</xdr:colOff>
      <xdr:row>62</xdr:row>
      <xdr:rowOff>103909</xdr:rowOff>
    </xdr:from>
    <xdr:to>
      <xdr:col>10</xdr:col>
      <xdr:colOff>406981</xdr:colOff>
      <xdr:row>62</xdr:row>
      <xdr:rowOff>103910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8096254" y="6309591"/>
          <a:ext cx="277091" cy="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129885</xdr:colOff>
      <xdr:row>64</xdr:row>
      <xdr:rowOff>103909</xdr:rowOff>
    </xdr:from>
    <xdr:to>
      <xdr:col>10</xdr:col>
      <xdr:colOff>406976</xdr:colOff>
      <xdr:row>64</xdr:row>
      <xdr:rowOff>103910</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a:xfrm>
          <a:off x="6269180" y="3740727"/>
          <a:ext cx="277091" cy="1"/>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13957</xdr:colOff>
      <xdr:row>48</xdr:row>
      <xdr:rowOff>73301</xdr:rowOff>
    </xdr:from>
    <xdr:to>
      <xdr:col>13</xdr:col>
      <xdr:colOff>0</xdr:colOff>
      <xdr:row>51</xdr:row>
      <xdr:rowOff>125604</xdr:rowOff>
    </xdr:to>
    <xdr:sp macro="" textlink="">
      <xdr:nvSpPr>
        <xdr:cNvPr id="26" name="TekstSylinder 25">
          <a:extLst>
            <a:ext uri="{FF2B5EF4-FFF2-40B4-BE49-F238E27FC236}">
              <a16:creationId xmlns:a16="http://schemas.microsoft.com/office/drawing/2014/main" id="{1895A67E-87AA-D345-8508-E9C4F920022C}"/>
            </a:ext>
          </a:extLst>
        </xdr:cNvPr>
        <xdr:cNvSpPr txBox="1"/>
      </xdr:nvSpPr>
      <xdr:spPr>
        <a:xfrm>
          <a:off x="11150880" y="9563411"/>
          <a:ext cx="4535713" cy="638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For optimalisering - prøve å kombinere ruter med forskjellige biler for effektivitet? Eksempel at en bil som er sammenklemt tidsmessig, avslutter dagen med en kortere rute til et nærmere deponi.</a:t>
          </a:r>
          <a:r>
            <a:rPr lang="nb-NO" sz="1100" baseline="0"/>
            <a:t> </a:t>
          </a:r>
          <a:endParaRPr lang="nb-NO" sz="1100"/>
        </a:p>
      </xdr:txBody>
    </xdr:sp>
    <xdr:clientData/>
  </xdr:twoCellAnchor>
  <xdr:twoCellAnchor>
    <xdr:from>
      <xdr:col>23</xdr:col>
      <xdr:colOff>135466</xdr:colOff>
      <xdr:row>16</xdr:row>
      <xdr:rowOff>16934</xdr:rowOff>
    </xdr:from>
    <xdr:to>
      <xdr:col>23</xdr:col>
      <xdr:colOff>762000</xdr:colOff>
      <xdr:row>31</xdr:row>
      <xdr:rowOff>152400</xdr:rowOff>
    </xdr:to>
    <xdr:sp macro="" textlink="">
      <xdr:nvSpPr>
        <xdr:cNvPr id="34" name="Høyre klammeparentes 33">
          <a:extLst>
            <a:ext uri="{FF2B5EF4-FFF2-40B4-BE49-F238E27FC236}">
              <a16:creationId xmlns:a16="http://schemas.microsoft.com/office/drawing/2014/main" id="{0BA3A2B6-0834-7A48-B804-EA05AF3C4906}"/>
            </a:ext>
          </a:extLst>
        </xdr:cNvPr>
        <xdr:cNvSpPr/>
      </xdr:nvSpPr>
      <xdr:spPr>
        <a:xfrm>
          <a:off x="26382133" y="3081867"/>
          <a:ext cx="626534" cy="3081866"/>
        </a:xfrm>
        <a:prstGeom prst="rightBrace">
          <a:avLst>
            <a:gd name="adj1" fmla="val 8333"/>
            <a:gd name="adj2" fmla="val 46703"/>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b-NO" sz="1100"/>
        </a:p>
      </xdr:txBody>
    </xdr:sp>
    <xdr:clientData/>
  </xdr:twoCellAnchor>
  <xdr:twoCellAnchor>
    <xdr:from>
      <xdr:col>14</xdr:col>
      <xdr:colOff>383577</xdr:colOff>
      <xdr:row>35</xdr:row>
      <xdr:rowOff>8467</xdr:rowOff>
    </xdr:from>
    <xdr:to>
      <xdr:col>14</xdr:col>
      <xdr:colOff>1211838</xdr:colOff>
      <xdr:row>47</xdr:row>
      <xdr:rowOff>6994</xdr:rowOff>
    </xdr:to>
    <xdr:sp macro="" textlink="">
      <xdr:nvSpPr>
        <xdr:cNvPr id="35" name="Høyre klammeparentes 34">
          <a:extLst>
            <a:ext uri="{FF2B5EF4-FFF2-40B4-BE49-F238E27FC236}">
              <a16:creationId xmlns:a16="http://schemas.microsoft.com/office/drawing/2014/main" id="{AB6EB685-509A-D54C-9F07-10512CF52F48}"/>
            </a:ext>
          </a:extLst>
        </xdr:cNvPr>
        <xdr:cNvSpPr/>
      </xdr:nvSpPr>
      <xdr:spPr>
        <a:xfrm>
          <a:off x="17367710" y="6900334"/>
          <a:ext cx="828261" cy="2335327"/>
        </a:xfrm>
        <a:prstGeom prst="rightBrace">
          <a:avLst>
            <a:gd name="adj1" fmla="val 8333"/>
            <a:gd name="adj2" fmla="val 47175"/>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b-NO" sz="1100"/>
        </a:p>
      </xdr:txBody>
    </xdr:sp>
    <xdr:clientData/>
  </xdr:twoCellAnchor>
  <xdr:twoCellAnchor>
    <xdr:from>
      <xdr:col>10</xdr:col>
      <xdr:colOff>0</xdr:colOff>
      <xdr:row>71</xdr:row>
      <xdr:rowOff>12699</xdr:rowOff>
    </xdr:from>
    <xdr:to>
      <xdr:col>13</xdr:col>
      <xdr:colOff>0</xdr:colOff>
      <xdr:row>80</xdr:row>
      <xdr:rowOff>0</xdr:rowOff>
    </xdr:to>
    <xdr:sp macro="" textlink="">
      <xdr:nvSpPr>
        <xdr:cNvPr id="10" name="TekstSylinder 9">
          <a:extLst>
            <a:ext uri="{FF2B5EF4-FFF2-40B4-BE49-F238E27FC236}">
              <a16:creationId xmlns:a16="http://schemas.microsoft.com/office/drawing/2014/main" id="{14C18A87-2C47-44C5-88E9-91B5A0C1F673}"/>
            </a:ext>
          </a:extLst>
        </xdr:cNvPr>
        <xdr:cNvSpPr txBox="1"/>
      </xdr:nvSpPr>
      <xdr:spPr>
        <a:xfrm>
          <a:off x="11145520" y="13820139"/>
          <a:ext cx="4541520" cy="17449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r>
            <a:rPr lang="nb-NO" sz="1100"/>
            <a:t>Lastebil, 16-32 tonn (Euro 6) med maksimal vekt 32 tonn og kapasitetsutnyttelse 26 prosent </a:t>
          </a:r>
        </a:p>
        <a:p>
          <a:endParaRPr lang="nb-NO" sz="1100"/>
        </a:p>
        <a:p>
          <a:pPr marL="0" marR="0" lvl="0" indent="0" defTabSz="914400" eaLnBrk="1" fontAlgn="auto" latinLnBrk="0" hangingPunct="1">
            <a:lnSpc>
              <a:spcPct val="100000"/>
            </a:lnSpc>
            <a:spcBef>
              <a:spcPts val="0"/>
            </a:spcBef>
            <a:spcAft>
              <a:spcPts val="0"/>
            </a:spcAft>
            <a:buClrTx/>
            <a:buSzTx/>
            <a:buFontTx/>
            <a:buNone/>
            <a:tabLst/>
            <a:defRPr/>
          </a:pPr>
          <a:r>
            <a:rPr lang="nb-NO" sz="1100"/>
            <a:t>Lastebil, mer</a:t>
          </a:r>
          <a:r>
            <a:rPr lang="nb-NO" sz="1100" baseline="0"/>
            <a:t> enn </a:t>
          </a:r>
          <a:r>
            <a:rPr lang="nb-NO" sz="1100"/>
            <a:t>32 tonn (Euro 6) med maksimal vekt 50 tonn og kapasitetsutnyttelse 53 prosent </a:t>
          </a:r>
        </a:p>
        <a:p>
          <a:endParaRPr lang="nb-NO" sz="1100"/>
        </a:p>
        <a:p>
          <a:endParaRPr lang="nb-NO" sz="1100"/>
        </a:p>
        <a:p>
          <a:r>
            <a:rPr lang="nb-NO" sz="1100"/>
            <a:t>(Ecoinvent 2016), hentet fra SINTEF-rapport.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12701</xdr:colOff>
      <xdr:row>2</xdr:row>
      <xdr:rowOff>0</xdr:rowOff>
    </xdr:from>
    <xdr:to>
      <xdr:col>26</xdr:col>
      <xdr:colOff>660401</xdr:colOff>
      <xdr:row>13</xdr:row>
      <xdr:rowOff>177799</xdr:rowOff>
    </xdr:to>
    <xdr:sp macro="" textlink="">
      <xdr:nvSpPr>
        <xdr:cNvPr id="15" name="TekstSylinder 14">
          <a:extLst>
            <a:ext uri="{FF2B5EF4-FFF2-40B4-BE49-F238E27FC236}">
              <a16:creationId xmlns:a16="http://schemas.microsoft.com/office/drawing/2014/main" id="{F80B246E-2B27-0947-A131-DE359ED3563C}"/>
            </a:ext>
          </a:extLst>
        </xdr:cNvPr>
        <xdr:cNvSpPr txBox="1"/>
      </xdr:nvSpPr>
      <xdr:spPr>
        <a:xfrm>
          <a:off x="20955001" y="381000"/>
          <a:ext cx="6705600" cy="2336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Rentesatsen er basert på</a:t>
          </a:r>
          <a:r>
            <a:rPr lang="nb-NO" sz="1100" baseline="0"/>
            <a:t> flere kilder, deriblant statistikk fra SSB samt informasjon rundt dette hentet fra Bø et al. om realrente i forbindelse med opptak av lån til bruk i kommunen. Fra SITMA-rapporten går det bram at man bruker en rente på fire prosent, men en bør vurdere validiteten av dette i 2019 - rapporten er datert til 2012. </a:t>
          </a:r>
        </a:p>
        <a:p>
          <a:endParaRPr lang="nb-NO" sz="1100" baseline="0"/>
        </a:p>
        <a:p>
          <a:r>
            <a:rPr lang="nb-NO" sz="1100" baseline="0"/>
            <a:t>Ved personlig meddelelse har man fått vite fra et medlem i Norges Bilbransjeforbund at renten ligger på omtrent tre prosent for en utvalgt, nyere Mercedes-Benz som potensielt kunne blitt anvendt i massetransport. I ettertid er det dog usikkerhet knyttet til denne informasjonen som et følge av at det ikke ble spesifisert hvorvidt det er prat om tre prosent nominelt eller effektivt, selv om det med overveid sannsynlighet er nominelt.</a:t>
          </a:r>
        </a:p>
        <a:p>
          <a:endParaRPr lang="nb-NO" sz="1100"/>
        </a:p>
        <a:p>
          <a:r>
            <a:rPr lang="nb-NO" sz="1100"/>
            <a:t>Det endelige</a:t>
          </a:r>
          <a:r>
            <a:rPr lang="nb-NO" sz="1100" baseline="0"/>
            <a:t> valget er fire prosent i tråd med det som går frem av rapporten, der man har kjørt på en liten sikkerhetsmargin i tillegg til at man har tatt i betraktning at den reelle renten lett kan forskyves over fire prosent.</a:t>
          </a:r>
          <a:endParaRPr lang="nb-NO" sz="1100"/>
        </a:p>
      </xdr:txBody>
    </xdr:sp>
    <xdr:clientData/>
  </xdr:twoCellAnchor>
  <xdr:twoCellAnchor>
    <xdr:from>
      <xdr:col>11</xdr:col>
      <xdr:colOff>819150</xdr:colOff>
      <xdr:row>8</xdr:row>
      <xdr:rowOff>163253</xdr:rowOff>
    </xdr:from>
    <xdr:to>
      <xdr:col>15</xdr:col>
      <xdr:colOff>575611</xdr:colOff>
      <xdr:row>14</xdr:row>
      <xdr:rowOff>180975</xdr:rowOff>
    </xdr:to>
    <xdr:sp macro="" textlink="">
      <xdr:nvSpPr>
        <xdr:cNvPr id="19" name="TekstSylinder 18">
          <a:extLst>
            <a:ext uri="{FF2B5EF4-FFF2-40B4-BE49-F238E27FC236}">
              <a16:creationId xmlns:a16="http://schemas.microsoft.com/office/drawing/2014/main" id="{5B2D5513-FD33-A84D-8EBD-38DDA2428C18}"/>
            </a:ext>
          </a:extLst>
        </xdr:cNvPr>
        <xdr:cNvSpPr txBox="1"/>
      </xdr:nvSpPr>
      <xdr:spPr>
        <a:xfrm>
          <a:off x="13496925" y="1744403"/>
          <a:ext cx="3452161" cy="1160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Tallet for "andre nedbetalingslån" gir et bedre bilde av den realistiske renten, da renter fra huslån ikke er medregnet her.</a:t>
          </a:r>
        </a:p>
        <a:p>
          <a:endParaRPr lang="nb-NO" sz="1100" baseline="0"/>
        </a:p>
        <a:p>
          <a:r>
            <a:rPr lang="nb-NO" sz="1100"/>
            <a:t>Etableringsgebyr til kapitalkostnader, store banker opererer med 1%, også DNB.</a:t>
          </a:r>
        </a:p>
      </xdr:txBody>
    </xdr:sp>
    <xdr:clientData/>
  </xdr:twoCellAnchor>
  <xdr:twoCellAnchor>
    <xdr:from>
      <xdr:col>0</xdr:col>
      <xdr:colOff>665576</xdr:colOff>
      <xdr:row>78</xdr:row>
      <xdr:rowOff>186503</xdr:rowOff>
    </xdr:from>
    <xdr:to>
      <xdr:col>3</xdr:col>
      <xdr:colOff>475076</xdr:colOff>
      <xdr:row>93</xdr:row>
      <xdr:rowOff>107481</xdr:rowOff>
    </xdr:to>
    <xdr:graphicFrame macro="">
      <xdr:nvGraphicFramePr>
        <xdr:cNvPr id="12" name="Diagram 11">
          <a:extLst>
            <a:ext uri="{FF2B5EF4-FFF2-40B4-BE49-F238E27FC236}">
              <a16:creationId xmlns:a16="http://schemas.microsoft.com/office/drawing/2014/main" id="{B6729B65-40BB-9A47-BCDA-A75E21879B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24695</xdr:colOff>
      <xdr:row>78</xdr:row>
      <xdr:rowOff>174743</xdr:rowOff>
    </xdr:from>
    <xdr:to>
      <xdr:col>7</xdr:col>
      <xdr:colOff>751417</xdr:colOff>
      <xdr:row>93</xdr:row>
      <xdr:rowOff>95721</xdr:rowOff>
    </xdr:to>
    <xdr:graphicFrame macro="">
      <xdr:nvGraphicFramePr>
        <xdr:cNvPr id="20" name="Diagram 19">
          <a:extLst>
            <a:ext uri="{FF2B5EF4-FFF2-40B4-BE49-F238E27FC236}">
              <a16:creationId xmlns:a16="http://schemas.microsoft.com/office/drawing/2014/main" id="{B7A1C0BD-9BB8-A541-B76F-8A5132481D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58797</xdr:colOff>
      <xdr:row>65</xdr:row>
      <xdr:rowOff>35278</xdr:rowOff>
    </xdr:from>
    <xdr:to>
      <xdr:col>7</xdr:col>
      <xdr:colOff>282223</xdr:colOff>
      <xdr:row>67</xdr:row>
      <xdr:rowOff>164630</xdr:rowOff>
    </xdr:to>
    <xdr:sp macro="" textlink="">
      <xdr:nvSpPr>
        <xdr:cNvPr id="21" name="Høyre klammeparentes 20">
          <a:extLst>
            <a:ext uri="{FF2B5EF4-FFF2-40B4-BE49-F238E27FC236}">
              <a16:creationId xmlns:a16="http://schemas.microsoft.com/office/drawing/2014/main" id="{BBEFC1B2-5CCE-C643-9801-31F6F2FC0B82}"/>
            </a:ext>
          </a:extLst>
        </xdr:cNvPr>
        <xdr:cNvSpPr/>
      </xdr:nvSpPr>
      <xdr:spPr>
        <a:xfrm>
          <a:off x="9948334" y="12382500"/>
          <a:ext cx="223426" cy="51740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nb-NO"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292100</xdr:colOff>
      <xdr:row>22</xdr:row>
      <xdr:rowOff>165099</xdr:rowOff>
    </xdr:from>
    <xdr:to>
      <xdr:col>11</xdr:col>
      <xdr:colOff>63500</xdr:colOff>
      <xdr:row>28</xdr:row>
      <xdr:rowOff>180974</xdr:rowOff>
    </xdr:to>
    <xdr:sp macro="" textlink="">
      <xdr:nvSpPr>
        <xdr:cNvPr id="2" name="TekstSylinder 1">
          <a:extLst>
            <a:ext uri="{FF2B5EF4-FFF2-40B4-BE49-F238E27FC236}">
              <a16:creationId xmlns:a16="http://schemas.microsoft.com/office/drawing/2014/main" id="{00EDC151-DB62-D34B-9F76-5B881133B2BE}"/>
            </a:ext>
          </a:extLst>
        </xdr:cNvPr>
        <xdr:cNvSpPr txBox="1"/>
      </xdr:nvSpPr>
      <xdr:spPr>
        <a:xfrm>
          <a:off x="7845425" y="4356099"/>
          <a:ext cx="4667250" cy="115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Her er vekta målt fra rene masser i den forstand at massene ikke har inneholdt annet enn stein, grus og sand. Urimelig å anta at dette er tilfellet i praksis - dette er også grunnen til at AF Decom sitt renseanlegg blant annet har utsortering av metall og lignende, alt som ikke utgjør sand, grus eller stein når det forurenses. Dette er forklaringen på eventuell overproposjonalitet i kubikk/last/hengerkap.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649581</xdr:colOff>
      <xdr:row>6</xdr:row>
      <xdr:rowOff>76787</xdr:rowOff>
    </xdr:from>
    <xdr:to>
      <xdr:col>19</xdr:col>
      <xdr:colOff>17403</xdr:colOff>
      <xdr:row>17</xdr:row>
      <xdr:rowOff>28222</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567803" y="1262120"/>
          <a:ext cx="6197600" cy="2180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Den foretrukne måten å lage en prognose for lønnsgjennomsnittet for lastebil- og trailersjåfører er å ta i bruk historiske tall fra SSB til å lage en form for prediksjonsmodell med tidsrekker, men utfordringen med dette er at man ikke har hatt tilstrekkelig mengder med data for å utarbeide en slik modell - i stor grad skyldes dette en stor strukturendring Statistisk sentralbyrå har hatt i kalkuleringen av det nasjonale lønnsgjennomsnittet.</a:t>
          </a:r>
        </a:p>
        <a:p>
          <a:endParaRPr lang="nb-NO" sz="1100" baseline="0"/>
        </a:p>
        <a:p>
          <a:r>
            <a:rPr lang="nb-NO" sz="1100" baseline="0"/>
            <a:t>I utgangspunktet opererte man med tall for gjennomsnittsmånedslønn for operatører og sjåfører innen landstransport med gods fra 2008 til 2014, men denne tabellen ble avsluttet i forbindelse med at A-ordningen ble innført året etter (SSB). Tallene etter 2015 er dermed basert på andre forutsetninger enn tallene før, og et klart skille ser vi i hvordan de gamle tallene tok for seg operatører i samme kategori - det er ikke utenkelig at dette gir et mindre presist lønnsomgjennomsnitt for transportørene vi ønsker å dekke lønnen til i vår kalkyle.</a:t>
          </a:r>
        </a:p>
        <a:p>
          <a:endParaRPr lang="nb-NO" sz="1100" baseline="0"/>
        </a:p>
      </xdr:txBody>
    </xdr:sp>
    <xdr:clientData/>
  </xdr:twoCellAnchor>
  <xdr:twoCellAnchor>
    <xdr:from>
      <xdr:col>0</xdr:col>
      <xdr:colOff>609600</xdr:colOff>
      <xdr:row>37</xdr:row>
      <xdr:rowOff>9524</xdr:rowOff>
    </xdr:from>
    <xdr:to>
      <xdr:col>0</xdr:col>
      <xdr:colOff>838200</xdr:colOff>
      <xdr:row>40</xdr:row>
      <xdr:rowOff>9525</xdr:rowOff>
    </xdr:to>
    <xdr:sp macro="" textlink="">
      <xdr:nvSpPr>
        <xdr:cNvPr id="3" name="Left Brace 2">
          <a:extLst>
            <a:ext uri="{FF2B5EF4-FFF2-40B4-BE49-F238E27FC236}">
              <a16:creationId xmlns:a16="http://schemas.microsoft.com/office/drawing/2014/main" id="{00000000-0008-0000-0500-000003000000}"/>
            </a:ext>
          </a:extLst>
        </xdr:cNvPr>
        <xdr:cNvSpPr/>
      </xdr:nvSpPr>
      <xdr:spPr>
        <a:xfrm>
          <a:off x="609600" y="3495674"/>
          <a:ext cx="228600" cy="58102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16145</xdr:colOff>
      <xdr:row>145</xdr:row>
      <xdr:rowOff>12211</xdr:rowOff>
    </xdr:from>
    <xdr:to>
      <xdr:col>14</xdr:col>
      <xdr:colOff>12211</xdr:colOff>
      <xdr:row>148</xdr:row>
      <xdr:rowOff>74706</xdr:rowOff>
    </xdr:to>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897674" y="28385505"/>
          <a:ext cx="10021596" cy="645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0" baseline="0"/>
            <a:t> Henter data basert på hva som er tilgjengelig for området (Google), alt fra historiske gjennomsnitt med skille i pessmistiske og optimistiske anslag samt "best_guess" for et estimat basert på historiske trafikkforhold og trafikkinformasjon i sanntid. </a:t>
          </a:r>
        </a:p>
        <a:p>
          <a:endParaRPr lang="nb-NO" sz="1400" b="0" baseline="0"/>
        </a:p>
      </xdr:txBody>
    </xdr:sp>
    <xdr:clientData/>
  </xdr:twoCellAnchor>
  <xdr:twoCellAnchor>
    <xdr:from>
      <xdr:col>20</xdr:col>
      <xdr:colOff>333375</xdr:colOff>
      <xdr:row>59</xdr:row>
      <xdr:rowOff>79375</xdr:rowOff>
    </xdr:from>
    <xdr:to>
      <xdr:col>21</xdr:col>
      <xdr:colOff>476250</xdr:colOff>
      <xdr:row>60</xdr:row>
      <xdr:rowOff>127000</xdr:rowOff>
    </xdr:to>
    <xdr:sp macro="" textlink="">
      <xdr:nvSpPr>
        <xdr:cNvPr id="4" name="Left-Right Arrow 3">
          <a:extLst>
            <a:ext uri="{FF2B5EF4-FFF2-40B4-BE49-F238E27FC236}">
              <a16:creationId xmlns:a16="http://schemas.microsoft.com/office/drawing/2014/main" id="{00000000-0008-0000-0300-000004000000}"/>
            </a:ext>
          </a:extLst>
        </xdr:cNvPr>
        <xdr:cNvSpPr/>
      </xdr:nvSpPr>
      <xdr:spPr>
        <a:xfrm>
          <a:off x="15573375" y="9874250"/>
          <a:ext cx="904875"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317500</xdr:colOff>
      <xdr:row>92</xdr:row>
      <xdr:rowOff>79375</xdr:rowOff>
    </xdr:from>
    <xdr:to>
      <xdr:col>21</xdr:col>
      <xdr:colOff>460375</xdr:colOff>
      <xdr:row>93</xdr:row>
      <xdr:rowOff>127000</xdr:rowOff>
    </xdr:to>
    <xdr:sp macro="" textlink="">
      <xdr:nvSpPr>
        <xdr:cNvPr id="5" name="Left-Right Arrow 4">
          <a:extLst>
            <a:ext uri="{FF2B5EF4-FFF2-40B4-BE49-F238E27FC236}">
              <a16:creationId xmlns:a16="http://schemas.microsoft.com/office/drawing/2014/main" id="{00000000-0008-0000-0300-000005000000}"/>
            </a:ext>
          </a:extLst>
        </xdr:cNvPr>
        <xdr:cNvSpPr/>
      </xdr:nvSpPr>
      <xdr:spPr>
        <a:xfrm>
          <a:off x="15557500" y="16017875"/>
          <a:ext cx="904875"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285750</xdr:colOff>
      <xdr:row>126</xdr:row>
      <xdr:rowOff>79375</xdr:rowOff>
    </xdr:from>
    <xdr:to>
      <xdr:col>21</xdr:col>
      <xdr:colOff>428625</xdr:colOff>
      <xdr:row>127</xdr:row>
      <xdr:rowOff>127000</xdr:rowOff>
    </xdr:to>
    <xdr:sp macro="" textlink="">
      <xdr:nvSpPr>
        <xdr:cNvPr id="6" name="Left-Right Arrow 5">
          <a:extLst>
            <a:ext uri="{FF2B5EF4-FFF2-40B4-BE49-F238E27FC236}">
              <a16:creationId xmlns:a16="http://schemas.microsoft.com/office/drawing/2014/main" id="{00000000-0008-0000-0300-000006000000}"/>
            </a:ext>
          </a:extLst>
        </xdr:cNvPr>
        <xdr:cNvSpPr/>
      </xdr:nvSpPr>
      <xdr:spPr>
        <a:xfrm>
          <a:off x="15525750" y="21780500"/>
          <a:ext cx="904875"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31</xdr:col>
      <xdr:colOff>221946</xdr:colOff>
      <xdr:row>3</xdr:row>
      <xdr:rowOff>85721</xdr:rowOff>
    </xdr:from>
    <xdr:to>
      <xdr:col>32</xdr:col>
      <xdr:colOff>299959</xdr:colOff>
      <xdr:row>7</xdr:row>
      <xdr:rowOff>13874</xdr:rowOff>
    </xdr:to>
    <xdr:pic>
      <xdr:nvPicPr>
        <xdr:cNvPr id="16" name="Bilde 15">
          <a:extLst>
            <a:ext uri="{FF2B5EF4-FFF2-40B4-BE49-F238E27FC236}">
              <a16:creationId xmlns:a16="http://schemas.microsoft.com/office/drawing/2014/main" id="{81E2902C-9AA1-9C41-902A-ECC11886A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15446" y="699554"/>
          <a:ext cx="945846" cy="690153"/>
        </a:xfrm>
        <a:prstGeom prst="rect">
          <a:avLst/>
        </a:prstGeom>
      </xdr:spPr>
    </xdr:pic>
    <xdr:clientData/>
  </xdr:twoCellAnchor>
  <xdr:twoCellAnchor editAs="oneCell">
    <xdr:from>
      <xdr:col>8</xdr:col>
      <xdr:colOff>652234</xdr:colOff>
      <xdr:row>3</xdr:row>
      <xdr:rowOff>97370</xdr:rowOff>
    </xdr:from>
    <xdr:to>
      <xdr:col>10</xdr:col>
      <xdr:colOff>230715</xdr:colOff>
      <xdr:row>7</xdr:row>
      <xdr:rowOff>25523</xdr:rowOff>
    </xdr:to>
    <xdr:pic>
      <xdr:nvPicPr>
        <xdr:cNvPr id="21" name="Bilde 20">
          <a:extLst>
            <a:ext uri="{FF2B5EF4-FFF2-40B4-BE49-F238E27FC236}">
              <a16:creationId xmlns:a16="http://schemas.microsoft.com/office/drawing/2014/main" id="{E17C33F2-9DBF-4F4D-886E-D91B73B760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6917567" y="711203"/>
          <a:ext cx="975481" cy="690153"/>
        </a:xfrm>
        <a:prstGeom prst="rect">
          <a:avLst/>
        </a:prstGeom>
      </xdr:spPr>
    </xdr:pic>
    <xdr:clientData/>
  </xdr:twoCellAnchor>
  <xdr:twoCellAnchor>
    <xdr:from>
      <xdr:col>10</xdr:col>
      <xdr:colOff>369206</xdr:colOff>
      <xdr:row>4</xdr:row>
      <xdr:rowOff>85269</xdr:rowOff>
    </xdr:from>
    <xdr:to>
      <xdr:col>11</xdr:col>
      <xdr:colOff>210454</xdr:colOff>
      <xdr:row>6</xdr:row>
      <xdr:rowOff>85269</xdr:rowOff>
    </xdr:to>
    <xdr:sp macro="" textlink="">
      <xdr:nvSpPr>
        <xdr:cNvPr id="23" name="Pil høyre 22">
          <a:extLst>
            <a:ext uri="{FF2B5EF4-FFF2-40B4-BE49-F238E27FC236}">
              <a16:creationId xmlns:a16="http://schemas.microsoft.com/office/drawing/2014/main" id="{4C620B9C-7C5B-6B47-ACAD-D6753D120CD3}"/>
            </a:ext>
          </a:extLst>
        </xdr:cNvPr>
        <xdr:cNvSpPr/>
      </xdr:nvSpPr>
      <xdr:spPr>
        <a:xfrm>
          <a:off x="9174539" y="864202"/>
          <a:ext cx="721782" cy="37253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29</xdr:col>
      <xdr:colOff>690933</xdr:colOff>
      <xdr:row>4</xdr:row>
      <xdr:rowOff>124589</xdr:rowOff>
    </xdr:from>
    <xdr:to>
      <xdr:col>30</xdr:col>
      <xdr:colOff>532182</xdr:colOff>
      <xdr:row>6</xdr:row>
      <xdr:rowOff>124588</xdr:rowOff>
    </xdr:to>
    <xdr:sp macro="" textlink="">
      <xdr:nvSpPr>
        <xdr:cNvPr id="25" name="Pil høyre 24">
          <a:extLst>
            <a:ext uri="{FF2B5EF4-FFF2-40B4-BE49-F238E27FC236}">
              <a16:creationId xmlns:a16="http://schemas.microsoft.com/office/drawing/2014/main" id="{2DCE03F8-CEBF-E74E-8C93-FBBB6BBBD293}"/>
            </a:ext>
          </a:extLst>
        </xdr:cNvPr>
        <xdr:cNvSpPr/>
      </xdr:nvSpPr>
      <xdr:spPr>
        <a:xfrm rot="10800000">
          <a:off x="26226400" y="903522"/>
          <a:ext cx="721782" cy="3725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355600</xdr:colOff>
      <xdr:row>22</xdr:row>
      <xdr:rowOff>76200</xdr:rowOff>
    </xdr:from>
    <xdr:to>
      <xdr:col>21</xdr:col>
      <xdr:colOff>498475</xdr:colOff>
      <xdr:row>23</xdr:row>
      <xdr:rowOff>123825</xdr:rowOff>
    </xdr:to>
    <xdr:sp macro="" textlink="">
      <xdr:nvSpPr>
        <xdr:cNvPr id="26" name="Left-Right Arrow 3">
          <a:extLst>
            <a:ext uri="{FF2B5EF4-FFF2-40B4-BE49-F238E27FC236}">
              <a16:creationId xmlns:a16="http://schemas.microsoft.com/office/drawing/2014/main" id="{869182B3-7AF0-0844-8F94-B6A29A84CB5E}"/>
            </a:ext>
          </a:extLst>
        </xdr:cNvPr>
        <xdr:cNvSpPr/>
      </xdr:nvSpPr>
      <xdr:spPr>
        <a:xfrm>
          <a:off x="18135600" y="4546600"/>
          <a:ext cx="1031875" cy="2508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301625</xdr:colOff>
      <xdr:row>16</xdr:row>
      <xdr:rowOff>63500</xdr:rowOff>
    </xdr:from>
    <xdr:to>
      <xdr:col>21</xdr:col>
      <xdr:colOff>444500</xdr:colOff>
      <xdr:row>17</xdr:row>
      <xdr:rowOff>111125</xdr:rowOff>
    </xdr:to>
    <xdr:sp macro="" textlink="">
      <xdr:nvSpPr>
        <xdr:cNvPr id="2" name="Left-Right Arrow 1">
          <a:extLst>
            <a:ext uri="{FF2B5EF4-FFF2-40B4-BE49-F238E27FC236}">
              <a16:creationId xmlns:a16="http://schemas.microsoft.com/office/drawing/2014/main" id="{00000000-0008-0000-0400-000002000000}"/>
            </a:ext>
          </a:extLst>
        </xdr:cNvPr>
        <xdr:cNvSpPr/>
      </xdr:nvSpPr>
      <xdr:spPr>
        <a:xfrm>
          <a:off x="15541625" y="3721100"/>
          <a:ext cx="904875" cy="23812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21</xdr:col>
      <xdr:colOff>342900</xdr:colOff>
      <xdr:row>29</xdr:row>
      <xdr:rowOff>152400</xdr:rowOff>
    </xdr:from>
    <xdr:to>
      <xdr:col>21</xdr:col>
      <xdr:colOff>704850</xdr:colOff>
      <xdr:row>31</xdr:row>
      <xdr:rowOff>47625</xdr:rowOff>
    </xdr:to>
    <xdr:sp macro="" textlink="">
      <xdr:nvSpPr>
        <xdr:cNvPr id="3" name="Right Arrow 2">
          <a:extLst>
            <a:ext uri="{FF2B5EF4-FFF2-40B4-BE49-F238E27FC236}">
              <a16:creationId xmlns:a16="http://schemas.microsoft.com/office/drawing/2014/main" id="{00000000-0008-0000-0400-000003000000}"/>
            </a:ext>
          </a:extLst>
        </xdr:cNvPr>
        <xdr:cNvSpPr/>
      </xdr:nvSpPr>
      <xdr:spPr>
        <a:xfrm>
          <a:off x="16344900" y="6296025"/>
          <a:ext cx="361950" cy="2762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17</xdr:row>
      <xdr:rowOff>12700</xdr:rowOff>
    </xdr:from>
    <xdr:to>
      <xdr:col>3</xdr:col>
      <xdr:colOff>0</xdr:colOff>
      <xdr:row>20</xdr:row>
      <xdr:rowOff>0</xdr:rowOff>
    </xdr:to>
    <xdr:sp macro="" textlink="">
      <xdr:nvSpPr>
        <xdr:cNvPr id="12" name="TekstSylinder 11">
          <a:extLst>
            <a:ext uri="{FF2B5EF4-FFF2-40B4-BE49-F238E27FC236}">
              <a16:creationId xmlns:a16="http://schemas.microsoft.com/office/drawing/2014/main" id="{F6FDF391-E218-1543-A039-9D737F9606EE}"/>
            </a:ext>
          </a:extLst>
        </xdr:cNvPr>
        <xdr:cNvSpPr txBox="1"/>
      </xdr:nvSpPr>
      <xdr:spPr>
        <a:xfrm>
          <a:off x="685800" y="3276600"/>
          <a:ext cx="3644900" cy="55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nb-NO" sz="1100" b="0" i="0" u="none" strike="noStrike" baseline="0">
              <a:solidFill>
                <a:srgbClr val="000000"/>
              </a:solidFill>
              <a:latin typeface="Tahoma" pitchFamily="2" charset="0"/>
              <a:ea typeface="Tahoma" pitchFamily="2" charset="0"/>
              <a:cs typeface="Tahoma" pitchFamily="2" charset="0"/>
            </a:rPr>
            <a:t>Passering i rush registreres i tidsrommet mellom 06.30 - 09.00 og 15.00 - 17.00.</a:t>
          </a: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10160</xdr:colOff>
      <xdr:row>30</xdr:row>
      <xdr:rowOff>5080</xdr:rowOff>
    </xdr:from>
    <xdr:to>
      <xdr:col>2</xdr:col>
      <xdr:colOff>1322070</xdr:colOff>
      <xdr:row>33</xdr:row>
      <xdr:rowOff>167640</xdr:rowOff>
    </xdr:to>
    <xdr:sp macro="" textlink="">
      <xdr:nvSpPr>
        <xdr:cNvPr id="4" name="TekstSylinder 3">
          <a:extLst>
            <a:ext uri="{FF2B5EF4-FFF2-40B4-BE49-F238E27FC236}">
              <a16:creationId xmlns:a16="http://schemas.microsoft.com/office/drawing/2014/main" id="{00000000-0008-0000-0600-000004000000}"/>
            </a:ext>
          </a:extLst>
        </xdr:cNvPr>
        <xdr:cNvSpPr txBox="1"/>
      </xdr:nvSpPr>
      <xdr:spPr>
        <a:xfrm>
          <a:off x="772160" y="5720080"/>
          <a:ext cx="3735070" cy="734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Informasjon</a:t>
          </a:r>
          <a:r>
            <a:rPr lang="nb-NO" sz="1100" baseline="0"/>
            <a:t> om gateoppsop er hentet fra Lindum direkte, spesifisert med utgangspunkt i deponering av 1000 tonn gateoppsop /strøsand- og grus i tilstandsklasse 2-3.  </a:t>
          </a:r>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99"/>
  <sheetViews>
    <sheetView topLeftCell="A31" zoomScale="75" zoomScaleNormal="80" workbookViewId="0">
      <selection activeCell="H85" sqref="H85"/>
    </sheetView>
  </sheetViews>
  <sheetFormatPr defaultColWidth="8.85546875" defaultRowHeight="15"/>
  <cols>
    <col min="2" max="2" width="33.140625" customWidth="1"/>
    <col min="3" max="6" width="15.7109375" customWidth="1"/>
    <col min="7" max="7" width="14.7109375" customWidth="1"/>
    <col min="8" max="9" width="8.85546875" customWidth="1"/>
    <col min="10" max="10" width="9" customWidth="1"/>
    <col min="11" max="11" width="26" customWidth="1"/>
    <col min="12" max="16" width="16.85546875" customWidth="1"/>
    <col min="17" max="18" width="8.85546875" customWidth="1"/>
    <col min="19" max="19" width="28" customWidth="1"/>
    <col min="20" max="20" width="8.85546875" customWidth="1"/>
    <col min="23" max="23" width="11.85546875" customWidth="1"/>
    <col min="24" max="24" width="11" customWidth="1"/>
  </cols>
  <sheetData>
    <row r="1" spans="2:23" ht="15.75" thickBot="1"/>
    <row r="2" spans="2:23" ht="15.75" thickBot="1">
      <c r="B2" s="514" t="s">
        <v>0</v>
      </c>
      <c r="C2" s="515"/>
      <c r="D2" s="515"/>
      <c r="E2" s="516"/>
      <c r="F2" s="3"/>
      <c r="G2" s="3"/>
      <c r="H2" s="3"/>
      <c r="I2" s="3"/>
      <c r="J2" s="3"/>
    </row>
    <row r="4" spans="2:23">
      <c r="B4" s="1" t="s">
        <v>449</v>
      </c>
      <c r="C4" s="1"/>
      <c r="D4" s="1"/>
      <c r="E4" s="1"/>
      <c r="F4" s="1"/>
      <c r="G4" s="1"/>
      <c r="H4" s="194"/>
      <c r="I4" s="194"/>
      <c r="J4" s="1"/>
      <c r="K4" s="361" t="s">
        <v>520</v>
      </c>
      <c r="L4" s="394">
        <v>4</v>
      </c>
    </row>
    <row r="5" spans="2:23">
      <c r="K5" s="395"/>
      <c r="L5" s="169"/>
    </row>
    <row r="6" spans="2:23">
      <c r="B6" s="218" t="s">
        <v>481</v>
      </c>
      <c r="C6" s="218">
        <v>52</v>
      </c>
      <c r="K6" s="160" t="s">
        <v>222</v>
      </c>
      <c r="L6" s="358">
        <v>30000</v>
      </c>
    </row>
    <row r="7" spans="2:23">
      <c r="B7" s="218" t="s">
        <v>482</v>
      </c>
      <c r="C7" s="218">
        <v>5</v>
      </c>
      <c r="H7" s="2"/>
      <c r="I7" s="2"/>
      <c r="J7" s="5"/>
      <c r="K7" s="160" t="s">
        <v>223</v>
      </c>
      <c r="L7" s="358">
        <v>30</v>
      </c>
    </row>
    <row r="8" spans="2:23">
      <c r="B8" s="218" t="s">
        <v>483</v>
      </c>
      <c r="C8" s="290">
        <f>Lønn!C47</f>
        <v>547191.28384868836</v>
      </c>
      <c r="J8" s="5"/>
      <c r="K8" s="160" t="s">
        <v>224</v>
      </c>
      <c r="L8" s="358">
        <f>L6/L7</f>
        <v>1000</v>
      </c>
    </row>
    <row r="9" spans="2:23">
      <c r="B9" s="218" t="s">
        <v>495</v>
      </c>
      <c r="C9" s="218">
        <v>250</v>
      </c>
      <c r="J9" s="5"/>
      <c r="K9" s="160"/>
      <c r="L9" s="358">
        <v>2</v>
      </c>
    </row>
    <row r="10" spans="2:23">
      <c r="G10" s="66"/>
      <c r="K10" s="160" t="s">
        <v>514</v>
      </c>
      <c r="L10" s="358">
        <f>L9*4</f>
        <v>8</v>
      </c>
    </row>
    <row r="11" spans="2:23">
      <c r="G11" s="67"/>
      <c r="J11" s="7"/>
      <c r="K11" s="160" t="s">
        <v>515</v>
      </c>
      <c r="L11" s="169">
        <f>L10*5</f>
        <v>40</v>
      </c>
    </row>
    <row r="12" spans="2:23">
      <c r="B12" s="318" t="s">
        <v>1</v>
      </c>
      <c r="C12" s="273"/>
      <c r="G12" s="68"/>
      <c r="J12" s="7"/>
      <c r="K12" s="369" t="s">
        <v>239</v>
      </c>
      <c r="L12" s="396">
        <f>L8/L11</f>
        <v>25</v>
      </c>
    </row>
    <row r="13" spans="2:23">
      <c r="B13" s="160" t="s">
        <v>2</v>
      </c>
      <c r="C13" s="385">
        <f>Lønn!C26</f>
        <v>798605.95620437025</v>
      </c>
      <c r="G13" s="68"/>
      <c r="H13" s="66"/>
      <c r="I13" s="66"/>
      <c r="K13" s="171" t="s">
        <v>240</v>
      </c>
      <c r="L13" s="397">
        <f>L12/L4</f>
        <v>6.25</v>
      </c>
    </row>
    <row r="14" spans="2:23">
      <c r="B14" s="160" t="s">
        <v>3</v>
      </c>
      <c r="C14" s="385">
        <f>'Biler, investering'!G31</f>
        <v>1313161.7999999998</v>
      </c>
      <c r="G14" s="69"/>
      <c r="H14" s="67"/>
      <c r="I14" s="67"/>
    </row>
    <row r="15" spans="2:23">
      <c r="B15" s="160" t="s">
        <v>4</v>
      </c>
      <c r="C15" s="385">
        <f>'Biler, investering'!G34</f>
        <v>160000</v>
      </c>
      <c r="G15" s="193"/>
      <c r="H15" s="68"/>
      <c r="I15" s="68"/>
    </row>
    <row r="16" spans="2:23" ht="15.75" thickBot="1">
      <c r="B16" s="160" t="s">
        <v>5</v>
      </c>
      <c r="C16" s="385">
        <f>'Biler, investering'!G25</f>
        <v>259840</v>
      </c>
      <c r="D16" s="215"/>
      <c r="H16" s="68"/>
      <c r="I16" s="68"/>
      <c r="S16" s="119"/>
      <c r="T16" s="119"/>
      <c r="U16" s="119"/>
      <c r="V16" s="119"/>
      <c r="W16" s="119"/>
    </row>
    <row r="17" spans="2:27" ht="15.75" thickBot="1">
      <c r="B17" s="160" t="s">
        <v>10</v>
      </c>
      <c r="C17" s="385">
        <f>'Biler, investering'!K39+'Biler, investering'!J45+'Biler, investering'!K55+'Biler, investering'!G27</f>
        <v>664356</v>
      </c>
      <c r="H17" s="69"/>
      <c r="I17" s="69"/>
      <c r="K17" s="517" t="s">
        <v>475</v>
      </c>
      <c r="L17" s="518"/>
      <c r="M17" s="518"/>
      <c r="N17" s="518"/>
      <c r="O17" s="518"/>
      <c r="P17" s="519"/>
      <c r="S17" s="291" t="s">
        <v>415</v>
      </c>
      <c r="T17" s="292" t="s">
        <v>156</v>
      </c>
      <c r="U17" s="292" t="s">
        <v>157</v>
      </c>
      <c r="V17" s="292" t="s">
        <v>158</v>
      </c>
      <c r="W17" s="293" t="s">
        <v>225</v>
      </c>
    </row>
    <row r="18" spans="2:27">
      <c r="B18" s="386" t="s">
        <v>165</v>
      </c>
      <c r="C18" s="387">
        <f>(C14+C15+C16+C17+C13)/P22</f>
        <v>6.2739767495178054</v>
      </c>
      <c r="K18" s="256"/>
      <c r="L18" s="70" t="s">
        <v>476</v>
      </c>
      <c r="M18" s="71" t="s">
        <v>477</v>
      </c>
      <c r="N18" s="71" t="s">
        <v>478</v>
      </c>
      <c r="O18" s="71" t="s">
        <v>479</v>
      </c>
      <c r="P18" s="257" t="s">
        <v>237</v>
      </c>
      <c r="S18" s="294" t="s">
        <v>410</v>
      </c>
      <c r="T18" s="192">
        <f>'Trafikkdata, nullalt.'!D38</f>
        <v>113.88888888888889</v>
      </c>
      <c r="U18" s="192">
        <f>'Trafikkdata, nullalt.'!D73</f>
        <v>60.777777777777779</v>
      </c>
      <c r="V18" s="192">
        <f>'Trafikkdata, nullalt.'!D107</f>
        <v>112.22222222222223</v>
      </c>
      <c r="W18" s="295">
        <f>'Trafikkdata, nullalt.'!D141</f>
        <v>80</v>
      </c>
    </row>
    <row r="19" spans="2:27" ht="15" customHeight="1">
      <c r="K19" s="42" t="s">
        <v>218</v>
      </c>
      <c r="L19" s="72">
        <f>$P$62/$L$4</f>
        <v>10612.5</v>
      </c>
      <c r="M19" s="72">
        <f>$P$62/$L$4</f>
        <v>10612.5</v>
      </c>
      <c r="N19" s="72">
        <f>$P$62/$L$4</f>
        <v>10612.5</v>
      </c>
      <c r="O19" s="72">
        <f>$P$62/$L$4</f>
        <v>10612.5</v>
      </c>
      <c r="P19" s="258">
        <f>SUM(L19:O19)</f>
        <v>42450</v>
      </c>
      <c r="S19" s="294" t="s">
        <v>411</v>
      </c>
      <c r="T19" s="192">
        <f>'Trafikkdata, nullalt.'!H38</f>
        <v>112.77777777777777</v>
      </c>
      <c r="U19" s="192">
        <f>'Trafikkdata, nullalt.'!H73</f>
        <v>60.777777777777779</v>
      </c>
      <c r="V19" s="192">
        <f>'Trafikkdata, nullalt.'!H107</f>
        <v>112.22222222222223</v>
      </c>
      <c r="W19" s="295">
        <f>'Trafikkdata, nullalt.'!H141</f>
        <v>80.555555555555557</v>
      </c>
    </row>
    <row r="20" spans="2:27" ht="15" customHeight="1">
      <c r="K20" s="42" t="s">
        <v>219</v>
      </c>
      <c r="L20" s="72">
        <f>$P$64/$L$4</f>
        <v>10612.5</v>
      </c>
      <c r="M20" s="72">
        <f>$P$64/$L$4</f>
        <v>10612.5</v>
      </c>
      <c r="N20" s="72">
        <f>$P$64/$L$4</f>
        <v>10612.5</v>
      </c>
      <c r="O20" s="72">
        <f>$P$64/$L$4</f>
        <v>10612.5</v>
      </c>
      <c r="P20" s="258">
        <f>SUM(L20:O20)</f>
        <v>42450</v>
      </c>
      <c r="S20" s="294" t="s">
        <v>412</v>
      </c>
      <c r="T20" s="192">
        <f>'Trafikkdata, nullalt.'!L38</f>
        <v>112.22222222222223</v>
      </c>
      <c r="U20" s="192">
        <f>'Trafikkdata, nullalt.'!L73</f>
        <v>59.888888888888886</v>
      </c>
      <c r="V20" s="192">
        <f>'Trafikkdata, nullalt.'!L107</f>
        <v>110.55555555555554</v>
      </c>
      <c r="W20" s="295">
        <f>'Trafikkdata, nullalt.'!L141</f>
        <v>78.888888888888886</v>
      </c>
    </row>
    <row r="21" spans="2:27">
      <c r="B21" s="318" t="s">
        <v>6</v>
      </c>
      <c r="C21" s="273"/>
      <c r="D21" s="175"/>
      <c r="E21" s="175"/>
      <c r="F21" s="175"/>
      <c r="G21" s="54"/>
      <c r="K21" s="259" t="s">
        <v>273</v>
      </c>
      <c r="L21" s="93">
        <f>L19+L20</f>
        <v>21225</v>
      </c>
      <c r="M21" s="93">
        <f t="shared" ref="M21:O21" si="0">M19+M20</f>
        <v>21225</v>
      </c>
      <c r="N21" s="93">
        <f t="shared" si="0"/>
        <v>21225</v>
      </c>
      <c r="O21" s="93">
        <f t="shared" si="0"/>
        <v>21225</v>
      </c>
      <c r="P21" s="258">
        <f>P19+P20</f>
        <v>84900</v>
      </c>
      <c r="S21" s="294" t="s">
        <v>413</v>
      </c>
      <c r="T21" s="192">
        <f>'Trafikkdata, nullalt.'!P38</f>
        <v>111.11111111111111</v>
      </c>
      <c r="U21" s="192">
        <f>'Trafikkdata, nullalt.'!P73</f>
        <v>60.444444444444443</v>
      </c>
      <c r="V21" s="192">
        <f>'Trafikkdata, nullalt.'!P107</f>
        <v>108.88888888888889</v>
      </c>
      <c r="W21" s="295">
        <f>'Trafikkdata, nullalt.'!P141</f>
        <v>80</v>
      </c>
    </row>
    <row r="22" spans="2:27" ht="15" customHeight="1" thickBot="1">
      <c r="B22" s="388" t="s">
        <v>164</v>
      </c>
      <c r="C22" s="389">
        <f>'Dieselpriser, variable'!$G$40</f>
        <v>15.614000000000001</v>
      </c>
      <c r="D22" s="229"/>
      <c r="E22" s="229"/>
      <c r="F22" s="229"/>
      <c r="G22" s="55"/>
      <c r="K22" s="260" t="s">
        <v>227</v>
      </c>
      <c r="L22" s="73">
        <f>((L21)/2)*12</f>
        <v>127350</v>
      </c>
      <c r="M22" s="73">
        <f t="shared" ref="M22:O22" si="1">((M21)/2)*12</f>
        <v>127350</v>
      </c>
      <c r="N22" s="73">
        <f t="shared" si="1"/>
        <v>127350</v>
      </c>
      <c r="O22" s="73">
        <f t="shared" si="1"/>
        <v>127350</v>
      </c>
      <c r="P22" s="261">
        <f>SUM(L22:O22)</f>
        <v>509400</v>
      </c>
      <c r="S22" s="296" t="s">
        <v>414</v>
      </c>
      <c r="T22" s="297">
        <f>'Trafikkdata, nullalt.'!T38</f>
        <v>103.88888888888889</v>
      </c>
      <c r="U22" s="297">
        <f>'Trafikkdata, nullalt.'!T73</f>
        <v>59.777777777777779</v>
      </c>
      <c r="V22" s="297">
        <f>'Trafikkdata, nullalt.'!T107</f>
        <v>106.66666666666667</v>
      </c>
      <c r="W22" s="298">
        <f>'Trafikkdata, nullalt.'!T141</f>
        <v>78.333333333333343</v>
      </c>
    </row>
    <row r="23" spans="2:27" ht="15.95" customHeight="1">
      <c r="B23" s="160" t="s">
        <v>394</v>
      </c>
      <c r="C23" s="390">
        <f>5/10</f>
        <v>0.5</v>
      </c>
      <c r="D23" s="229"/>
      <c r="E23" s="229"/>
      <c r="F23" s="229"/>
      <c r="G23" s="55"/>
      <c r="U23" s="7"/>
      <c r="V23" s="7"/>
      <c r="W23" s="7"/>
    </row>
    <row r="24" spans="2:27" ht="15.75" thickBot="1">
      <c r="B24" s="388" t="s">
        <v>393</v>
      </c>
      <c r="C24" s="389">
        <f>((C23*C31)*C22)/C31</f>
        <v>7.8070000000000004</v>
      </c>
      <c r="D24" s="229"/>
      <c r="E24" s="229"/>
      <c r="F24" s="229"/>
      <c r="G24" s="55"/>
      <c r="H24" s="55"/>
      <c r="I24" s="55"/>
      <c r="Y24" s="513" t="s">
        <v>500</v>
      </c>
      <c r="Z24" s="513"/>
      <c r="AA24" s="513"/>
    </row>
    <row r="25" spans="2:27" ht="15" customHeight="1">
      <c r="B25" s="160" t="s">
        <v>619</v>
      </c>
      <c r="C25" s="389">
        <f>'Biler, investering'!G35/Nullalternativ!P30</f>
        <v>0.84805653710247353</v>
      </c>
      <c r="E25" s="229"/>
      <c r="F25" s="229"/>
      <c r="G25" s="55"/>
      <c r="H25" s="55"/>
      <c r="I25" s="55"/>
      <c r="K25" s="517" t="s">
        <v>487</v>
      </c>
      <c r="L25" s="518"/>
      <c r="M25" s="518"/>
      <c r="N25" s="518"/>
      <c r="O25" s="518"/>
      <c r="P25" s="519"/>
      <c r="S25" s="119"/>
      <c r="T25" s="119"/>
      <c r="U25" s="119"/>
      <c r="V25" s="119"/>
      <c r="W25" s="119"/>
    </row>
    <row r="26" spans="2:27" ht="15.95" customHeight="1">
      <c r="B26" s="160" t="s">
        <v>7</v>
      </c>
      <c r="C26" s="391">
        <f>P33/P30</f>
        <v>1.5767639999999998</v>
      </c>
      <c r="E26" s="229"/>
      <c r="F26" s="229"/>
      <c r="G26" s="55"/>
      <c r="H26" s="55"/>
      <c r="I26" s="55"/>
      <c r="K26" s="256"/>
      <c r="L26" s="70" t="s">
        <v>476</v>
      </c>
      <c r="M26" s="71" t="s">
        <v>477</v>
      </c>
      <c r="N26" s="71" t="s">
        <v>478</v>
      </c>
      <c r="O26" s="71" t="s">
        <v>479</v>
      </c>
      <c r="P26" s="257" t="s">
        <v>237</v>
      </c>
      <c r="S26" s="303" t="s">
        <v>416</v>
      </c>
      <c r="T26" s="272" t="s">
        <v>156</v>
      </c>
      <c r="U26" s="272" t="s">
        <v>157</v>
      </c>
      <c r="V26" s="272" t="s">
        <v>158</v>
      </c>
      <c r="W26" s="273" t="s">
        <v>225</v>
      </c>
    </row>
    <row r="27" spans="2:27">
      <c r="B27" s="392" t="s">
        <v>217</v>
      </c>
      <c r="C27" s="393">
        <f>C24+C25+C26</f>
        <v>10.231820537102475</v>
      </c>
      <c r="D27" s="229"/>
      <c r="E27" s="229"/>
      <c r="F27" s="229"/>
      <c r="G27" s="41"/>
      <c r="H27" s="55"/>
      <c r="I27" s="55"/>
      <c r="K27" s="42" t="s">
        <v>218</v>
      </c>
      <c r="L27" s="72">
        <f>L37*C66</f>
        <v>12625</v>
      </c>
      <c r="M27" s="72">
        <f>L40*D66</f>
        <v>6775</v>
      </c>
      <c r="N27" s="72">
        <f>L43*E66</f>
        <v>13400</v>
      </c>
      <c r="O27" s="72">
        <f>L46*F66</f>
        <v>9112.5</v>
      </c>
      <c r="P27" s="258">
        <f>SUM(L27:O27)</f>
        <v>41912.5</v>
      </c>
      <c r="S27" s="304" t="s">
        <v>410</v>
      </c>
      <c r="T27" s="305">
        <f>T18/60</f>
        <v>1.8981481481481481</v>
      </c>
      <c r="U27" s="305">
        <f t="shared" ref="U27:W28" si="2">U18/60</f>
        <v>1.0129629629629631</v>
      </c>
      <c r="V27" s="305">
        <f t="shared" si="2"/>
        <v>1.8703703703703705</v>
      </c>
      <c r="W27" s="306">
        <f t="shared" si="2"/>
        <v>1.3333333333333333</v>
      </c>
    </row>
    <row r="28" spans="2:27">
      <c r="G28" s="54"/>
      <c r="H28" s="55"/>
      <c r="I28" s="55"/>
      <c r="K28" s="42" t="s">
        <v>219</v>
      </c>
      <c r="L28" s="72">
        <f>L38*C66</f>
        <v>12525</v>
      </c>
      <c r="M28" s="72">
        <f>L41*D66</f>
        <v>7550</v>
      </c>
      <c r="N28" s="72">
        <f>L44*E66</f>
        <v>13575</v>
      </c>
      <c r="O28" s="72">
        <f>L47*F66</f>
        <v>9337.4999999999982</v>
      </c>
      <c r="P28" s="258">
        <f>SUM(L28:O28)</f>
        <v>42987.5</v>
      </c>
      <c r="S28" s="294" t="s">
        <v>411</v>
      </c>
      <c r="T28" s="159">
        <f t="shared" ref="T28:W31" si="3">T19/60</f>
        <v>1.8796296296296295</v>
      </c>
      <c r="U28" s="159">
        <f t="shared" si="2"/>
        <v>1.0129629629629631</v>
      </c>
      <c r="V28" s="159">
        <f t="shared" si="2"/>
        <v>1.8703703703703705</v>
      </c>
      <c r="W28" s="299">
        <f t="shared" si="2"/>
        <v>1.3425925925925926</v>
      </c>
    </row>
    <row r="29" spans="2:27">
      <c r="B29" s="336" t="s">
        <v>9</v>
      </c>
      <c r="C29" s="272" t="s">
        <v>156</v>
      </c>
      <c r="D29" s="272" t="s">
        <v>157</v>
      </c>
      <c r="E29" s="272" t="s">
        <v>158</v>
      </c>
      <c r="F29" s="273" t="s">
        <v>225</v>
      </c>
      <c r="G29" s="54"/>
      <c r="H29" s="55"/>
      <c r="I29" s="55"/>
      <c r="K29" s="259" t="s">
        <v>273</v>
      </c>
      <c r="L29" s="93">
        <f>L27+L28</f>
        <v>25150</v>
      </c>
      <c r="M29" s="93">
        <f t="shared" ref="M29" si="4">M27+M28</f>
        <v>14325</v>
      </c>
      <c r="N29" s="93">
        <f t="shared" ref="N29" si="5">N27+N28</f>
        <v>26975</v>
      </c>
      <c r="O29" s="93">
        <f t="shared" ref="O29" si="6">O27+O28</f>
        <v>18450</v>
      </c>
      <c r="P29" s="258">
        <f>P27+P28</f>
        <v>84900</v>
      </c>
      <c r="S29" s="294" t="s">
        <v>412</v>
      </c>
      <c r="T29" s="159">
        <f t="shared" si="3"/>
        <v>1.8703703703703705</v>
      </c>
      <c r="U29" s="159">
        <f t="shared" si="3"/>
        <v>0.99814814814814812</v>
      </c>
      <c r="V29" s="159">
        <f t="shared" si="3"/>
        <v>1.8425925925925923</v>
      </c>
      <c r="W29" s="299">
        <f t="shared" si="3"/>
        <v>1.3148148148148147</v>
      </c>
    </row>
    <row r="30" spans="2:27" ht="15.75" thickBot="1">
      <c r="B30" s="337" t="s">
        <v>228</v>
      </c>
      <c r="C30" s="338">
        <f>C31/C32</f>
        <v>54.487462387161486</v>
      </c>
      <c r="D30" s="338">
        <f>D31/D32</f>
        <v>56.983425414364639</v>
      </c>
      <c r="E30" s="338">
        <f t="shared" ref="E30" si="7">E31/E32</f>
        <v>58.795156407669026</v>
      </c>
      <c r="F30" s="339">
        <f>F31/F32</f>
        <v>55.659217877094967</v>
      </c>
      <c r="G30" s="54"/>
      <c r="H30" s="193"/>
      <c r="I30" s="193"/>
      <c r="K30" s="260" t="s">
        <v>227</v>
      </c>
      <c r="L30" s="73">
        <f>(L29/2)*12</f>
        <v>150900</v>
      </c>
      <c r="M30" s="73">
        <f t="shared" ref="M30:O30" si="8">(M29/2)*12</f>
        <v>85950</v>
      </c>
      <c r="N30" s="73">
        <f t="shared" si="8"/>
        <v>161850</v>
      </c>
      <c r="O30" s="73">
        <f t="shared" si="8"/>
        <v>110700</v>
      </c>
      <c r="P30" s="261">
        <f>SUM(L30:O30)</f>
        <v>509400</v>
      </c>
      <c r="S30" s="294" t="s">
        <v>413</v>
      </c>
      <c r="T30" s="159">
        <f t="shared" si="3"/>
        <v>1.8518518518518519</v>
      </c>
      <c r="U30" s="159">
        <f t="shared" ref="U30:W31" si="9">U21/60</f>
        <v>1.0074074074074073</v>
      </c>
      <c r="V30" s="159">
        <f t="shared" si="9"/>
        <v>1.8148148148148147</v>
      </c>
      <c r="W30" s="299">
        <f t="shared" si="9"/>
        <v>1.3333333333333333</v>
      </c>
    </row>
    <row r="31" spans="2:27">
      <c r="B31" s="319" t="s">
        <v>229</v>
      </c>
      <c r="C31" s="53">
        <f>((L37+L38)/2)*2</f>
        <v>100.6</v>
      </c>
      <c r="D31" s="53">
        <f>((L40+L41)/2)*2</f>
        <v>57.3</v>
      </c>
      <c r="E31" s="53">
        <f>((L43+L44)/2)*2</f>
        <v>107.9</v>
      </c>
      <c r="F31" s="340">
        <f>((L46+L47)/2)*2</f>
        <v>73.8</v>
      </c>
      <c r="G31" s="54"/>
      <c r="H31" s="54"/>
      <c r="I31" s="54"/>
      <c r="O31" s="23"/>
      <c r="S31" s="296" t="s">
        <v>414</v>
      </c>
      <c r="T31" s="307">
        <f t="shared" si="3"/>
        <v>1.7314814814814814</v>
      </c>
      <c r="U31" s="307">
        <f t="shared" si="9"/>
        <v>0.99629629629629635</v>
      </c>
      <c r="V31" s="307">
        <f t="shared" si="9"/>
        <v>1.7777777777777779</v>
      </c>
      <c r="W31" s="308">
        <f t="shared" si="9"/>
        <v>1.3055555555555558</v>
      </c>
    </row>
    <row r="32" spans="2:27">
      <c r="B32" s="319" t="s">
        <v>231</v>
      </c>
      <c r="C32" s="229">
        <f>M37</f>
        <v>1.8462962962962961</v>
      </c>
      <c r="D32" s="229">
        <f>M40</f>
        <v>1.0055555555555555</v>
      </c>
      <c r="E32" s="229">
        <f>M43</f>
        <v>1.835185185185185</v>
      </c>
      <c r="F32" s="341">
        <f>M46</f>
        <v>1.325925925925926</v>
      </c>
      <c r="G32" s="54"/>
      <c r="H32" s="54"/>
      <c r="I32" s="54"/>
      <c r="S32" s="300" t="s">
        <v>28</v>
      </c>
      <c r="T32" s="301">
        <f>AVERAGE(T27:T31)</f>
        <v>1.8462962962962961</v>
      </c>
      <c r="U32" s="301">
        <f>AVERAGE(U27:U31)</f>
        <v>1.0055555555555555</v>
      </c>
      <c r="V32" s="301">
        <f>AVERAGE(V27:V31)</f>
        <v>1.835185185185185</v>
      </c>
      <c r="W32" s="302">
        <f>AVERAGE(W27:W31)</f>
        <v>1.325925925925926</v>
      </c>
    </row>
    <row r="33" spans="2:16">
      <c r="B33" s="319" t="s">
        <v>418</v>
      </c>
      <c r="C33" s="342">
        <f>(3/60)</f>
        <v>0.05</v>
      </c>
      <c r="D33" s="342">
        <f t="shared" ref="D33:F33" si="10">(3/60)</f>
        <v>0.05</v>
      </c>
      <c r="E33" s="342">
        <f t="shared" si="10"/>
        <v>0.05</v>
      </c>
      <c r="F33" s="343">
        <f t="shared" si="10"/>
        <v>0.05</v>
      </c>
      <c r="G33" s="65"/>
      <c r="H33" s="54"/>
      <c r="I33" s="54"/>
      <c r="K33" s="211" t="s">
        <v>480</v>
      </c>
      <c r="L33" s="212">
        <f>(L30/50000)*'Biler, investering'!C33</f>
        <v>237933.68759999998</v>
      </c>
      <c r="M33" s="212">
        <f>(M30/50000)*'Biler, investering'!D33</f>
        <v>135522.8658</v>
      </c>
      <c r="N33" s="212">
        <f>(N30/50000)*'Biler, investering'!E33</f>
        <v>255199.25339999999</v>
      </c>
      <c r="O33" s="212">
        <f>(O30/50000)*'Biler, investering'!F33</f>
        <v>174547.77479999998</v>
      </c>
      <c r="P33" s="213">
        <f>SUM(L33:O33)</f>
        <v>803203.58159999992</v>
      </c>
    </row>
    <row r="34" spans="2:16">
      <c r="B34" s="319" t="s">
        <v>474</v>
      </c>
      <c r="C34" s="342">
        <f>2/60</f>
        <v>3.3333333333333333E-2</v>
      </c>
      <c r="D34" s="342">
        <f t="shared" ref="D34:F34" si="11">2/60</f>
        <v>3.3333333333333333E-2</v>
      </c>
      <c r="E34" s="342">
        <f t="shared" si="11"/>
        <v>3.3333333333333333E-2</v>
      </c>
      <c r="F34" s="343">
        <f t="shared" si="11"/>
        <v>3.3333333333333333E-2</v>
      </c>
      <c r="H34" s="54"/>
      <c r="I34" s="54"/>
    </row>
    <row r="35" spans="2:16">
      <c r="B35" s="319" t="s">
        <v>154</v>
      </c>
      <c r="C35" s="344">
        <f>C33+C34</f>
        <v>8.3333333333333343E-2</v>
      </c>
      <c r="D35" s="344">
        <f t="shared" ref="D35:F35" si="12">D33+D34</f>
        <v>8.3333333333333343E-2</v>
      </c>
      <c r="E35" s="344">
        <f t="shared" si="12"/>
        <v>8.3333333333333343E-2</v>
      </c>
      <c r="F35" s="345">
        <f t="shared" si="12"/>
        <v>8.3333333333333343E-2</v>
      </c>
      <c r="H35" s="54"/>
      <c r="I35" s="54"/>
    </row>
    <row r="36" spans="2:16">
      <c r="B36" s="346" t="s">
        <v>155</v>
      </c>
      <c r="C36" s="347">
        <f>(C32+C35)</f>
        <v>1.9296296296296294</v>
      </c>
      <c r="D36" s="347">
        <f>(D32+D35)</f>
        <v>1.0888888888888888</v>
      </c>
      <c r="E36" s="347">
        <f>(E32+E35)</f>
        <v>1.9185185185185183</v>
      </c>
      <c r="F36" s="348">
        <f>(F32+F35)</f>
        <v>1.4092592592592592</v>
      </c>
      <c r="G36" s="55"/>
      <c r="H36" s="65"/>
      <c r="I36" s="65"/>
      <c r="K36" s="504" t="s">
        <v>417</v>
      </c>
      <c r="L36" s="292" t="s">
        <v>274</v>
      </c>
      <c r="M36" s="505" t="s">
        <v>620</v>
      </c>
      <c r="N36" s="293" t="s">
        <v>621</v>
      </c>
      <c r="O36" s="161"/>
    </row>
    <row r="37" spans="2:16" ht="15.75" customHeight="1">
      <c r="G37" s="55"/>
      <c r="K37" s="154" t="s">
        <v>275</v>
      </c>
      <c r="L37" s="114">
        <v>50.5</v>
      </c>
      <c r="M37" s="527">
        <f>T32</f>
        <v>1.8462962962962961</v>
      </c>
      <c r="N37" s="522">
        <f>(('Trafikkdata, nullalt.'!D39+'Trafikkdata, nullalt.'!H39+'Trafikkdata, nullalt.'!L39+'Trafikkdata, nullalt.'!P39+'Trafikkdata, nullalt.'!T39)/5)/60</f>
        <v>1.4907407407407409</v>
      </c>
      <c r="O37" s="161"/>
    </row>
    <row r="38" spans="2:16" ht="15.75" customHeight="1">
      <c r="G38" s="55"/>
      <c r="K38" s="155" t="s">
        <v>276</v>
      </c>
      <c r="L38" s="115">
        <v>50.1</v>
      </c>
      <c r="M38" s="528"/>
      <c r="N38" s="523"/>
    </row>
    <row r="39" spans="2:16">
      <c r="B39" s="318" t="s">
        <v>8</v>
      </c>
      <c r="C39" s="272" t="s">
        <v>156</v>
      </c>
      <c r="D39" s="272" t="s">
        <v>157</v>
      </c>
      <c r="E39" s="272" t="s">
        <v>158</v>
      </c>
      <c r="F39" s="273" t="s">
        <v>225</v>
      </c>
      <c r="G39" s="55"/>
      <c r="H39" s="55"/>
      <c r="I39" s="55"/>
      <c r="K39" s="500"/>
      <c r="L39" s="501"/>
      <c r="M39" s="499"/>
      <c r="N39" s="503"/>
    </row>
    <row r="40" spans="2:16" ht="15.75" customHeight="1">
      <c r="B40" s="319" t="s">
        <v>159</v>
      </c>
      <c r="C40" s="320">
        <f>$C$8/($C$6*$C$7*8)</f>
        <v>263.07273261956169</v>
      </c>
      <c r="D40" s="320">
        <f>$C$8/($C$6*$C$7*8)</f>
        <v>263.07273261956169</v>
      </c>
      <c r="E40" s="320">
        <f>$C$8/($C$6*$C$7*8)</f>
        <v>263.07273261956169</v>
      </c>
      <c r="F40" s="321">
        <f>$C$8/($C$6*$C$7*8)</f>
        <v>263.07273261956169</v>
      </c>
      <c r="H40" s="55"/>
      <c r="I40" s="55"/>
      <c r="K40" s="156" t="s">
        <v>277</v>
      </c>
      <c r="L40" s="117">
        <v>27.1</v>
      </c>
      <c r="M40" s="529">
        <f>U32</f>
        <v>1.0055555555555555</v>
      </c>
      <c r="N40" s="523">
        <f>(('Trafikkdata, nullalt.'!D74+'Trafikkdata, nullalt.'!H74+'Trafikkdata, nullalt.'!L74+'Trafikkdata, nullalt.'!P74+'Trafikkdata, nullalt.'!T74)/5)/60</f>
        <v>0.94537037037037019</v>
      </c>
    </row>
    <row r="41" spans="2:16" ht="15" customHeight="1">
      <c r="B41" s="319" t="s">
        <v>488</v>
      </c>
      <c r="C41" s="320">
        <f>C40*(1+Lønn!$R$6)</f>
        <v>277.84380126748766</v>
      </c>
      <c r="D41" s="320">
        <f>D40*(1+Lønn!$R$6)</f>
        <v>277.84380126748766</v>
      </c>
      <c r="E41" s="320">
        <f>E40*(1+Lønn!$R$6)</f>
        <v>277.84380126748766</v>
      </c>
      <c r="F41" s="321">
        <f>F40*(1+Lønn!$R$6)</f>
        <v>277.84380126748766</v>
      </c>
      <c r="H41" s="55"/>
      <c r="I41" s="55"/>
      <c r="K41" s="155" t="s">
        <v>278</v>
      </c>
      <c r="L41" s="118">
        <v>30.2</v>
      </c>
      <c r="M41" s="528"/>
      <c r="N41" s="523"/>
      <c r="P41" s="218" t="s">
        <v>500</v>
      </c>
    </row>
    <row r="42" spans="2:16" ht="15" customHeight="1">
      <c r="B42" s="319" t="s">
        <v>155</v>
      </c>
      <c r="C42" s="322">
        <f>C36</f>
        <v>1.9296296296296294</v>
      </c>
      <c r="D42" s="322">
        <f t="shared" ref="D42:F42" si="13">D36</f>
        <v>1.0888888888888888</v>
      </c>
      <c r="E42" s="322">
        <f t="shared" si="13"/>
        <v>1.9185185185185183</v>
      </c>
      <c r="F42" s="323">
        <f t="shared" si="13"/>
        <v>1.4092592592592592</v>
      </c>
      <c r="H42" s="55"/>
      <c r="I42" s="55"/>
      <c r="K42" s="502"/>
      <c r="L42" s="501"/>
      <c r="M42" s="499"/>
      <c r="N42" s="503"/>
    </row>
    <row r="43" spans="2:16" ht="15.75" customHeight="1">
      <c r="B43" s="324" t="s">
        <v>457</v>
      </c>
      <c r="C43" s="325">
        <f>C40*C42</f>
        <v>507.63293961033935</v>
      </c>
      <c r="D43" s="325">
        <f t="shared" ref="D43:F43" si="14">D40*D42</f>
        <v>286.45697551907824</v>
      </c>
      <c r="E43" s="325">
        <f t="shared" si="14"/>
        <v>504.70990924789976</v>
      </c>
      <c r="F43" s="326">
        <f t="shared" si="14"/>
        <v>370.73768430275265</v>
      </c>
      <c r="K43" s="156" t="s">
        <v>279</v>
      </c>
      <c r="L43" s="116">
        <v>53.6</v>
      </c>
      <c r="M43" s="529">
        <f>V32</f>
        <v>1.835185185185185</v>
      </c>
      <c r="N43" s="523">
        <f>(('Trafikkdata, nullalt.'!D108+'Trafikkdata, nullalt.'!H108+'Trafikkdata, nullalt.'!P108+'Trafikkdata, nullalt.'!T108)/5)/60</f>
        <v>1.3032407407407409</v>
      </c>
    </row>
    <row r="44" spans="2:16" ht="15" customHeight="1">
      <c r="F44" s="55"/>
      <c r="K44" s="157" t="s">
        <v>280</v>
      </c>
      <c r="L44" s="115">
        <v>54.3</v>
      </c>
      <c r="M44" s="528"/>
      <c r="N44" s="523"/>
    </row>
    <row r="45" spans="2:16" ht="15" customHeight="1">
      <c r="F45" s="55"/>
      <c r="K45" s="502"/>
      <c r="L45" s="501"/>
      <c r="M45" s="499"/>
      <c r="N45" s="503"/>
    </row>
    <row r="46" spans="2:16" ht="15.75" customHeight="1">
      <c r="B46" s="313" t="s">
        <v>493</v>
      </c>
      <c r="C46" s="314" t="s">
        <v>156</v>
      </c>
      <c r="D46" s="314" t="s">
        <v>157</v>
      </c>
      <c r="E46" s="314" t="s">
        <v>158</v>
      </c>
      <c r="F46" s="315" t="s">
        <v>225</v>
      </c>
      <c r="K46" s="158" t="s">
        <v>281</v>
      </c>
      <c r="L46" s="116">
        <f>(35.1+37.8)/2</f>
        <v>36.450000000000003</v>
      </c>
      <c r="M46" s="529">
        <f>W32</f>
        <v>1.325925925925926</v>
      </c>
      <c r="N46" s="523">
        <f>(('Trafikkdata, nullalt.'!D142+'Trafikkdata, nullalt.'!H142+'Trafikkdata, nullalt.'!L142+'Trafikkdata, nullalt.'!P142+'Trafikkdata, nullalt.'!T142)/5)/60</f>
        <v>1.2129629629629628</v>
      </c>
    </row>
    <row r="47" spans="2:16" ht="15" customHeight="1">
      <c r="B47" s="160" t="s">
        <v>1</v>
      </c>
      <c r="C47" s="274">
        <f>C31*$C$18</f>
        <v>631.16206100149122</v>
      </c>
      <c r="D47" s="274">
        <f>D31*$C$18</f>
        <v>359.49886774737024</v>
      </c>
      <c r="E47" s="274">
        <f>E31*$C$18</f>
        <v>676.96209127297118</v>
      </c>
      <c r="F47" s="275">
        <f>F31*$C$18</f>
        <v>463.01948411441401</v>
      </c>
      <c r="K47" s="157" t="s">
        <v>282</v>
      </c>
      <c r="L47" s="115">
        <f>(35.8+38.9)/2</f>
        <v>37.349999999999994</v>
      </c>
      <c r="M47" s="528"/>
      <c r="N47" s="524"/>
    </row>
    <row r="48" spans="2:16" ht="15" customHeight="1">
      <c r="B48" s="160" t="s">
        <v>6</v>
      </c>
      <c r="C48" s="276">
        <f>C31*$C$27</f>
        <v>1029.321146032509</v>
      </c>
      <c r="D48" s="276">
        <f>D31*$C$27</f>
        <v>586.2833167759718</v>
      </c>
      <c r="E48" s="276">
        <f>E31*$C$27</f>
        <v>1104.0134359533572</v>
      </c>
      <c r="F48" s="277">
        <f>F31*$C$27</f>
        <v>755.10835563816261</v>
      </c>
      <c r="M48" s="14"/>
      <c r="N48" s="14"/>
    </row>
    <row r="49" spans="2:16">
      <c r="B49" s="160" t="s">
        <v>41</v>
      </c>
      <c r="C49" s="274">
        <f>C43</f>
        <v>507.63293961033935</v>
      </c>
      <c r="D49" s="274">
        <f t="shared" ref="D49:F49" si="15">D43</f>
        <v>286.45697551907824</v>
      </c>
      <c r="E49" s="274">
        <f t="shared" si="15"/>
        <v>504.70990924789976</v>
      </c>
      <c r="F49" s="275">
        <f t="shared" si="15"/>
        <v>370.73768430275265</v>
      </c>
      <c r="N49" s="14"/>
    </row>
    <row r="50" spans="2:16" ht="15" customHeight="1">
      <c r="B50" s="160"/>
      <c r="C50" s="161"/>
      <c r="D50" s="161"/>
      <c r="E50" s="278"/>
      <c r="F50" s="169"/>
    </row>
    <row r="51" spans="2:16" ht="15" customHeight="1">
      <c r="B51" s="174" t="s">
        <v>489</v>
      </c>
      <c r="C51" s="279">
        <f>SUM(C47:C49)</f>
        <v>2168.1161466443396</v>
      </c>
      <c r="D51" s="279">
        <f t="shared" ref="D51:F51" si="16">SUM(D47:D49)</f>
        <v>1232.2391600424203</v>
      </c>
      <c r="E51" s="279">
        <f t="shared" si="16"/>
        <v>2285.685436474228</v>
      </c>
      <c r="F51" s="280">
        <f t="shared" si="16"/>
        <v>1588.8655240553294</v>
      </c>
    </row>
    <row r="52" spans="2:16">
      <c r="B52" s="281"/>
      <c r="C52" s="13"/>
      <c r="D52" s="13"/>
      <c r="E52" s="13"/>
      <c r="F52" s="282"/>
    </row>
    <row r="53" spans="2:16">
      <c r="B53" s="160" t="s">
        <v>490</v>
      </c>
      <c r="C53" s="278">
        <f>C51*1.04</f>
        <v>2254.8407925101133</v>
      </c>
      <c r="D53" s="278">
        <f t="shared" ref="D53" si="17">D51*1.04</f>
        <v>1281.5287264441172</v>
      </c>
      <c r="E53" s="278">
        <f>E51*1.04</f>
        <v>2377.1128539331971</v>
      </c>
      <c r="F53" s="283">
        <f>F51*1.04</f>
        <v>1652.4201450175426</v>
      </c>
    </row>
    <row r="54" spans="2:16">
      <c r="B54" s="158" t="s">
        <v>492</v>
      </c>
      <c r="C54" s="284">
        <f>C53/C42</f>
        <v>1168.5355354658939</v>
      </c>
      <c r="D54" s="284">
        <f>D53/D42</f>
        <v>1176.9141365303119</v>
      </c>
      <c r="E54" s="284">
        <f>E53/E42</f>
        <v>1239.0356574555276</v>
      </c>
      <c r="F54" s="285">
        <f>F53/F42</f>
        <v>1172.5451751767057</v>
      </c>
      <c r="G54" s="10"/>
    </row>
    <row r="55" spans="2:16">
      <c r="B55" s="286" t="s">
        <v>491</v>
      </c>
      <c r="C55" s="287">
        <f>C53/30</f>
        <v>75.161359750337112</v>
      </c>
      <c r="D55" s="287">
        <f>D53/30</f>
        <v>42.717624214803905</v>
      </c>
      <c r="E55" s="287">
        <f>E53/30</f>
        <v>79.237095131106571</v>
      </c>
      <c r="F55" s="288">
        <f>F53/30</f>
        <v>55.080671500584756</v>
      </c>
      <c r="L55" s="226" t="s">
        <v>156</v>
      </c>
      <c r="M55" s="226" t="s">
        <v>157</v>
      </c>
      <c r="N55" s="226" t="s">
        <v>158</v>
      </c>
      <c r="O55" s="226" t="s">
        <v>225</v>
      </c>
      <c r="P55" s="74" t="s">
        <v>28</v>
      </c>
    </row>
    <row r="56" spans="2:16">
      <c r="G56" s="10"/>
      <c r="K56" t="s">
        <v>230</v>
      </c>
      <c r="L56" s="262">
        <f>C32</f>
        <v>1.8462962962962961</v>
      </c>
      <c r="M56" s="262">
        <f>D32</f>
        <v>1.0055555555555555</v>
      </c>
      <c r="N56" s="262">
        <f>E32</f>
        <v>1.835185185185185</v>
      </c>
      <c r="O56" s="262">
        <f>F32</f>
        <v>1.325925925925926</v>
      </c>
      <c r="P56" s="289"/>
    </row>
    <row r="57" spans="2:16">
      <c r="H57" s="10"/>
      <c r="I57" s="10"/>
      <c r="K57" t="s">
        <v>257</v>
      </c>
      <c r="L57" s="220">
        <v>8</v>
      </c>
      <c r="M57" s="220">
        <v>8</v>
      </c>
      <c r="N57" s="220">
        <v>8</v>
      </c>
      <c r="O57" s="220">
        <v>8</v>
      </c>
      <c r="P57" s="289"/>
    </row>
    <row r="58" spans="2:16" ht="15.75">
      <c r="B58" s="327" t="s">
        <v>448</v>
      </c>
      <c r="C58" s="328">
        <f>L37*30</f>
        <v>1515</v>
      </c>
      <c r="D58" s="329">
        <f>L40*30</f>
        <v>813</v>
      </c>
      <c r="E58" s="329">
        <f>L43*30</f>
        <v>1608</v>
      </c>
      <c r="F58" s="330">
        <f>L46*30</f>
        <v>1093.5</v>
      </c>
      <c r="G58" s="333" t="s">
        <v>237</v>
      </c>
      <c r="K58" t="s">
        <v>238</v>
      </c>
      <c r="L58" s="262">
        <f>L57/L56</f>
        <v>4.3329989969909732</v>
      </c>
      <c r="M58" s="262">
        <f>M57/M56</f>
        <v>7.9558011049723758</v>
      </c>
      <c r="N58" s="262">
        <f t="shared" ref="N58:O58" si="18">N57/N56</f>
        <v>4.3592330978809288</v>
      </c>
      <c r="O58" s="262">
        <f t="shared" si="18"/>
        <v>6.033519553072626</v>
      </c>
      <c r="P58" s="289">
        <f>AVERAGE(L58:O58)</f>
        <v>5.670388188229226</v>
      </c>
    </row>
    <row r="59" spans="2:16">
      <c r="B59" s="331" t="s">
        <v>494</v>
      </c>
      <c r="C59" s="332">
        <f>C58*250</f>
        <v>378750</v>
      </c>
      <c r="D59" s="332">
        <f>D58*250</f>
        <v>203250</v>
      </c>
      <c r="E59" s="332">
        <f>E58*250</f>
        <v>402000</v>
      </c>
      <c r="F59" s="332">
        <f>F58*250</f>
        <v>273375</v>
      </c>
      <c r="G59" s="334">
        <f>SUM(C59:F59)</f>
        <v>1257375</v>
      </c>
      <c r="H59" s="10"/>
      <c r="I59" s="10"/>
      <c r="J59" s="9"/>
    </row>
    <row r="60" spans="2:16">
      <c r="K60" s="217" t="s">
        <v>236</v>
      </c>
      <c r="L60" s="217"/>
      <c r="M60" s="217"/>
      <c r="N60" s="217"/>
      <c r="O60" s="217"/>
      <c r="P60" s="217"/>
    </row>
    <row r="61" spans="2:16">
      <c r="H61" s="309"/>
      <c r="K61" s="64" t="s">
        <v>216</v>
      </c>
      <c r="L61" s="58" t="s">
        <v>156</v>
      </c>
      <c r="M61" s="58" t="s">
        <v>157</v>
      </c>
      <c r="N61" s="58" t="s">
        <v>158</v>
      </c>
      <c r="O61" s="58" t="s">
        <v>225</v>
      </c>
      <c r="P61" s="59" t="s">
        <v>153</v>
      </c>
    </row>
    <row r="62" spans="2:16">
      <c r="G62" s="6"/>
      <c r="H62" s="6"/>
      <c r="I62" s="6"/>
      <c r="J62" s="6"/>
      <c r="K62" s="161" t="s">
        <v>220</v>
      </c>
      <c r="L62" s="51">
        <f>C66*(C31/2)</f>
        <v>12575</v>
      </c>
      <c r="M62" s="51">
        <f>D66*(D31/2)</f>
        <v>7162.5</v>
      </c>
      <c r="N62" s="51">
        <f>E66*(E31/2)</f>
        <v>13487.5</v>
      </c>
      <c r="O62" s="51">
        <f>F66*(F31/2)</f>
        <v>9225</v>
      </c>
      <c r="P62" s="60">
        <f>SUM(L62+M62+N62+O62)</f>
        <v>42450</v>
      </c>
    </row>
    <row r="63" spans="2:16">
      <c r="B63" s="149"/>
      <c r="C63" s="425" t="s">
        <v>156</v>
      </c>
      <c r="D63" s="425" t="s">
        <v>157</v>
      </c>
      <c r="E63" s="426" t="s">
        <v>158</v>
      </c>
      <c r="F63" s="426" t="s">
        <v>225</v>
      </c>
      <c r="G63" s="6"/>
      <c r="H63" s="6"/>
      <c r="I63" s="6"/>
      <c r="J63" s="6"/>
      <c r="K63" s="61" t="s">
        <v>226</v>
      </c>
      <c r="L63" s="52">
        <f>L62/$P$62</f>
        <v>0.29623085983510011</v>
      </c>
      <c r="M63" s="52">
        <f>M62/$P$62</f>
        <v>0.1687279151943463</v>
      </c>
      <c r="N63" s="52">
        <f>N62/$P$62</f>
        <v>0.31772673733804474</v>
      </c>
      <c r="O63" s="52">
        <f>O62/$P$62</f>
        <v>0.21731448763250882</v>
      </c>
      <c r="P63" s="62">
        <f>P62/$P$62</f>
        <v>1</v>
      </c>
    </row>
    <row r="64" spans="2:16">
      <c r="B64" s="149" t="s">
        <v>162</v>
      </c>
      <c r="C64" s="427">
        <f>(100/4)/100</f>
        <v>0.25</v>
      </c>
      <c r="D64" s="427">
        <f t="shared" ref="D64:F64" si="19">(100/4)/100</f>
        <v>0.25</v>
      </c>
      <c r="E64" s="427">
        <f t="shared" si="19"/>
        <v>0.25</v>
      </c>
      <c r="F64" s="427">
        <f t="shared" si="19"/>
        <v>0.25</v>
      </c>
      <c r="K64" s="161" t="s">
        <v>221</v>
      </c>
      <c r="L64" s="51">
        <f>C66*(C31/2)</f>
        <v>12575</v>
      </c>
      <c r="M64" s="51">
        <f>D66*(D31/2)</f>
        <v>7162.5</v>
      </c>
      <c r="N64" s="51">
        <f>E66*(E31/2)</f>
        <v>13487.5</v>
      </c>
      <c r="O64" s="51">
        <f>F66*(F31/2)</f>
        <v>9225</v>
      </c>
      <c r="P64" s="60">
        <f>SUM(L64:O64)</f>
        <v>42450</v>
      </c>
    </row>
    <row r="65" spans="2:17">
      <c r="B65" s="149" t="s">
        <v>161</v>
      </c>
      <c r="C65" s="428">
        <f>$L$6*C64</f>
        <v>7500</v>
      </c>
      <c r="D65" s="428">
        <f>$L$6*D64</f>
        <v>7500</v>
      </c>
      <c r="E65" s="428">
        <f>$L$6*E64</f>
        <v>7500</v>
      </c>
      <c r="F65" s="428">
        <f>$L$6*F64</f>
        <v>7500</v>
      </c>
      <c r="K65" s="61" t="s">
        <v>226</v>
      </c>
      <c r="L65" s="52">
        <f>L64/$P$64</f>
        <v>0.29623085983510011</v>
      </c>
      <c r="M65" s="52">
        <f>M64/$P$64</f>
        <v>0.1687279151943463</v>
      </c>
      <c r="N65" s="52">
        <f>N64/$P$64</f>
        <v>0.31772673733804474</v>
      </c>
      <c r="O65" s="52">
        <f>O64/$P$64</f>
        <v>0.21731448763250882</v>
      </c>
      <c r="P65" s="63">
        <f>P64/$P$64</f>
        <v>1</v>
      </c>
    </row>
    <row r="66" spans="2:17">
      <c r="B66" s="149" t="s">
        <v>163</v>
      </c>
      <c r="C66" s="428">
        <f>C65/$L$7</f>
        <v>250</v>
      </c>
      <c r="D66" s="428">
        <f>D65/$L$7</f>
        <v>250</v>
      </c>
      <c r="E66" s="428">
        <f>E65/$L$7</f>
        <v>250</v>
      </c>
      <c r="F66" s="428">
        <f>F65/$L$7</f>
        <v>250</v>
      </c>
      <c r="P66" s="14"/>
    </row>
    <row r="67" spans="2:17">
      <c r="B67" s="149" t="s">
        <v>459</v>
      </c>
      <c r="C67" s="429">
        <f>C66*M37</f>
        <v>461.57407407407402</v>
      </c>
      <c r="D67" s="429">
        <f>D66*M40</f>
        <v>251.38888888888889</v>
      </c>
      <c r="E67" s="429">
        <f>E66*M43</f>
        <v>458.79629629629625</v>
      </c>
      <c r="F67" s="429">
        <f>F66*M46</f>
        <v>331.48148148148147</v>
      </c>
      <c r="P67" s="14"/>
    </row>
    <row r="68" spans="2:17">
      <c r="B68" s="149" t="s">
        <v>460</v>
      </c>
      <c r="C68" s="430">
        <f>C67/8</f>
        <v>57.696759259259252</v>
      </c>
      <c r="D68" s="430">
        <f t="shared" ref="D68:F68" si="20">D67/8</f>
        <v>31.423611111111111</v>
      </c>
      <c r="E68" s="430">
        <f t="shared" si="20"/>
        <v>57.349537037037031</v>
      </c>
      <c r="F68" s="430">
        <f t="shared" si="20"/>
        <v>41.435185185185183</v>
      </c>
      <c r="P68" s="14"/>
      <c r="Q68" s="161"/>
    </row>
    <row r="69" spans="2:17">
      <c r="H69" s="11"/>
      <c r="I69" s="11"/>
      <c r="J69" s="11"/>
      <c r="Q69" s="161"/>
    </row>
    <row r="70" spans="2:17">
      <c r="K70" s="13"/>
      <c r="L70" s="270"/>
      <c r="M70" s="270"/>
      <c r="N70" s="270"/>
      <c r="O70" s="270"/>
      <c r="P70" s="9"/>
      <c r="Q70" s="161"/>
    </row>
    <row r="71" spans="2:17">
      <c r="H71" s="161"/>
      <c r="I71" s="161"/>
      <c r="J71" s="7"/>
      <c r="K71" s="398" t="s">
        <v>422</v>
      </c>
      <c r="L71" s="398"/>
      <c r="M71" s="398"/>
      <c r="N71" s="399" t="s">
        <v>528</v>
      </c>
      <c r="O71" s="399" t="s">
        <v>529</v>
      </c>
      <c r="P71" s="199" t="s">
        <v>423</v>
      </c>
      <c r="Q71" s="161"/>
    </row>
    <row r="72" spans="2:17">
      <c r="B72" s="520" t="s">
        <v>527</v>
      </c>
      <c r="C72" s="521"/>
      <c r="D72" s="521"/>
      <c r="E72" s="521"/>
      <c r="F72" s="521"/>
      <c r="G72" s="409" t="s">
        <v>237</v>
      </c>
      <c r="K72" s="13"/>
      <c r="L72" s="13"/>
      <c r="M72" s="13"/>
      <c r="N72" s="399"/>
      <c r="O72" s="200"/>
      <c r="P72" s="399"/>
      <c r="Q72" s="161"/>
    </row>
    <row r="73" spans="2:17">
      <c r="B73" s="160" t="s">
        <v>523</v>
      </c>
      <c r="C73" s="278">
        <f>(C55*C65)</f>
        <v>563710.1981275283</v>
      </c>
      <c r="D73" s="278">
        <f t="shared" ref="D73:E73" si="21">(D55*D65)</f>
        <v>320382.18161102931</v>
      </c>
      <c r="E73" s="278">
        <f t="shared" si="21"/>
        <v>594278.21348329925</v>
      </c>
      <c r="F73" s="278">
        <f>(F55*F65)</f>
        <v>413105.03625438566</v>
      </c>
      <c r="G73" s="280">
        <f>SUM(C73:F73)</f>
        <v>1891475.6294762425</v>
      </c>
      <c r="K73" s="13"/>
      <c r="L73" s="270"/>
      <c r="M73" s="270"/>
      <c r="N73" s="399">
        <v>32</v>
      </c>
      <c r="O73" s="413">
        <v>0.26</v>
      </c>
      <c r="P73" s="399">
        <v>0.16400000000000001</v>
      </c>
      <c r="Q73" s="161"/>
    </row>
    <row r="74" spans="2:17">
      <c r="B74" s="171" t="s">
        <v>524</v>
      </c>
      <c r="C74" s="366">
        <f>(C55*C65)</f>
        <v>563710.1981275283</v>
      </c>
      <c r="D74" s="366">
        <f t="shared" ref="D74:F74" si="22">(D55*D65)</f>
        <v>320382.18161102931</v>
      </c>
      <c r="E74" s="366">
        <f t="shared" si="22"/>
        <v>594278.21348329925</v>
      </c>
      <c r="F74" s="366">
        <f t="shared" si="22"/>
        <v>413105.03625438566</v>
      </c>
      <c r="G74" s="288">
        <f>SUM(C74:F74)</f>
        <v>1891475.6294762425</v>
      </c>
      <c r="K74" s="13"/>
      <c r="L74" s="13"/>
      <c r="M74" s="13"/>
      <c r="N74" s="399"/>
      <c r="O74" s="399"/>
      <c r="P74" s="399"/>
      <c r="Q74" s="161"/>
    </row>
    <row r="75" spans="2:17">
      <c r="L75" s="22"/>
      <c r="N75" s="399"/>
      <c r="O75" s="200"/>
      <c r="P75" s="399"/>
      <c r="Q75" s="161"/>
    </row>
    <row r="76" spans="2:17" ht="15.75" thickBot="1">
      <c r="B76" s="415" t="s">
        <v>525</v>
      </c>
      <c r="C76" s="416"/>
      <c r="D76" s="416"/>
      <c r="E76" s="416"/>
      <c r="F76" s="416"/>
      <c r="G76" s="408">
        <f>SUM(G73+G74)</f>
        <v>3782951.2589524849</v>
      </c>
      <c r="N76" s="399">
        <v>50</v>
      </c>
      <c r="O76" s="413">
        <v>0.53</v>
      </c>
      <c r="P76" s="399">
        <v>8.6599999999999996E-2</v>
      </c>
      <c r="Q76" s="161"/>
    </row>
    <row r="77" spans="2:17" ht="15.75" thickTop="1">
      <c r="Q77" s="161"/>
    </row>
    <row r="78" spans="2:17">
      <c r="Q78" s="13"/>
    </row>
    <row r="79" spans="2:17">
      <c r="B79" s="525" t="s">
        <v>526</v>
      </c>
      <c r="C79" s="526"/>
      <c r="D79" s="526"/>
      <c r="E79" s="526"/>
      <c r="F79" s="526"/>
      <c r="G79" s="441" t="s">
        <v>237</v>
      </c>
      <c r="P79" s="399"/>
      <c r="Q79" s="13"/>
    </row>
    <row r="80" spans="2:17">
      <c r="B80" s="160" t="s">
        <v>523</v>
      </c>
      <c r="C80" s="357">
        <f>(C59)*$P$76</f>
        <v>32799.75</v>
      </c>
      <c r="D80" s="357">
        <f>(D59)*$P$76</f>
        <v>17601.45</v>
      </c>
      <c r="E80" s="357">
        <f>(E59)*$P$76</f>
        <v>34813.199999999997</v>
      </c>
      <c r="F80" s="357">
        <f>(F59)*$P$76</f>
        <v>23674.274999999998</v>
      </c>
      <c r="G80" s="411">
        <f>SUM(C80:F80)</f>
        <v>108888.67499999999</v>
      </c>
      <c r="Q80" s="13"/>
    </row>
    <row r="81" spans="2:17">
      <c r="B81" s="171" t="s">
        <v>524</v>
      </c>
      <c r="C81" s="410">
        <f>(C59)*$P$76</f>
        <v>32799.75</v>
      </c>
      <c r="D81" s="410">
        <f>(D59)*$P$76</f>
        <v>17601.45</v>
      </c>
      <c r="E81" s="410">
        <f>(E59)*$P$76</f>
        <v>34813.199999999997</v>
      </c>
      <c r="F81" s="410">
        <f>(F59)*$P$76</f>
        <v>23674.274999999998</v>
      </c>
      <c r="G81" s="412">
        <f>SUM(C81:F81)</f>
        <v>108888.67499999999</v>
      </c>
      <c r="Q81" s="13"/>
    </row>
    <row r="82" spans="2:17">
      <c r="B82" s="507" t="s">
        <v>530</v>
      </c>
      <c r="C82" s="212"/>
      <c r="D82" s="212"/>
      <c r="E82" s="212"/>
      <c r="F82" s="212"/>
      <c r="G82" s="506">
        <f>G80+G81</f>
        <v>217777.34999999998</v>
      </c>
      <c r="Q82" s="13"/>
    </row>
    <row r="83" spans="2:17">
      <c r="K83" s="13"/>
      <c r="L83" s="13"/>
      <c r="M83" s="13"/>
      <c r="N83" s="13"/>
      <c r="O83" s="13"/>
      <c r="P83" s="13"/>
      <c r="Q83" s="13"/>
    </row>
    <row r="84" spans="2:17">
      <c r="Q84" s="13"/>
    </row>
    <row r="85" spans="2:17">
      <c r="Q85" s="13"/>
    </row>
    <row r="86" spans="2:17">
      <c r="Q86" s="13"/>
    </row>
    <row r="87" spans="2:17">
      <c r="B87" s="510" t="s">
        <v>571</v>
      </c>
      <c r="C87" s="511"/>
      <c r="D87" s="511"/>
      <c r="E87" s="512"/>
      <c r="F87" s="399"/>
      <c r="G87" s="199"/>
      <c r="Q87" s="166"/>
    </row>
    <row r="88" spans="2:17">
      <c r="B88" s="160" t="s">
        <v>565</v>
      </c>
      <c r="C88" s="161" t="s">
        <v>569</v>
      </c>
      <c r="D88" s="161" t="s">
        <v>568</v>
      </c>
      <c r="E88" s="437" t="s">
        <v>570</v>
      </c>
      <c r="F88" s="399"/>
      <c r="G88" s="399"/>
      <c r="K88" s="166"/>
      <c r="L88" s="166"/>
      <c r="M88" s="166"/>
      <c r="N88" s="166"/>
      <c r="O88" s="166"/>
      <c r="P88" s="166"/>
      <c r="Q88" s="13"/>
    </row>
    <row r="89" spans="2:17">
      <c r="B89" s="160" t="s">
        <v>566</v>
      </c>
      <c r="C89" s="276">
        <v>300</v>
      </c>
      <c r="D89" s="276">
        <f>L6</f>
        <v>30000</v>
      </c>
      <c r="E89" s="391">
        <f>C89*D89</f>
        <v>9000000</v>
      </c>
      <c r="F89" s="200"/>
      <c r="G89" s="399"/>
      <c r="K89" s="13"/>
      <c r="L89" s="13"/>
      <c r="M89" s="13"/>
      <c r="N89" s="13"/>
      <c r="O89" s="13"/>
      <c r="P89" s="13"/>
      <c r="Q89" s="13"/>
    </row>
    <row r="90" spans="2:17">
      <c r="B90" s="160" t="s">
        <v>567</v>
      </c>
      <c r="C90" s="276">
        <f>'Deponi, prisliste'!C14</f>
        <v>1638</v>
      </c>
      <c r="D90" s="276">
        <v>30000</v>
      </c>
      <c r="E90" s="391">
        <f>C90*D90</f>
        <v>49140000</v>
      </c>
      <c r="F90" s="399"/>
      <c r="G90" s="399"/>
      <c r="K90" s="13"/>
      <c r="L90" s="13"/>
      <c r="M90" s="13"/>
      <c r="N90" s="13"/>
      <c r="O90" s="13"/>
      <c r="P90" s="13"/>
      <c r="Q90" s="13"/>
    </row>
    <row r="91" spans="2:17">
      <c r="B91" s="160"/>
      <c r="C91" s="161"/>
      <c r="D91" s="161"/>
      <c r="E91" s="169"/>
      <c r="F91" s="399"/>
      <c r="G91" s="399"/>
      <c r="K91" s="13"/>
      <c r="L91" s="13"/>
      <c r="M91" s="13"/>
      <c r="N91" s="13"/>
      <c r="O91" s="13"/>
      <c r="P91" s="13"/>
      <c r="Q91" s="13"/>
    </row>
    <row r="92" spans="2:17" ht="15.75" thickBot="1">
      <c r="B92" s="438" t="s">
        <v>237</v>
      </c>
      <c r="C92" s="436"/>
      <c r="D92" s="436"/>
      <c r="E92" s="439">
        <f>SUM(E89:E90)</f>
        <v>58140000</v>
      </c>
      <c r="F92" s="200"/>
      <c r="G92" s="399"/>
      <c r="K92" s="13"/>
      <c r="L92" s="13"/>
      <c r="M92" s="13"/>
      <c r="N92" s="13"/>
      <c r="O92" s="13"/>
      <c r="P92" s="13"/>
      <c r="Q92" s="13"/>
    </row>
    <row r="93" spans="2:17" ht="15.75" thickTop="1">
      <c r="K93" s="13"/>
      <c r="L93" s="13"/>
      <c r="M93" s="13"/>
      <c r="N93" s="13"/>
      <c r="O93" s="13"/>
      <c r="P93" s="13"/>
      <c r="Q93" s="13"/>
    </row>
    <row r="94" spans="2:17">
      <c r="K94" s="13"/>
      <c r="L94" s="13"/>
      <c r="M94" s="13"/>
      <c r="N94" s="13"/>
      <c r="O94" s="13"/>
      <c r="P94" s="13"/>
      <c r="Q94" s="13"/>
    </row>
    <row r="96" spans="2:17">
      <c r="B96" s="198"/>
      <c r="Q96" s="161"/>
    </row>
    <row r="97" spans="17:17">
      <c r="Q97" s="161"/>
    </row>
    <row r="98" spans="17:17">
      <c r="Q98" s="161"/>
    </row>
    <row r="99" spans="17:17">
      <c r="Q99" s="161"/>
    </row>
  </sheetData>
  <mergeCells count="15">
    <mergeCell ref="B87:E87"/>
    <mergeCell ref="Y24:AA24"/>
    <mergeCell ref="B2:E2"/>
    <mergeCell ref="K17:P17"/>
    <mergeCell ref="K25:P25"/>
    <mergeCell ref="B72:F72"/>
    <mergeCell ref="N37:N38"/>
    <mergeCell ref="N46:N47"/>
    <mergeCell ref="N43:N44"/>
    <mergeCell ref="N40:N41"/>
    <mergeCell ref="B79:F79"/>
    <mergeCell ref="M37:M38"/>
    <mergeCell ref="M40:M41"/>
    <mergeCell ref="M43:M44"/>
    <mergeCell ref="M46:M47"/>
  </mergeCells>
  <phoneticPr fontId="32" type="noConversion"/>
  <pageMargins left="0.7" right="0.7" top="0.75" bottom="0.75" header="0.3" footer="0.3"/>
  <pageSetup paperSize="9" orientation="portrait"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2"/>
  <sheetViews>
    <sheetView topLeftCell="A4" zoomScale="90" zoomScaleNormal="90" workbookViewId="0">
      <selection activeCell="C36" sqref="C36"/>
    </sheetView>
  </sheetViews>
  <sheetFormatPr defaultColWidth="11.42578125" defaultRowHeight="15"/>
  <cols>
    <col min="2" max="2" width="36.28515625" customWidth="1"/>
    <col min="3" max="3" width="19.85546875" customWidth="1"/>
    <col min="11" max="12" width="11.42578125" customWidth="1"/>
  </cols>
  <sheetData>
    <row r="3" spans="2:10">
      <c r="B3" s="604" t="s">
        <v>151</v>
      </c>
      <c r="C3" s="604"/>
    </row>
    <row r="4" spans="2:10">
      <c r="C4" s="6"/>
      <c r="D4" s="6"/>
      <c r="E4" s="6"/>
      <c r="F4" s="6"/>
      <c r="G4" s="6"/>
      <c r="H4" s="6"/>
      <c r="I4" s="6"/>
      <c r="J4" s="12"/>
    </row>
    <row r="5" spans="2:10">
      <c r="B5" s="6" t="s">
        <v>150</v>
      </c>
      <c r="C5" s="6"/>
      <c r="D5" s="6"/>
      <c r="J5" s="12"/>
    </row>
    <row r="6" spans="2:10">
      <c r="J6" s="12"/>
    </row>
    <row r="7" spans="2:10">
      <c r="B7" s="17" t="s">
        <v>129</v>
      </c>
      <c r="C7" s="17" t="s">
        <v>149</v>
      </c>
      <c r="J7" s="12"/>
    </row>
    <row r="8" spans="2:10">
      <c r="B8" t="s">
        <v>130</v>
      </c>
      <c r="C8" s="18">
        <v>2127</v>
      </c>
      <c r="J8" s="12"/>
    </row>
    <row r="9" spans="2:10">
      <c r="B9" t="s">
        <v>131</v>
      </c>
      <c r="C9" s="18">
        <v>175</v>
      </c>
      <c r="J9" s="12"/>
    </row>
    <row r="10" spans="2:10">
      <c r="B10" t="s">
        <v>132</v>
      </c>
      <c r="C10" s="18">
        <v>292</v>
      </c>
      <c r="J10" s="12"/>
    </row>
    <row r="11" spans="2:10">
      <c r="B11" t="s">
        <v>133</v>
      </c>
      <c r="C11" s="18">
        <v>520</v>
      </c>
      <c r="J11" s="12"/>
    </row>
    <row r="12" spans="2:10">
      <c r="B12" t="s">
        <v>134</v>
      </c>
      <c r="C12" s="18">
        <v>307</v>
      </c>
      <c r="J12" s="12"/>
    </row>
    <row r="13" spans="2:10">
      <c r="B13" t="s">
        <v>135</v>
      </c>
      <c r="C13" s="18">
        <v>852</v>
      </c>
      <c r="J13" s="12"/>
    </row>
    <row r="14" spans="2:10">
      <c r="B14" t="s">
        <v>258</v>
      </c>
      <c r="C14" s="18">
        <v>1638</v>
      </c>
      <c r="J14" s="12"/>
    </row>
    <row r="15" spans="2:10">
      <c r="B15" t="s">
        <v>136</v>
      </c>
      <c r="C15" s="18">
        <v>1886</v>
      </c>
      <c r="J15" s="12"/>
    </row>
    <row r="16" spans="2:10">
      <c r="B16" t="s">
        <v>137</v>
      </c>
      <c r="C16" s="18">
        <v>777</v>
      </c>
      <c r="J16" s="12"/>
    </row>
    <row r="17" spans="2:10">
      <c r="B17" t="s">
        <v>138</v>
      </c>
      <c r="C17" s="18">
        <v>804</v>
      </c>
      <c r="J17" s="12"/>
    </row>
    <row r="18" spans="2:10">
      <c r="B18" t="s">
        <v>139</v>
      </c>
      <c r="C18" s="18">
        <v>1502</v>
      </c>
      <c r="J18" s="12"/>
    </row>
    <row r="19" spans="2:10">
      <c r="B19" t="s">
        <v>140</v>
      </c>
      <c r="C19" s="18">
        <v>1130</v>
      </c>
      <c r="J19" s="12"/>
    </row>
    <row r="20" spans="2:10">
      <c r="B20" t="s">
        <v>141</v>
      </c>
      <c r="C20" s="18">
        <v>1255</v>
      </c>
      <c r="J20" s="12"/>
    </row>
    <row r="21" spans="2:10">
      <c r="B21" s="16" t="s">
        <v>142</v>
      </c>
      <c r="C21" s="19">
        <v>803</v>
      </c>
      <c r="J21" s="12"/>
    </row>
    <row r="22" spans="2:10">
      <c r="B22" t="s">
        <v>143</v>
      </c>
      <c r="C22" s="18">
        <v>2020</v>
      </c>
      <c r="J22" s="12"/>
    </row>
    <row r="23" spans="2:10">
      <c r="B23" t="s">
        <v>144</v>
      </c>
      <c r="C23" s="18">
        <v>1847</v>
      </c>
      <c r="J23" s="12"/>
    </row>
    <row r="24" spans="2:10">
      <c r="B24" t="s">
        <v>145</v>
      </c>
      <c r="C24" s="18">
        <v>574</v>
      </c>
      <c r="J24" s="12"/>
    </row>
    <row r="25" spans="2:10">
      <c r="B25" t="s">
        <v>146</v>
      </c>
      <c r="C25" s="18">
        <v>574</v>
      </c>
    </row>
    <row r="26" spans="2:10">
      <c r="B26" t="s">
        <v>147</v>
      </c>
      <c r="C26" s="18">
        <v>2348</v>
      </c>
    </row>
    <row r="27" spans="2:10">
      <c r="B27" t="s">
        <v>148</v>
      </c>
      <c r="C27" s="18">
        <v>1144</v>
      </c>
    </row>
    <row r="29" spans="2:10">
      <c r="B29" s="20" t="s">
        <v>152</v>
      </c>
      <c r="C29" s="21">
        <v>300</v>
      </c>
    </row>
    <row r="37" spans="3:3">
      <c r="C37" s="23"/>
    </row>
    <row r="38" spans="3:3">
      <c r="C38" s="208"/>
    </row>
    <row r="42" spans="3:3">
      <c r="C42" s="208"/>
    </row>
    <row r="55" spans="2:8">
      <c r="B55" s="119"/>
      <c r="C55" s="119"/>
      <c r="D55" s="119"/>
      <c r="E55" s="119"/>
      <c r="F55" s="119"/>
      <c r="G55" s="119"/>
    </row>
    <row r="56" spans="2:8">
      <c r="B56" s="8"/>
      <c r="C56" s="8"/>
      <c r="D56" s="8"/>
      <c r="E56" s="8"/>
      <c r="F56" s="8"/>
      <c r="G56" s="8"/>
      <c r="H56" s="8"/>
    </row>
    <row r="57" spans="2:8">
      <c r="B57" s="13"/>
      <c r="C57" s="13"/>
      <c r="D57" s="13"/>
      <c r="E57" s="13"/>
      <c r="F57" s="207"/>
      <c r="G57" s="13"/>
    </row>
    <row r="58" spans="2:8">
      <c r="B58" s="13"/>
      <c r="C58" s="13"/>
      <c r="D58" s="13"/>
      <c r="E58" s="13"/>
      <c r="F58" s="207"/>
      <c r="G58" s="13"/>
    </row>
    <row r="59" spans="2:8">
      <c r="B59" s="13"/>
      <c r="C59" s="13"/>
      <c r="D59" s="13"/>
      <c r="E59" s="13"/>
      <c r="F59" s="207"/>
      <c r="G59" s="13"/>
    </row>
    <row r="60" spans="2:8">
      <c r="B60" s="13"/>
      <c r="C60" s="13"/>
      <c r="D60" s="13"/>
      <c r="E60" s="13"/>
      <c r="F60" s="207"/>
      <c r="G60" s="13"/>
    </row>
    <row r="61" spans="2:8">
      <c r="B61" s="13"/>
      <c r="C61" s="13"/>
      <c r="D61" s="13"/>
      <c r="E61" s="13"/>
      <c r="F61" s="13"/>
      <c r="G61" s="13"/>
    </row>
    <row r="62" spans="2:8">
      <c r="B62" s="13"/>
      <c r="C62" s="13"/>
      <c r="D62" s="13"/>
      <c r="E62" s="13"/>
      <c r="F62" s="13"/>
      <c r="G62" s="13"/>
    </row>
  </sheetData>
  <mergeCells count="1">
    <mergeCell ref="B3:C3"/>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46"/>
  <sheetViews>
    <sheetView zoomScale="88" workbookViewId="0">
      <selection activeCell="R45" sqref="R45"/>
    </sheetView>
  </sheetViews>
  <sheetFormatPr defaultColWidth="11.42578125" defaultRowHeight="15"/>
  <cols>
    <col min="1" max="1" width="12.85546875" customWidth="1"/>
    <col min="2" max="2" width="17.7109375" customWidth="1"/>
    <col min="3" max="3" width="27.28515625" customWidth="1"/>
    <col min="4" max="20" width="12.85546875" customWidth="1"/>
  </cols>
  <sheetData>
    <row r="2" spans="2:25">
      <c r="B2" s="205"/>
      <c r="C2" s="205"/>
      <c r="D2" s="205"/>
      <c r="E2" s="206"/>
      <c r="F2" s="206"/>
      <c r="G2" s="206"/>
      <c r="H2" s="206"/>
      <c r="I2" s="206"/>
      <c r="J2" s="206"/>
      <c r="K2" s="206"/>
      <c r="L2" s="206"/>
      <c r="M2" s="206"/>
      <c r="N2" s="206"/>
      <c r="O2" s="206"/>
      <c r="P2" s="206"/>
      <c r="Q2" s="206"/>
      <c r="R2" s="206"/>
      <c r="S2" s="206"/>
      <c r="T2" s="206"/>
    </row>
    <row r="3" spans="2:25" ht="18">
      <c r="B3" s="201" t="s">
        <v>424</v>
      </c>
      <c r="C3" s="201" t="s">
        <v>425</v>
      </c>
      <c r="D3" s="201" t="s">
        <v>426</v>
      </c>
      <c r="E3" s="202" t="s">
        <v>427</v>
      </c>
      <c r="F3" s="202" t="s">
        <v>428</v>
      </c>
      <c r="G3" s="202" t="s">
        <v>429</v>
      </c>
      <c r="H3" s="202" t="s">
        <v>430</v>
      </c>
      <c r="I3" s="202" t="s">
        <v>427</v>
      </c>
      <c r="J3" s="202" t="s">
        <v>428</v>
      </c>
      <c r="K3" s="202" t="s">
        <v>429</v>
      </c>
      <c r="L3" s="202" t="s">
        <v>430</v>
      </c>
      <c r="M3" s="202" t="s">
        <v>427</v>
      </c>
      <c r="N3" s="202" t="s">
        <v>428</v>
      </c>
      <c r="O3" s="202" t="s">
        <v>429</v>
      </c>
      <c r="P3" s="202" t="s">
        <v>430</v>
      </c>
      <c r="Q3" s="202" t="s">
        <v>427</v>
      </c>
      <c r="R3" s="202" t="s">
        <v>428</v>
      </c>
      <c r="S3" s="202" t="s">
        <v>429</v>
      </c>
      <c r="T3" s="202" t="s">
        <v>430</v>
      </c>
      <c r="W3" s="534" t="s">
        <v>586</v>
      </c>
      <c r="X3" s="535"/>
      <c r="Y3" s="536"/>
    </row>
    <row r="4" spans="2:25">
      <c r="B4" s="605" t="s">
        <v>441</v>
      </c>
      <c r="C4" s="605" t="s">
        <v>431</v>
      </c>
      <c r="D4" s="202" t="s">
        <v>432</v>
      </c>
      <c r="E4" s="203">
        <v>0.45834999999999998</v>
      </c>
      <c r="F4" s="203">
        <v>0.45130999999999999</v>
      </c>
      <c r="G4" s="203">
        <v>1.6000000000000001E-4</v>
      </c>
      <c r="H4" s="203">
        <v>6.8700000000000002E-3</v>
      </c>
      <c r="I4" s="203">
        <v>0.49758999999999998</v>
      </c>
      <c r="J4" s="203">
        <v>0.49056</v>
      </c>
      <c r="K4" s="203">
        <v>1.6000000000000001E-4</v>
      </c>
      <c r="L4" s="203">
        <v>6.8700000000000002E-3</v>
      </c>
      <c r="M4" s="203">
        <v>0.53683000000000003</v>
      </c>
      <c r="N4" s="203">
        <v>0.52980000000000005</v>
      </c>
      <c r="O4" s="203">
        <v>1.6000000000000001E-4</v>
      </c>
      <c r="P4" s="203">
        <v>6.8700000000000002E-3</v>
      </c>
      <c r="Q4" s="203">
        <v>0.49680000000000002</v>
      </c>
      <c r="R4" s="203">
        <v>0.48976999999999998</v>
      </c>
      <c r="S4" s="203">
        <v>1.6000000000000001E-4</v>
      </c>
      <c r="T4" s="203">
        <v>6.8700000000000002E-3</v>
      </c>
      <c r="W4" s="469" t="s">
        <v>585</v>
      </c>
      <c r="X4" s="470">
        <v>0.2</v>
      </c>
      <c r="Y4" s="471"/>
    </row>
    <row r="5" spans="2:25">
      <c r="B5" s="605"/>
      <c r="C5" s="605"/>
      <c r="D5" s="202" t="s">
        <v>433</v>
      </c>
      <c r="E5" s="203">
        <v>0.73764282240000001</v>
      </c>
      <c r="F5" s="203">
        <v>0.72631304064000002</v>
      </c>
      <c r="G5" s="203">
        <v>2.5749504000000006E-4</v>
      </c>
      <c r="H5" s="203">
        <v>1.1056193280000001E-2</v>
      </c>
      <c r="I5" s="203">
        <v>0.80079348096000003</v>
      </c>
      <c r="J5" s="203">
        <v>0.78947979264000001</v>
      </c>
      <c r="K5" s="203">
        <v>2.5749504000000006E-4</v>
      </c>
      <c r="L5" s="203">
        <v>1.1056193280000001E-2</v>
      </c>
      <c r="M5" s="203">
        <v>0.86394413952000004</v>
      </c>
      <c r="N5" s="203">
        <v>0.85263045120000014</v>
      </c>
      <c r="O5" s="203">
        <v>2.5749504000000006E-4</v>
      </c>
      <c r="P5" s="203">
        <v>1.1056193280000001E-2</v>
      </c>
      <c r="Q5" s="203">
        <v>0.79952209920000006</v>
      </c>
      <c r="R5" s="203">
        <v>0.78820841088000004</v>
      </c>
      <c r="S5" s="203">
        <v>2.5749504000000006E-4</v>
      </c>
      <c r="T5" s="203">
        <v>1.1056193280000001E-2</v>
      </c>
      <c r="W5" s="406">
        <v>10</v>
      </c>
      <c r="X5" s="161">
        <v>98.5</v>
      </c>
      <c r="Y5" s="472">
        <f>X5-X6</f>
        <v>7.7000000000000028</v>
      </c>
    </row>
    <row r="6" spans="2:25">
      <c r="B6" s="605"/>
      <c r="C6" s="605" t="s">
        <v>434</v>
      </c>
      <c r="D6" s="202" t="s">
        <v>432</v>
      </c>
      <c r="E6" s="203">
        <v>0.55083000000000004</v>
      </c>
      <c r="F6" s="203">
        <v>0.54225999999999996</v>
      </c>
      <c r="G6" s="203">
        <v>2.0000000000000001E-4</v>
      </c>
      <c r="H6" s="203">
        <v>8.3800000000000003E-3</v>
      </c>
      <c r="I6" s="203">
        <v>0.62829999999999997</v>
      </c>
      <c r="J6" s="203">
        <v>0.61972000000000005</v>
      </c>
      <c r="K6" s="203">
        <v>2.0000000000000001E-4</v>
      </c>
      <c r="L6" s="203">
        <v>8.3800000000000003E-3</v>
      </c>
      <c r="M6" s="203">
        <v>0.70576000000000005</v>
      </c>
      <c r="N6" s="203">
        <v>0.69718999999999998</v>
      </c>
      <c r="O6" s="203">
        <v>2.0000000000000001E-4</v>
      </c>
      <c r="P6" s="203">
        <v>8.3800000000000003E-3</v>
      </c>
      <c r="Q6" s="203">
        <v>0.60660999999999998</v>
      </c>
      <c r="R6" s="203">
        <v>0.59802999999999995</v>
      </c>
      <c r="S6" s="203">
        <v>2.0000000000000001E-4</v>
      </c>
      <c r="T6" s="203">
        <v>8.3800000000000003E-3</v>
      </c>
      <c r="W6" s="406">
        <v>11</v>
      </c>
      <c r="X6" s="161">
        <v>90.8</v>
      </c>
      <c r="Y6" s="472">
        <f t="shared" ref="Y6:Y23" si="0">X6-X7</f>
        <v>6.5</v>
      </c>
    </row>
    <row r="7" spans="2:25">
      <c r="B7" s="605"/>
      <c r="C7" s="605"/>
      <c r="D7" s="202" t="s">
        <v>433</v>
      </c>
      <c r="E7" s="203">
        <v>0.88647495552000011</v>
      </c>
      <c r="F7" s="203">
        <v>0.87268287743999995</v>
      </c>
      <c r="G7" s="203">
        <v>3.218688E-4</v>
      </c>
      <c r="H7" s="203">
        <v>1.3486302720000001E-2</v>
      </c>
      <c r="I7" s="203">
        <v>1.0111508352</v>
      </c>
      <c r="J7" s="203">
        <v>0.99734266368000013</v>
      </c>
      <c r="K7" s="203">
        <v>3.218688E-4</v>
      </c>
      <c r="L7" s="203">
        <v>1.3486302720000001E-2</v>
      </c>
      <c r="M7" s="203">
        <v>1.1358106214400001</v>
      </c>
      <c r="N7" s="203">
        <v>1.1220185433600001</v>
      </c>
      <c r="O7" s="203">
        <v>3.218688E-4</v>
      </c>
      <c r="P7" s="203">
        <v>1.3486302720000001E-2</v>
      </c>
      <c r="Q7" s="203">
        <v>0.97624416384000001</v>
      </c>
      <c r="R7" s="203">
        <v>0.96243599231999999</v>
      </c>
      <c r="S7" s="203">
        <v>3.218688E-4</v>
      </c>
      <c r="T7" s="203">
        <v>1.3486302720000001E-2</v>
      </c>
      <c r="W7" s="406">
        <v>12</v>
      </c>
      <c r="X7" s="161">
        <v>84.3</v>
      </c>
      <c r="Y7" s="472">
        <f t="shared" si="0"/>
        <v>5.3999999999999915</v>
      </c>
    </row>
    <row r="8" spans="2:25">
      <c r="B8" s="605"/>
      <c r="C8" s="605" t="s">
        <v>435</v>
      </c>
      <c r="D8" s="202" t="s">
        <v>432</v>
      </c>
      <c r="E8" s="203">
        <v>0.7681</v>
      </c>
      <c r="F8" s="203">
        <v>0.75449999999999995</v>
      </c>
      <c r="G8" s="203">
        <v>3.2000000000000003E-4</v>
      </c>
      <c r="H8" s="203">
        <v>1.328E-2</v>
      </c>
      <c r="I8" s="203">
        <v>0.93371999999999999</v>
      </c>
      <c r="J8" s="203">
        <v>0.92013</v>
      </c>
      <c r="K8" s="203">
        <v>3.2000000000000003E-4</v>
      </c>
      <c r="L8" s="203">
        <v>1.328E-2</v>
      </c>
      <c r="M8" s="203">
        <v>1.09934</v>
      </c>
      <c r="N8" s="203">
        <v>1.08575</v>
      </c>
      <c r="O8" s="203">
        <v>3.2000000000000003E-4</v>
      </c>
      <c r="P8" s="203">
        <v>1.328E-2</v>
      </c>
      <c r="Q8" s="203">
        <v>0.96033999999999997</v>
      </c>
      <c r="R8" s="203">
        <v>0.94674000000000003</v>
      </c>
      <c r="S8" s="203">
        <v>3.2000000000000003E-4</v>
      </c>
      <c r="T8" s="203">
        <v>1.328E-2</v>
      </c>
      <c r="W8" s="406">
        <v>13</v>
      </c>
      <c r="X8" s="161">
        <v>78.900000000000006</v>
      </c>
      <c r="Y8" s="472">
        <f t="shared" si="0"/>
        <v>4.7000000000000028</v>
      </c>
    </row>
    <row r="9" spans="2:25">
      <c r="B9" s="605"/>
      <c r="C9" s="605"/>
      <c r="D9" s="202" t="s">
        <v>433</v>
      </c>
      <c r="E9" s="203">
        <v>1.2361371264000001</v>
      </c>
      <c r="F9" s="203">
        <v>1.214250048</v>
      </c>
      <c r="G9" s="203">
        <v>5.1499008000000011E-4</v>
      </c>
      <c r="H9" s="203">
        <v>2.137208832E-2</v>
      </c>
      <c r="I9" s="203">
        <v>1.50267667968</v>
      </c>
      <c r="J9" s="203">
        <v>1.4808056947200001</v>
      </c>
      <c r="K9" s="203">
        <v>5.1499008000000011E-4</v>
      </c>
      <c r="L9" s="203">
        <v>2.137208832E-2</v>
      </c>
      <c r="M9" s="203">
        <v>1.7692162329600001</v>
      </c>
      <c r="N9" s="203">
        <v>1.747345248</v>
      </c>
      <c r="O9" s="203">
        <v>5.1499008000000011E-4</v>
      </c>
      <c r="P9" s="203">
        <v>2.137208832E-2</v>
      </c>
      <c r="Q9" s="203">
        <v>1.5455174169600001</v>
      </c>
      <c r="R9" s="203">
        <v>1.5236303385600001</v>
      </c>
      <c r="S9" s="203">
        <v>5.1499008000000011E-4</v>
      </c>
      <c r="T9" s="203">
        <v>2.137208832E-2</v>
      </c>
      <c r="W9" s="406">
        <v>14</v>
      </c>
      <c r="X9" s="161">
        <v>74.2</v>
      </c>
      <c r="Y9" s="472">
        <f t="shared" si="0"/>
        <v>3.6000000000000085</v>
      </c>
    </row>
    <row r="10" spans="2:25">
      <c r="B10" s="605"/>
      <c r="C10" s="605" t="s">
        <v>436</v>
      </c>
      <c r="D10" s="202" t="s">
        <v>432</v>
      </c>
      <c r="E10" s="203">
        <v>0.65293999999999996</v>
      </c>
      <c r="F10" s="203">
        <v>0.64422000000000001</v>
      </c>
      <c r="G10" s="203">
        <v>2.7E-4</v>
      </c>
      <c r="H10" s="203">
        <v>8.4600000000000005E-3</v>
      </c>
      <c r="I10" s="203">
        <v>0.79425000000000001</v>
      </c>
      <c r="J10" s="203">
        <v>0.78552</v>
      </c>
      <c r="K10" s="203">
        <v>2.7E-4</v>
      </c>
      <c r="L10" s="203">
        <v>8.4600000000000005E-3</v>
      </c>
      <c r="M10" s="203">
        <v>0.93554999999999999</v>
      </c>
      <c r="N10" s="203">
        <v>0.92683000000000004</v>
      </c>
      <c r="O10" s="203">
        <v>2.7E-4</v>
      </c>
      <c r="P10" s="203">
        <v>8.4600000000000005E-3</v>
      </c>
      <c r="Q10" s="203">
        <v>0.80745999999999996</v>
      </c>
      <c r="R10" s="203">
        <v>0.79873000000000005</v>
      </c>
      <c r="S10" s="203">
        <v>2.7E-4</v>
      </c>
      <c r="T10" s="203">
        <v>8.4600000000000005E-3</v>
      </c>
      <c r="W10" s="406">
        <v>15</v>
      </c>
      <c r="X10" s="161">
        <f>70.6</f>
        <v>70.599999999999994</v>
      </c>
      <c r="Y10" s="472">
        <f t="shared" si="0"/>
        <v>3.7999999999999972</v>
      </c>
    </row>
    <row r="11" spans="2:25">
      <c r="B11" s="605"/>
      <c r="C11" s="605"/>
      <c r="D11" s="202" t="s">
        <v>433</v>
      </c>
      <c r="E11" s="203">
        <v>1.0508050713599999</v>
      </c>
      <c r="F11" s="203">
        <v>1.03677159168</v>
      </c>
      <c r="G11" s="203">
        <v>4.3452288000000002E-4</v>
      </c>
      <c r="H11" s="203">
        <v>1.3615050240000001E-2</v>
      </c>
      <c r="I11" s="203">
        <v>1.278221472</v>
      </c>
      <c r="J11" s="203">
        <v>1.2641718988800001</v>
      </c>
      <c r="K11" s="203">
        <v>4.3452288000000002E-4</v>
      </c>
      <c r="L11" s="203">
        <v>1.3615050240000001E-2</v>
      </c>
      <c r="M11" s="203">
        <v>1.5056217792</v>
      </c>
      <c r="N11" s="203">
        <v>1.49158829952</v>
      </c>
      <c r="O11" s="203">
        <v>4.3452288000000002E-4</v>
      </c>
      <c r="P11" s="203">
        <v>1.3615050240000001E-2</v>
      </c>
      <c r="Q11" s="203">
        <v>1.2994809062399999</v>
      </c>
      <c r="R11" s="203">
        <v>1.28543133312</v>
      </c>
      <c r="S11" s="203">
        <v>4.3452288000000002E-4</v>
      </c>
      <c r="T11" s="203">
        <v>1.3615050240000001E-2</v>
      </c>
      <c r="W11" s="406">
        <v>16</v>
      </c>
      <c r="X11" s="161">
        <v>66.8</v>
      </c>
      <c r="Y11" s="472">
        <f t="shared" si="0"/>
        <v>3</v>
      </c>
    </row>
    <row r="12" spans="2:25">
      <c r="B12" s="605"/>
      <c r="C12" s="605" t="s">
        <v>437</v>
      </c>
      <c r="D12" s="202" t="s">
        <v>432</v>
      </c>
      <c r="E12" s="203">
        <v>0.64922999999999997</v>
      </c>
      <c r="F12" s="203">
        <v>0.63814000000000004</v>
      </c>
      <c r="G12" s="203">
        <v>1.2E-4</v>
      </c>
      <c r="H12" s="203">
        <v>1.0970000000000001E-2</v>
      </c>
      <c r="I12" s="203">
        <v>0.80876999999999999</v>
      </c>
      <c r="J12" s="203">
        <v>0.79767999999999994</v>
      </c>
      <c r="K12" s="203">
        <v>1.2E-4</v>
      </c>
      <c r="L12" s="203">
        <v>1.0970000000000001E-2</v>
      </c>
      <c r="M12" s="203">
        <v>0.96830000000000005</v>
      </c>
      <c r="N12" s="203">
        <v>0.95721999999999996</v>
      </c>
      <c r="O12" s="203">
        <v>1.2E-4</v>
      </c>
      <c r="P12" s="203">
        <v>1.0970000000000001E-2</v>
      </c>
      <c r="Q12" s="203">
        <v>0.79281999999999997</v>
      </c>
      <c r="R12" s="203">
        <v>0.78173000000000004</v>
      </c>
      <c r="S12" s="203">
        <v>1.2E-4</v>
      </c>
      <c r="T12" s="203">
        <v>1.0970000000000001E-2</v>
      </c>
      <c r="W12" s="406">
        <v>17</v>
      </c>
      <c r="X12" s="161">
        <v>63.8</v>
      </c>
      <c r="Y12" s="472">
        <f t="shared" si="0"/>
        <v>2.5999999999999943</v>
      </c>
    </row>
    <row r="13" spans="2:25">
      <c r="B13" s="605"/>
      <c r="C13" s="605"/>
      <c r="D13" s="202" t="s">
        <v>433</v>
      </c>
      <c r="E13" s="203">
        <v>1.04483440512</v>
      </c>
      <c r="F13" s="203">
        <v>1.0269867801600001</v>
      </c>
      <c r="G13" s="203">
        <v>1.9312128E-4</v>
      </c>
      <c r="H13" s="203">
        <v>1.7654503680000003E-2</v>
      </c>
      <c r="I13" s="203">
        <v>1.30158914688</v>
      </c>
      <c r="J13" s="203">
        <v>1.2837415219199999</v>
      </c>
      <c r="K13" s="203">
        <v>1.9312128E-4</v>
      </c>
      <c r="L13" s="203">
        <v>1.7654503680000003E-2</v>
      </c>
      <c r="M13" s="203">
        <v>1.5583277952000001</v>
      </c>
      <c r="N13" s="203">
        <v>1.5404962636799999</v>
      </c>
      <c r="O13" s="203">
        <v>1.9312128E-4</v>
      </c>
      <c r="P13" s="203">
        <v>1.7654503680000003E-2</v>
      </c>
      <c r="Q13" s="203">
        <v>1.2759201100799999</v>
      </c>
      <c r="R13" s="203">
        <v>1.25807248512</v>
      </c>
      <c r="S13" s="203">
        <v>1.9312128E-4</v>
      </c>
      <c r="T13" s="203">
        <v>1.7654503680000003E-2</v>
      </c>
      <c r="W13" s="406">
        <v>18</v>
      </c>
      <c r="X13" s="161">
        <v>61.2</v>
      </c>
      <c r="Y13" s="472">
        <f t="shared" si="0"/>
        <v>2.4000000000000057</v>
      </c>
    </row>
    <row r="14" spans="2:25">
      <c r="B14" s="605"/>
      <c r="C14" s="605" t="s">
        <v>438</v>
      </c>
      <c r="D14" s="202" t="s">
        <v>432</v>
      </c>
      <c r="E14" s="203">
        <v>0.67174</v>
      </c>
      <c r="F14" s="203">
        <v>0.65854999999999997</v>
      </c>
      <c r="G14" s="203">
        <v>1.4999999999999999E-4</v>
      </c>
      <c r="H14" s="203">
        <v>1.3050000000000001E-2</v>
      </c>
      <c r="I14" s="203">
        <v>0.89126000000000005</v>
      </c>
      <c r="J14" s="203">
        <v>0.87807000000000002</v>
      </c>
      <c r="K14" s="203">
        <v>1.4999999999999999E-4</v>
      </c>
      <c r="L14" s="203">
        <v>1.3050000000000001E-2</v>
      </c>
      <c r="M14" s="203">
        <v>1.1107800000000001</v>
      </c>
      <c r="N14" s="203">
        <v>1.09758</v>
      </c>
      <c r="O14" s="203">
        <v>1.4999999999999999E-4</v>
      </c>
      <c r="P14" s="203">
        <v>1.3050000000000001E-2</v>
      </c>
      <c r="Q14" s="203">
        <v>0.94394999999999996</v>
      </c>
      <c r="R14" s="203">
        <v>0.93074999999999997</v>
      </c>
      <c r="S14" s="203">
        <v>1.4999999999999999E-4</v>
      </c>
      <c r="T14" s="203">
        <v>1.3050000000000001E-2</v>
      </c>
      <c r="W14" s="406">
        <v>19</v>
      </c>
      <c r="X14" s="161">
        <v>58.8</v>
      </c>
      <c r="Y14" s="472">
        <f t="shared" si="0"/>
        <v>2</v>
      </c>
    </row>
    <row r="15" spans="2:25">
      <c r="B15" s="605"/>
      <c r="C15" s="605"/>
      <c r="D15" s="202" t="s">
        <v>433</v>
      </c>
      <c r="E15" s="203">
        <v>1.08106073856</v>
      </c>
      <c r="F15" s="203">
        <v>1.0598334912</v>
      </c>
      <c r="G15" s="203">
        <v>2.4140159999999999E-4</v>
      </c>
      <c r="H15" s="203">
        <v>2.1001939200000003E-2</v>
      </c>
      <c r="I15" s="203">
        <v>1.4343439334400001</v>
      </c>
      <c r="J15" s="203">
        <v>1.4131166860800002</v>
      </c>
      <c r="K15" s="203">
        <v>2.4140159999999999E-4</v>
      </c>
      <c r="L15" s="203">
        <v>2.1001939200000003E-2</v>
      </c>
      <c r="M15" s="203">
        <v>1.7876271283200003</v>
      </c>
      <c r="N15" s="203">
        <v>1.7663837875200001</v>
      </c>
      <c r="O15" s="203">
        <v>2.4140159999999999E-4</v>
      </c>
      <c r="P15" s="203">
        <v>2.1001939200000003E-2</v>
      </c>
      <c r="Q15" s="203">
        <v>1.5191402688</v>
      </c>
      <c r="R15" s="203">
        <v>1.4978969280000001</v>
      </c>
      <c r="S15" s="203">
        <v>2.4140159999999999E-4</v>
      </c>
      <c r="T15" s="203">
        <v>2.1001939200000003E-2</v>
      </c>
      <c r="W15" s="406">
        <v>20</v>
      </c>
      <c r="X15" s="161">
        <v>56.8</v>
      </c>
      <c r="Y15" s="472">
        <f t="shared" si="0"/>
        <v>1.8999999999999986</v>
      </c>
    </row>
    <row r="16" spans="2:25">
      <c r="B16" s="605"/>
      <c r="C16" s="605" t="s">
        <v>439</v>
      </c>
      <c r="D16" s="202" t="s">
        <v>432</v>
      </c>
      <c r="E16" s="203">
        <v>0.71260000000000001</v>
      </c>
      <c r="F16" s="203">
        <v>0.69740999999999997</v>
      </c>
      <c r="G16" s="203">
        <v>1.4999999999999999E-4</v>
      </c>
      <c r="H16" s="203">
        <v>1.504E-2</v>
      </c>
      <c r="I16" s="203">
        <v>0.88712000000000002</v>
      </c>
      <c r="J16" s="203">
        <v>0.87194000000000005</v>
      </c>
      <c r="K16" s="203">
        <v>1.4999999999999999E-4</v>
      </c>
      <c r="L16" s="203">
        <v>1.504E-2</v>
      </c>
      <c r="M16" s="203">
        <v>1.0616399999999999</v>
      </c>
      <c r="N16" s="203">
        <v>1.0464599999999999</v>
      </c>
      <c r="O16" s="203">
        <v>1.4999999999999999E-4</v>
      </c>
      <c r="P16" s="203">
        <v>1.504E-2</v>
      </c>
      <c r="Q16" s="203">
        <v>0.93428</v>
      </c>
      <c r="R16" s="203">
        <v>0.91908999999999996</v>
      </c>
      <c r="S16" s="203">
        <v>1.4999999999999999E-4</v>
      </c>
      <c r="T16" s="203">
        <v>1.504E-2</v>
      </c>
      <c r="W16" s="406">
        <v>21</v>
      </c>
      <c r="X16" s="161">
        <v>54.9</v>
      </c>
      <c r="Y16" s="472">
        <f t="shared" si="0"/>
        <v>1.6000000000000014</v>
      </c>
    </row>
    <row r="17" spans="2:25">
      <c r="B17" s="605"/>
      <c r="C17" s="605"/>
      <c r="D17" s="202" t="s">
        <v>433</v>
      </c>
      <c r="E17" s="203">
        <v>1.1468185344000001</v>
      </c>
      <c r="F17" s="203">
        <v>1.12237259904</v>
      </c>
      <c r="G17" s="203">
        <v>2.4140159999999999E-4</v>
      </c>
      <c r="H17" s="203">
        <v>2.4204533760000001E-2</v>
      </c>
      <c r="I17" s="203">
        <v>1.4276812492800002</v>
      </c>
      <c r="J17" s="203">
        <v>1.4032514073600002</v>
      </c>
      <c r="K17" s="203">
        <v>2.4140159999999999E-4</v>
      </c>
      <c r="L17" s="203">
        <v>2.4204533760000001E-2</v>
      </c>
      <c r="M17" s="203">
        <v>1.70854396416</v>
      </c>
      <c r="N17" s="203">
        <v>1.68411412224</v>
      </c>
      <c r="O17" s="203">
        <v>2.4140159999999999E-4</v>
      </c>
      <c r="P17" s="203">
        <v>2.4204533760000001E-2</v>
      </c>
      <c r="Q17" s="203">
        <v>1.5035779123200002</v>
      </c>
      <c r="R17" s="203">
        <v>1.47913197696</v>
      </c>
      <c r="S17" s="203">
        <v>2.4140159999999999E-4</v>
      </c>
      <c r="T17" s="203">
        <v>2.4204533760000001E-2</v>
      </c>
      <c r="W17" s="406">
        <v>22</v>
      </c>
      <c r="X17" s="161">
        <v>53.3</v>
      </c>
      <c r="Y17" s="472">
        <f t="shared" si="0"/>
        <v>1.5</v>
      </c>
    </row>
    <row r="18" spans="2:25">
      <c r="B18" s="605"/>
      <c r="C18" s="605" t="s">
        <v>440</v>
      </c>
      <c r="D18" s="202" t="s">
        <v>432</v>
      </c>
      <c r="E18" s="203">
        <v>0.68567</v>
      </c>
      <c r="F18" s="203">
        <v>0.6734</v>
      </c>
      <c r="G18" s="203">
        <v>2.0000000000000001E-4</v>
      </c>
      <c r="H18" s="203">
        <v>1.2070000000000001E-2</v>
      </c>
      <c r="I18" s="203">
        <v>0.84519999999999995</v>
      </c>
      <c r="J18" s="203">
        <v>0.83292999999999995</v>
      </c>
      <c r="K18" s="203">
        <v>2.0000000000000001E-4</v>
      </c>
      <c r="L18" s="203">
        <v>1.2070000000000001E-2</v>
      </c>
      <c r="M18" s="203">
        <v>1.0047299999999999</v>
      </c>
      <c r="N18" s="203">
        <v>0.99246000000000001</v>
      </c>
      <c r="O18" s="203">
        <v>2.0000000000000001E-4</v>
      </c>
      <c r="P18" s="203">
        <v>1.2070000000000001E-2</v>
      </c>
      <c r="Q18" s="203">
        <v>0.87287000000000003</v>
      </c>
      <c r="R18" s="203">
        <v>0.86060999999999999</v>
      </c>
      <c r="S18" s="203">
        <v>2.0000000000000001E-4</v>
      </c>
      <c r="T18" s="203">
        <v>1.2070000000000001E-2</v>
      </c>
      <c r="W18" s="406">
        <v>23</v>
      </c>
      <c r="X18" s="161">
        <v>51.8</v>
      </c>
      <c r="Y18" s="472">
        <f t="shared" si="0"/>
        <v>1.2999999999999972</v>
      </c>
    </row>
    <row r="19" spans="2:25">
      <c r="B19" s="605"/>
      <c r="C19" s="605"/>
      <c r="D19" s="202" t="s">
        <v>433</v>
      </c>
      <c r="E19" s="203">
        <v>1.1034789004800001</v>
      </c>
      <c r="F19" s="203">
        <v>1.0837322496000001</v>
      </c>
      <c r="G19" s="203">
        <v>3.218688E-4</v>
      </c>
      <c r="H19" s="203">
        <v>1.9424782080000001E-2</v>
      </c>
      <c r="I19" s="203">
        <v>1.3602175487999999</v>
      </c>
      <c r="J19" s="203">
        <v>1.34047089792</v>
      </c>
      <c r="K19" s="203">
        <v>3.218688E-4</v>
      </c>
      <c r="L19" s="203">
        <v>1.9424782080000001E-2</v>
      </c>
      <c r="M19" s="203">
        <v>1.6169561971199999</v>
      </c>
      <c r="N19" s="203">
        <v>1.59720954624</v>
      </c>
      <c r="O19" s="203">
        <v>3.218688E-4</v>
      </c>
      <c r="P19" s="203">
        <v>1.9424782080000001E-2</v>
      </c>
      <c r="Q19" s="203">
        <v>1.4047480972800002</v>
      </c>
      <c r="R19" s="203">
        <v>1.38501753984</v>
      </c>
      <c r="S19" s="203">
        <v>3.218688E-4</v>
      </c>
      <c r="T19" s="203">
        <v>1.9424782080000001E-2</v>
      </c>
      <c r="W19" s="406">
        <v>24</v>
      </c>
      <c r="X19" s="161">
        <v>50.5</v>
      </c>
      <c r="Y19" s="472">
        <f t="shared" si="0"/>
        <v>1.2000000000000028</v>
      </c>
    </row>
    <row r="20" spans="2:25">
      <c r="W20" s="406">
        <v>25</v>
      </c>
      <c r="X20" s="161">
        <v>49.3</v>
      </c>
      <c r="Y20" s="472">
        <f t="shared" si="0"/>
        <v>1</v>
      </c>
    </row>
    <row r="21" spans="2:25">
      <c r="D21" s="537" t="s">
        <v>444</v>
      </c>
      <c r="E21" s="537"/>
      <c r="F21" s="537"/>
      <c r="H21" s="537" t="s">
        <v>445</v>
      </c>
      <c r="I21" s="537"/>
      <c r="J21" s="537"/>
      <c r="L21" s="537" t="s">
        <v>447</v>
      </c>
      <c r="M21" s="537"/>
      <c r="N21" s="537"/>
      <c r="W21" s="406">
        <v>26</v>
      </c>
      <c r="X21" s="161">
        <v>48.3</v>
      </c>
      <c r="Y21" s="472">
        <f t="shared" si="0"/>
        <v>1</v>
      </c>
    </row>
    <row r="22" spans="2:25">
      <c r="E22" t="s">
        <v>446</v>
      </c>
      <c r="I22" t="s">
        <v>446</v>
      </c>
      <c r="M22" t="s">
        <v>446</v>
      </c>
      <c r="W22" s="406">
        <v>27</v>
      </c>
      <c r="X22" s="161">
        <v>47.3</v>
      </c>
      <c r="Y22" s="472">
        <f t="shared" si="0"/>
        <v>0.79999999999999716</v>
      </c>
    </row>
    <row r="23" spans="2:25">
      <c r="C23" t="s">
        <v>442</v>
      </c>
      <c r="E23" s="204">
        <f>E12</f>
        <v>0.64922999999999997</v>
      </c>
      <c r="I23" s="204">
        <f>I12</f>
        <v>0.80876999999999999</v>
      </c>
      <c r="M23" s="204">
        <f>M12</f>
        <v>0.96830000000000005</v>
      </c>
      <c r="W23" s="406">
        <v>28</v>
      </c>
      <c r="X23" s="161">
        <v>46.5</v>
      </c>
      <c r="Y23" s="472">
        <f t="shared" si="0"/>
        <v>0.79999999999999716</v>
      </c>
    </row>
    <row r="24" spans="2:25">
      <c r="C24" t="s">
        <v>443</v>
      </c>
      <c r="E24" s="204">
        <f>E14</f>
        <v>0.67174</v>
      </c>
      <c r="I24" s="204">
        <f>I14</f>
        <v>0.89126000000000005</v>
      </c>
      <c r="M24" s="204">
        <f>M14</f>
        <v>1.1107800000000001</v>
      </c>
      <c r="W24" s="406">
        <v>29</v>
      </c>
      <c r="X24" s="161">
        <v>45.7</v>
      </c>
      <c r="Y24" s="472"/>
    </row>
    <row r="25" spans="2:25">
      <c r="W25" s="473">
        <v>30</v>
      </c>
      <c r="X25" s="474">
        <f>X24-Y23</f>
        <v>44.900000000000006</v>
      </c>
      <c r="Y25" s="353"/>
    </row>
    <row r="27" spans="2:25">
      <c r="B27" s="10"/>
      <c r="C27" s="10"/>
      <c r="D27" s="10"/>
      <c r="E27" s="10"/>
      <c r="F27" s="10"/>
      <c r="G27" s="10"/>
    </row>
    <row r="28" spans="2:25">
      <c r="B28" s="10"/>
      <c r="C28" s="10"/>
      <c r="D28" s="10"/>
      <c r="E28" s="10"/>
      <c r="F28" s="10"/>
      <c r="G28" s="10"/>
    </row>
    <row r="29" spans="2:25">
      <c r="B29" s="10"/>
      <c r="C29" s="417" t="s">
        <v>594</v>
      </c>
      <c r="D29" s="417"/>
      <c r="E29" s="417"/>
      <c r="F29" s="417"/>
      <c r="G29" s="417"/>
      <c r="H29" s="417"/>
      <c r="I29" s="417"/>
    </row>
    <row r="30" spans="2:25">
      <c r="B30" s="10"/>
      <c r="C30" s="477" t="s">
        <v>595</v>
      </c>
      <c r="D30" s="477"/>
      <c r="E30" s="477"/>
      <c r="F30" s="417"/>
      <c r="G30" s="417"/>
      <c r="H30" s="417"/>
      <c r="I30" s="417"/>
    </row>
    <row r="31" spans="2:25" ht="36">
      <c r="B31" s="10"/>
      <c r="C31" s="478" t="s">
        <v>596</v>
      </c>
      <c r="D31" s="479" t="s">
        <v>597</v>
      </c>
      <c r="E31" s="479" t="s">
        <v>598</v>
      </c>
      <c r="F31" s="480" t="s">
        <v>599</v>
      </c>
      <c r="G31" s="479" t="s">
        <v>600</v>
      </c>
      <c r="H31" s="480" t="s">
        <v>601</v>
      </c>
      <c r="I31" s="480" t="s">
        <v>602</v>
      </c>
    </row>
    <row r="32" spans="2:25">
      <c r="B32" s="10"/>
      <c r="C32" s="481" t="s">
        <v>603</v>
      </c>
      <c r="D32" s="482">
        <v>0.98</v>
      </c>
      <c r="E32" s="482">
        <v>4.9800000000000004</v>
      </c>
      <c r="F32" s="483">
        <f>E32-D32</f>
        <v>4</v>
      </c>
      <c r="G32" s="482">
        <v>7.5</v>
      </c>
      <c r="H32" s="483">
        <f t="shared" ref="H32:H33" si="1">G32-F32</f>
        <v>3.5</v>
      </c>
      <c r="I32" s="484">
        <f>(D32/H32)*100</f>
        <v>27.999999999999996</v>
      </c>
      <c r="J32" s="468"/>
      <c r="K32" s="468"/>
      <c r="L32" s="468"/>
      <c r="M32" s="468"/>
      <c r="N32" s="468"/>
      <c r="O32" s="468"/>
    </row>
    <row r="33" spans="2:17">
      <c r="B33" s="10"/>
      <c r="C33" s="481" t="s">
        <v>604</v>
      </c>
      <c r="D33" s="482">
        <v>3.29</v>
      </c>
      <c r="E33" s="482">
        <v>9.2899999999999991</v>
      </c>
      <c r="F33" s="483">
        <f t="shared" ref="F33" si="2">E33-D33</f>
        <v>5.9999999999999991</v>
      </c>
      <c r="G33" s="482">
        <v>16</v>
      </c>
      <c r="H33" s="483">
        <f t="shared" si="1"/>
        <v>10</v>
      </c>
      <c r="I33" s="484">
        <f t="shared" ref="I33:I35" si="3">(D33/H33)*100</f>
        <v>32.9</v>
      </c>
    </row>
    <row r="34" spans="2:17">
      <c r="B34" s="10"/>
      <c r="C34" s="481" t="s">
        <v>605</v>
      </c>
      <c r="D34" s="482">
        <v>5.79</v>
      </c>
      <c r="E34" s="482">
        <v>15.79</v>
      </c>
      <c r="F34" s="483">
        <f>E34-D34</f>
        <v>10</v>
      </c>
      <c r="G34" s="482">
        <v>32</v>
      </c>
      <c r="H34" s="483">
        <f>G34-F34</f>
        <v>22</v>
      </c>
      <c r="I34" s="484">
        <f>(D34/H34)*100</f>
        <v>26.31818181818182</v>
      </c>
    </row>
    <row r="35" spans="2:17">
      <c r="B35" s="10"/>
      <c r="C35" s="481" t="s">
        <v>606</v>
      </c>
      <c r="D35" s="482">
        <v>19.2</v>
      </c>
      <c r="E35" s="482">
        <v>33.200000000000003</v>
      </c>
      <c r="F35" s="483">
        <f>E35-D35</f>
        <v>14.000000000000004</v>
      </c>
      <c r="G35" s="482">
        <v>50</v>
      </c>
      <c r="H35" s="483">
        <f>G35-F35</f>
        <v>36</v>
      </c>
      <c r="I35" s="484">
        <f t="shared" si="3"/>
        <v>53.333333333333336</v>
      </c>
    </row>
    <row r="36" spans="2:17" ht="101.25">
      <c r="B36" s="10"/>
      <c r="C36" s="485" t="s">
        <v>607</v>
      </c>
      <c r="D36" s="485" t="s">
        <v>608</v>
      </c>
      <c r="E36" s="485" t="s">
        <v>609</v>
      </c>
      <c r="F36" s="485" t="s">
        <v>610</v>
      </c>
      <c r="G36" s="485" t="s">
        <v>611</v>
      </c>
      <c r="H36" s="485" t="s">
        <v>612</v>
      </c>
      <c r="I36" s="417"/>
    </row>
    <row r="37" spans="2:17">
      <c r="M37" s="167"/>
      <c r="N37" s="167"/>
      <c r="O37" s="167"/>
      <c r="P37" s="167"/>
      <c r="Q37" s="167"/>
    </row>
    <row r="38" spans="2:17">
      <c r="C38" s="10"/>
    </row>
    <row r="39" spans="2:17">
      <c r="C39" s="10"/>
    </row>
    <row r="40" spans="2:17">
      <c r="C40" s="10"/>
    </row>
    <row r="41" spans="2:17">
      <c r="C41" s="10"/>
    </row>
    <row r="42" spans="2:17">
      <c r="C42" s="10"/>
    </row>
    <row r="46" spans="2:17">
      <c r="M46" s="198"/>
    </row>
  </sheetData>
  <mergeCells count="13">
    <mergeCell ref="D21:F21"/>
    <mergeCell ref="L21:N21"/>
    <mergeCell ref="H21:J21"/>
    <mergeCell ref="B4:B19"/>
    <mergeCell ref="C4:C5"/>
    <mergeCell ref="C6:C7"/>
    <mergeCell ref="C8:C9"/>
    <mergeCell ref="C10:C11"/>
    <mergeCell ref="W3:Y3"/>
    <mergeCell ref="C12:C13"/>
    <mergeCell ref="C14:C15"/>
    <mergeCell ref="C16:C17"/>
    <mergeCell ref="C18:C19"/>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3"/>
  <sheetViews>
    <sheetView zoomScale="114" workbookViewId="0">
      <selection activeCell="C21" sqref="C21"/>
    </sheetView>
  </sheetViews>
  <sheetFormatPr defaultColWidth="11.42578125" defaultRowHeight="15"/>
  <cols>
    <col min="2" max="5" width="18.85546875" customWidth="1"/>
  </cols>
  <sheetData>
    <row r="4" spans="2:5">
      <c r="B4" s="606" t="s">
        <v>593</v>
      </c>
      <c r="C4" s="607"/>
      <c r="D4" s="606" t="s">
        <v>591</v>
      </c>
      <c r="E4" s="607"/>
    </row>
    <row r="5" spans="2:5">
      <c r="B5" s="444" t="s">
        <v>36</v>
      </c>
      <c r="C5" s="476" t="s">
        <v>592</v>
      </c>
      <c r="D5" s="444" t="s">
        <v>36</v>
      </c>
      <c r="E5" s="476" t="s">
        <v>592</v>
      </c>
    </row>
    <row r="6" spans="2:5">
      <c r="B6" s="608">
        <f>Nullalternativ!G76+Nullalternativ!E92</f>
        <v>61922951.258952484</v>
      </c>
      <c r="C6" s="610">
        <f>Nullalternativ!G82</f>
        <v>217777.34999999998</v>
      </c>
      <c r="D6" s="608">
        <f>'Alternativ 1'!C125</f>
        <v>6886205.0962853068</v>
      </c>
      <c r="E6" s="610">
        <f>'Alternativ 1'!C138</f>
        <v>317892</v>
      </c>
    </row>
    <row r="7" spans="2:5" ht="12" customHeight="1">
      <c r="B7" s="609"/>
      <c r="C7" s="611"/>
      <c r="D7" s="609"/>
      <c r="E7" s="611"/>
    </row>
    <row r="12" spans="2:5">
      <c r="B12" t="s">
        <v>613</v>
      </c>
      <c r="C12" s="214">
        <f>(E6-C6)/C6</f>
        <v>0.45971103055483059</v>
      </c>
    </row>
    <row r="13" spans="2:5">
      <c r="B13" t="s">
        <v>614</v>
      </c>
      <c r="C13" s="23">
        <f>B6-D6</f>
        <v>55036746.162667178</v>
      </c>
    </row>
  </sheetData>
  <mergeCells count="6">
    <mergeCell ref="B4:C4"/>
    <mergeCell ref="D4:E4"/>
    <mergeCell ref="B6:B7"/>
    <mergeCell ref="C6:C7"/>
    <mergeCell ref="D6:D7"/>
    <mergeCell ref="E6:E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146"/>
  <sheetViews>
    <sheetView tabSelected="1" topLeftCell="A120" zoomScale="150" zoomScaleNormal="100" workbookViewId="0">
      <selection activeCell="J130" sqref="J130"/>
    </sheetView>
  </sheetViews>
  <sheetFormatPr defaultColWidth="11.42578125" defaultRowHeight="15"/>
  <cols>
    <col min="2" max="2" width="33" customWidth="1"/>
    <col min="3" max="6" width="12.85546875" customWidth="1"/>
    <col min="7" max="7" width="15" bestFit="1" customWidth="1"/>
    <col min="11" max="11" width="16.85546875" customWidth="1"/>
    <col min="12" max="13" width="15" customWidth="1"/>
    <col min="14" max="15" width="16.7109375" customWidth="1"/>
  </cols>
  <sheetData>
    <row r="2" spans="2:19" ht="15.75" thickBot="1"/>
    <row r="3" spans="2:19" ht="15.75" thickBot="1">
      <c r="B3" s="538" t="s">
        <v>575</v>
      </c>
      <c r="C3" s="539"/>
      <c r="D3" s="539"/>
      <c r="E3" s="540"/>
    </row>
    <row r="4" spans="2:19">
      <c r="L4" s="446" t="s">
        <v>573</v>
      </c>
      <c r="M4" s="446" t="s">
        <v>574</v>
      </c>
      <c r="N4" s="446" t="s">
        <v>153</v>
      </c>
    </row>
    <row r="5" spans="2:19">
      <c r="B5" s="8" t="s">
        <v>1</v>
      </c>
      <c r="C5" s="226"/>
      <c r="G5" s="68"/>
      <c r="K5" s="16" t="s">
        <v>563</v>
      </c>
      <c r="L5" s="434">
        <v>30000</v>
      </c>
      <c r="M5" s="434">
        <v>30000</v>
      </c>
      <c r="N5" s="434">
        <f>SUM(L5:M5)</f>
        <v>60000</v>
      </c>
    </row>
    <row r="6" spans="2:19">
      <c r="B6" s="161" t="s">
        <v>2</v>
      </c>
      <c r="C6" s="56">
        <f>Nullalternativ!C13</f>
        <v>798605.95620437025</v>
      </c>
      <c r="G6" s="68"/>
      <c r="L6" s="161"/>
      <c r="M6" s="161"/>
      <c r="N6" s="161"/>
      <c r="O6" s="161"/>
      <c r="P6" s="161"/>
      <c r="Q6" s="161"/>
      <c r="R6" s="161"/>
      <c r="S6" s="161"/>
    </row>
    <row r="7" spans="2:19">
      <c r="B7" s="161" t="s">
        <v>3</v>
      </c>
      <c r="C7" s="56">
        <f>('Biler, investering'!G31)</f>
        <v>1313161.7999999998</v>
      </c>
      <c r="G7" s="69"/>
      <c r="L7" s="161"/>
      <c r="M7" s="161"/>
      <c r="N7" s="161"/>
      <c r="O7" s="161"/>
      <c r="P7" s="161"/>
      <c r="Q7" s="161"/>
      <c r="R7" s="161"/>
      <c r="S7" s="161"/>
    </row>
    <row r="8" spans="2:19" ht="15.75" thickBot="1">
      <c r="B8" s="161" t="s">
        <v>4</v>
      </c>
      <c r="C8" s="56">
        <f>Nullalternativ!C15</f>
        <v>160000</v>
      </c>
      <c r="G8" s="226"/>
      <c r="K8" s="456" t="s">
        <v>559</v>
      </c>
      <c r="L8" s="457" t="s">
        <v>560</v>
      </c>
      <c r="M8" s="457" t="s">
        <v>161</v>
      </c>
      <c r="N8" s="457" t="s">
        <v>561</v>
      </c>
      <c r="O8" s="458" t="s">
        <v>562</v>
      </c>
    </row>
    <row r="9" spans="2:19">
      <c r="B9" s="161" t="s">
        <v>5</v>
      </c>
      <c r="C9" s="56">
        <f>Nullalternativ!C16</f>
        <v>259840</v>
      </c>
      <c r="D9" s="215"/>
      <c r="K9" s="459">
        <v>1</v>
      </c>
      <c r="L9" s="460">
        <v>3</v>
      </c>
      <c r="M9" s="460">
        <f>$N$5/8</f>
        <v>7500</v>
      </c>
      <c r="N9" s="460">
        <f>M9/30</f>
        <v>250</v>
      </c>
      <c r="O9" s="461">
        <f>N9*L9</f>
        <v>750</v>
      </c>
    </row>
    <row r="10" spans="2:19">
      <c r="B10" s="161" t="s">
        <v>10</v>
      </c>
      <c r="C10" s="56">
        <f>Nullalternativ!C17</f>
        <v>664356</v>
      </c>
      <c r="K10" s="459">
        <v>2</v>
      </c>
      <c r="L10" s="460">
        <v>4</v>
      </c>
      <c r="M10" s="460">
        <f t="shared" ref="M10:M16" si="0">$N$5/8</f>
        <v>7500</v>
      </c>
      <c r="N10" s="460">
        <f t="shared" ref="N10:N16" si="1">M10/30</f>
        <v>250</v>
      </c>
      <c r="O10" s="461">
        <f t="shared" ref="O10:O16" si="2">N10*L10</f>
        <v>1000</v>
      </c>
    </row>
    <row r="11" spans="2:19" ht="15.75" thickBot="1">
      <c r="B11" s="316" t="s">
        <v>165</v>
      </c>
      <c r="C11" s="424">
        <f>(C7+C8+C9+C10+C6)/O19</f>
        <v>35.51070840227078</v>
      </c>
      <c r="K11" s="459">
        <v>3</v>
      </c>
      <c r="L11" s="460">
        <v>8</v>
      </c>
      <c r="M11" s="460">
        <f t="shared" si="0"/>
        <v>7500</v>
      </c>
      <c r="N11" s="460">
        <f t="shared" si="1"/>
        <v>250</v>
      </c>
      <c r="O11" s="461">
        <f t="shared" si="2"/>
        <v>2000</v>
      </c>
    </row>
    <row r="12" spans="2:19">
      <c r="K12" s="459">
        <v>4</v>
      </c>
      <c r="L12" s="460">
        <v>9.4</v>
      </c>
      <c r="M12" s="460">
        <f t="shared" si="0"/>
        <v>7500</v>
      </c>
      <c r="N12" s="460">
        <f t="shared" si="1"/>
        <v>250</v>
      </c>
      <c r="O12" s="461">
        <f t="shared" si="2"/>
        <v>2350</v>
      </c>
    </row>
    <row r="13" spans="2:19">
      <c r="K13" s="459">
        <v>5</v>
      </c>
      <c r="L13" s="460">
        <v>8</v>
      </c>
      <c r="M13" s="460">
        <f t="shared" si="0"/>
        <v>7500</v>
      </c>
      <c r="N13" s="460">
        <f t="shared" si="1"/>
        <v>250</v>
      </c>
      <c r="O13" s="461">
        <f t="shared" si="2"/>
        <v>2000</v>
      </c>
    </row>
    <row r="14" spans="2:19">
      <c r="B14" s="8" t="s">
        <v>6</v>
      </c>
      <c r="C14" s="226"/>
      <c r="D14" s="175"/>
      <c r="E14" s="175"/>
      <c r="F14" s="175"/>
      <c r="G14" s="54"/>
      <c r="K14" s="459">
        <v>6</v>
      </c>
      <c r="L14" s="460">
        <v>8.4</v>
      </c>
      <c r="M14" s="460">
        <f t="shared" si="0"/>
        <v>7500</v>
      </c>
      <c r="N14" s="460">
        <f t="shared" si="1"/>
        <v>250</v>
      </c>
      <c r="O14" s="461">
        <f t="shared" si="2"/>
        <v>2100</v>
      </c>
    </row>
    <row r="15" spans="2:19">
      <c r="B15" s="13" t="s">
        <v>531</v>
      </c>
      <c r="C15" s="423">
        <v>0.51100000000000001</v>
      </c>
      <c r="D15" s="229"/>
      <c r="E15" s="229"/>
      <c r="F15" s="229"/>
      <c r="G15" s="55"/>
      <c r="K15" s="459">
        <v>7</v>
      </c>
      <c r="L15" s="460">
        <v>9.1999999999999993</v>
      </c>
      <c r="M15" s="460">
        <f t="shared" si="0"/>
        <v>7500</v>
      </c>
      <c r="N15" s="460">
        <f t="shared" si="1"/>
        <v>250</v>
      </c>
      <c r="O15" s="461">
        <f t="shared" si="2"/>
        <v>2300</v>
      </c>
    </row>
    <row r="16" spans="2:19">
      <c r="B16" s="161" t="s">
        <v>532</v>
      </c>
      <c r="C16" s="335">
        <f>2/1.60934</f>
        <v>1.2427454732996135</v>
      </c>
      <c r="D16" s="229"/>
      <c r="E16" s="229"/>
      <c r="F16" s="229"/>
      <c r="G16" s="55"/>
      <c r="K16" s="459">
        <v>8</v>
      </c>
      <c r="L16" s="460">
        <v>10</v>
      </c>
      <c r="M16" s="460">
        <f t="shared" si="0"/>
        <v>7500</v>
      </c>
      <c r="N16" s="460">
        <f t="shared" si="1"/>
        <v>250</v>
      </c>
      <c r="O16" s="461">
        <f t="shared" si="2"/>
        <v>2500</v>
      </c>
    </row>
    <row r="17" spans="2:16">
      <c r="B17" s="13" t="s">
        <v>556</v>
      </c>
      <c r="C17" s="423">
        <f>((C16*C24)*C15)/C24</f>
        <v>0.63504293685610247</v>
      </c>
      <c r="D17" s="229"/>
      <c r="E17" s="229"/>
      <c r="F17" s="229"/>
      <c r="G17" s="55"/>
      <c r="K17" s="462"/>
      <c r="L17" s="463"/>
      <c r="M17" s="463"/>
      <c r="N17" s="463"/>
      <c r="O17" s="464">
        <f>SUM(O9:O16)</f>
        <v>15000</v>
      </c>
    </row>
    <row r="18" spans="2:16">
      <c r="B18" s="161" t="s">
        <v>619</v>
      </c>
      <c r="C18" s="423">
        <f>Nullalternativ!C25</f>
        <v>0.84805653710247353</v>
      </c>
      <c r="E18" s="229"/>
      <c r="F18" s="229"/>
      <c r="G18" s="55"/>
      <c r="K18" s="23"/>
      <c r="L18" s="23"/>
      <c r="M18" s="23"/>
      <c r="N18" s="23"/>
      <c r="O18" s="23"/>
    </row>
    <row r="19" spans="2:16" ht="15.75" thickBot="1">
      <c r="B19" s="161" t="s">
        <v>7</v>
      </c>
      <c r="C19" s="423">
        <f>(Nullalternativ!C26)/2</f>
        <v>0.78838199999999992</v>
      </c>
      <c r="E19" s="229"/>
      <c r="F19" s="229"/>
      <c r="G19" s="55"/>
      <c r="K19" s="23"/>
      <c r="L19" s="23"/>
      <c r="M19" s="23"/>
      <c r="N19" s="23" t="s">
        <v>564</v>
      </c>
      <c r="O19" s="435">
        <f>(O17/2)*12</f>
        <v>90000</v>
      </c>
    </row>
    <row r="20" spans="2:16" ht="16.5" thickTop="1" thickBot="1">
      <c r="B20" s="317" t="s">
        <v>217</v>
      </c>
      <c r="C20" s="349">
        <f>C17+C18+C19</f>
        <v>2.271481473958576</v>
      </c>
      <c r="D20" s="229"/>
      <c r="E20" s="229"/>
      <c r="F20" s="229"/>
      <c r="G20" s="226"/>
    </row>
    <row r="21" spans="2:16">
      <c r="G21" s="54"/>
    </row>
    <row r="22" spans="2:16">
      <c r="B22" s="448" t="s">
        <v>9</v>
      </c>
      <c r="C22" s="449">
        <v>1</v>
      </c>
      <c r="D22" s="449">
        <v>2</v>
      </c>
      <c r="E22" s="449">
        <v>3</v>
      </c>
      <c r="F22" s="449">
        <v>4</v>
      </c>
      <c r="G22" s="450">
        <v>5</v>
      </c>
      <c r="H22" s="451">
        <v>6</v>
      </c>
      <c r="I22" s="451">
        <v>7</v>
      </c>
      <c r="J22" s="452">
        <v>8</v>
      </c>
      <c r="M22" s="530" t="s">
        <v>507</v>
      </c>
      <c r="N22" s="531"/>
      <c r="O22" s="531"/>
      <c r="P22" s="532"/>
    </row>
    <row r="23" spans="2:16">
      <c r="B23" s="337" t="s">
        <v>228</v>
      </c>
      <c r="C23" s="338">
        <f t="shared" ref="C23:J23" si="3">C24/C25</f>
        <v>10</v>
      </c>
      <c r="D23" s="338">
        <f t="shared" si="3"/>
        <v>10</v>
      </c>
      <c r="E23" s="338">
        <f t="shared" si="3"/>
        <v>20</v>
      </c>
      <c r="F23" s="338">
        <f t="shared" si="3"/>
        <v>17.625</v>
      </c>
      <c r="G23" s="338">
        <f t="shared" si="3"/>
        <v>13.333333333333334</v>
      </c>
      <c r="H23" s="338">
        <f t="shared" si="3"/>
        <v>14.000000000000002</v>
      </c>
      <c r="I23" s="338">
        <f t="shared" si="3"/>
        <v>13.799999999999999</v>
      </c>
      <c r="J23" s="339">
        <f t="shared" si="3"/>
        <v>12.5</v>
      </c>
      <c r="M23" s="160"/>
      <c r="N23" s="161"/>
      <c r="O23" s="161"/>
      <c r="P23" s="169"/>
    </row>
    <row r="24" spans="2:16">
      <c r="B24" s="319" t="s">
        <v>229</v>
      </c>
      <c r="C24" s="53">
        <f>'Trafikkdata, alt. 1'!AU8*2</f>
        <v>3</v>
      </c>
      <c r="D24" s="53">
        <f>'Trafikkdata, alt. 1'!AU9*2</f>
        <v>4</v>
      </c>
      <c r="E24" s="53">
        <f>'Trafikkdata, alt. 1'!AU10*2</f>
        <v>8</v>
      </c>
      <c r="F24" s="53">
        <f>'Trafikkdata, alt. 1'!AU11*2</f>
        <v>9.4</v>
      </c>
      <c r="G24" s="53">
        <f>'Trafikkdata, alt. 1'!AU12*2</f>
        <v>8</v>
      </c>
      <c r="H24" s="53">
        <f>'Trafikkdata, alt. 1'!AU13*2</f>
        <v>8.4</v>
      </c>
      <c r="I24" s="53">
        <f>'Trafikkdata, alt. 1'!AU14*2</f>
        <v>9.1999999999999993</v>
      </c>
      <c r="J24" s="340">
        <f>'Trafikkdata, alt. 1'!AU15*2</f>
        <v>10</v>
      </c>
      <c r="M24" s="351" t="s">
        <v>502</v>
      </c>
      <c r="N24" s="350" t="s">
        <v>509</v>
      </c>
      <c r="O24" s="350" t="s">
        <v>510</v>
      </c>
      <c r="P24" s="352" t="s">
        <v>503</v>
      </c>
    </row>
    <row r="25" spans="2:16">
      <c r="B25" s="281" t="s">
        <v>231</v>
      </c>
      <c r="C25" s="419">
        <f>(('Trafikkdata, alt. 1'!AW8)*2)/60</f>
        <v>0.3</v>
      </c>
      <c r="D25" s="419">
        <f>(('Trafikkdata, alt. 1'!AW9)*2)/60</f>
        <v>0.4</v>
      </c>
      <c r="E25" s="419">
        <f>(('Trafikkdata, alt. 1'!AW10)*2)/60</f>
        <v>0.4</v>
      </c>
      <c r="F25" s="419">
        <f>(('Trafikkdata, alt. 1'!AW11)*2)/60</f>
        <v>0.53333333333333333</v>
      </c>
      <c r="G25" s="419">
        <f>(('Trafikkdata, alt. 1'!AW12)*2)/60</f>
        <v>0.6</v>
      </c>
      <c r="H25" s="419">
        <f>(('Trafikkdata, alt. 1'!AW13)*2)/60</f>
        <v>0.6</v>
      </c>
      <c r="I25" s="419">
        <f>(('Trafikkdata, alt. 1'!AW14)*2)/60</f>
        <v>0.66666666666666663</v>
      </c>
      <c r="J25" s="420">
        <f>(('Trafikkdata, alt. 1'!AW15)*2)/60</f>
        <v>0.8</v>
      </c>
      <c r="L25">
        <v>1</v>
      </c>
      <c r="M25" s="160" t="s">
        <v>501</v>
      </c>
      <c r="N25" s="161">
        <v>1.5</v>
      </c>
      <c r="O25" s="161">
        <v>7</v>
      </c>
      <c r="P25" s="169">
        <v>9</v>
      </c>
    </row>
    <row r="26" spans="2:16">
      <c r="B26" s="319" t="s">
        <v>418</v>
      </c>
      <c r="C26" s="342">
        <f>(3/60)</f>
        <v>0.05</v>
      </c>
      <c r="D26" s="342">
        <f t="shared" ref="D26:J26" si="4">(3/60)</f>
        <v>0.05</v>
      </c>
      <c r="E26" s="342">
        <f t="shared" si="4"/>
        <v>0.05</v>
      </c>
      <c r="F26" s="342">
        <f t="shared" si="4"/>
        <v>0.05</v>
      </c>
      <c r="G26" s="342">
        <f t="shared" si="4"/>
        <v>0.05</v>
      </c>
      <c r="H26" s="342">
        <f t="shared" si="4"/>
        <v>0.05</v>
      </c>
      <c r="I26" s="342">
        <f t="shared" si="4"/>
        <v>0.05</v>
      </c>
      <c r="J26" s="343">
        <f t="shared" si="4"/>
        <v>0.05</v>
      </c>
      <c r="L26">
        <v>2</v>
      </c>
      <c r="M26" s="160" t="s">
        <v>505</v>
      </c>
      <c r="N26" s="161">
        <v>2</v>
      </c>
      <c r="O26" s="161">
        <v>8</v>
      </c>
      <c r="P26" s="169">
        <v>12</v>
      </c>
    </row>
    <row r="27" spans="2:16">
      <c r="B27" s="319" t="s">
        <v>474</v>
      </c>
      <c r="C27" s="342">
        <f>2/60</f>
        <v>3.3333333333333333E-2</v>
      </c>
      <c r="D27" s="342">
        <f t="shared" ref="D27:J27" si="5">2/60</f>
        <v>3.3333333333333333E-2</v>
      </c>
      <c r="E27" s="342">
        <f t="shared" si="5"/>
        <v>3.3333333333333333E-2</v>
      </c>
      <c r="F27" s="342">
        <f t="shared" si="5"/>
        <v>3.3333333333333333E-2</v>
      </c>
      <c r="G27" s="342">
        <f t="shared" si="5"/>
        <v>3.3333333333333333E-2</v>
      </c>
      <c r="H27" s="342">
        <f t="shared" si="5"/>
        <v>3.3333333333333333E-2</v>
      </c>
      <c r="I27" s="342">
        <f t="shared" si="5"/>
        <v>3.3333333333333333E-2</v>
      </c>
      <c r="J27" s="343">
        <f t="shared" si="5"/>
        <v>3.3333333333333333E-2</v>
      </c>
      <c r="L27" s="417">
        <v>3</v>
      </c>
      <c r="M27" s="160" t="s">
        <v>504</v>
      </c>
      <c r="N27" s="161">
        <v>4</v>
      </c>
      <c r="O27" s="161">
        <v>7</v>
      </c>
      <c r="P27" s="169">
        <v>12</v>
      </c>
    </row>
    <row r="28" spans="2:16">
      <c r="B28" s="319" t="s">
        <v>154</v>
      </c>
      <c r="C28" s="344">
        <f>C26+C27</f>
        <v>8.3333333333333343E-2</v>
      </c>
      <c r="D28" s="344">
        <f t="shared" ref="D28:J28" si="6">D26+D27</f>
        <v>8.3333333333333343E-2</v>
      </c>
      <c r="E28" s="344">
        <f t="shared" si="6"/>
        <v>8.3333333333333343E-2</v>
      </c>
      <c r="F28" s="344">
        <f t="shared" si="6"/>
        <v>8.3333333333333343E-2</v>
      </c>
      <c r="G28" s="344">
        <f t="shared" si="6"/>
        <v>8.3333333333333343E-2</v>
      </c>
      <c r="H28" s="344">
        <f t="shared" si="6"/>
        <v>8.3333333333333343E-2</v>
      </c>
      <c r="I28" s="344">
        <f t="shared" si="6"/>
        <v>8.3333333333333343E-2</v>
      </c>
      <c r="J28" s="345">
        <f t="shared" si="6"/>
        <v>8.3333333333333343E-2</v>
      </c>
      <c r="L28" s="417">
        <v>4</v>
      </c>
      <c r="M28" s="160" t="s">
        <v>506</v>
      </c>
      <c r="N28" s="161">
        <v>4.7</v>
      </c>
      <c r="O28" s="161">
        <v>8</v>
      </c>
      <c r="P28" s="169">
        <v>16</v>
      </c>
    </row>
    <row r="29" spans="2:16">
      <c r="B29" s="418" t="s">
        <v>155</v>
      </c>
      <c r="C29" s="421">
        <f>(C25+C28)</f>
        <v>0.3833333333333333</v>
      </c>
      <c r="D29" s="421">
        <f t="shared" ref="D29:I29" si="7">(D25+D28)</f>
        <v>0.48333333333333339</v>
      </c>
      <c r="E29" s="421">
        <f t="shared" si="7"/>
        <v>0.48333333333333339</v>
      </c>
      <c r="F29" s="421">
        <f t="shared" si="7"/>
        <v>0.6166666666666667</v>
      </c>
      <c r="G29" s="421">
        <f t="shared" si="7"/>
        <v>0.68333333333333335</v>
      </c>
      <c r="H29" s="421">
        <f t="shared" si="7"/>
        <v>0.68333333333333335</v>
      </c>
      <c r="I29" s="421">
        <f t="shared" si="7"/>
        <v>0.75</v>
      </c>
      <c r="J29" s="422">
        <f>(J25+J28)</f>
        <v>0.88333333333333341</v>
      </c>
      <c r="L29" s="417">
        <v>5</v>
      </c>
      <c r="M29" s="160" t="s">
        <v>508</v>
      </c>
      <c r="N29" s="161">
        <v>4</v>
      </c>
      <c r="O29" s="161">
        <v>12</v>
      </c>
      <c r="P29" s="169">
        <v>18</v>
      </c>
    </row>
    <row r="30" spans="2:16">
      <c r="G30" s="55"/>
      <c r="L30" s="417">
        <v>6</v>
      </c>
      <c r="M30" s="160" t="s">
        <v>512</v>
      </c>
      <c r="N30" s="161">
        <v>4.2</v>
      </c>
      <c r="O30" s="161">
        <v>14</v>
      </c>
      <c r="P30" s="169">
        <v>18</v>
      </c>
    </row>
    <row r="31" spans="2:16">
      <c r="G31" s="55"/>
      <c r="L31" s="417">
        <v>7</v>
      </c>
      <c r="M31" s="160" t="s">
        <v>513</v>
      </c>
      <c r="N31" s="161">
        <v>4.5999999999999996</v>
      </c>
      <c r="O31" s="161">
        <v>12</v>
      </c>
      <c r="P31" s="169">
        <v>20</v>
      </c>
    </row>
    <row r="32" spans="2:16">
      <c r="B32" s="318" t="s">
        <v>8</v>
      </c>
      <c r="C32" s="272">
        <v>1</v>
      </c>
      <c r="D32" s="272">
        <v>2</v>
      </c>
      <c r="E32" s="272">
        <v>3</v>
      </c>
      <c r="F32" s="272">
        <v>4</v>
      </c>
      <c r="G32" s="272">
        <v>5</v>
      </c>
      <c r="H32" s="272">
        <v>6</v>
      </c>
      <c r="I32" s="272">
        <v>7</v>
      </c>
      <c r="J32" s="272">
        <v>8</v>
      </c>
      <c r="L32" s="417">
        <v>8</v>
      </c>
      <c r="M32" s="171" t="s">
        <v>511</v>
      </c>
      <c r="N32" s="242">
        <v>5</v>
      </c>
      <c r="O32" s="242">
        <v>16</v>
      </c>
      <c r="P32" s="353">
        <v>24</v>
      </c>
    </row>
    <row r="33" spans="2:12">
      <c r="B33" s="319" t="s">
        <v>159</v>
      </c>
      <c r="C33" s="320">
        <f>Nullalternativ!$C$8/(Nullalternativ!$C$6*Nullalternativ!$C$7*8)</f>
        <v>263.07273261956169</v>
      </c>
      <c r="D33" s="320">
        <f>Nullalternativ!$C$8/(Nullalternativ!$C$6*Nullalternativ!$C$7*8)</f>
        <v>263.07273261956169</v>
      </c>
      <c r="E33" s="320">
        <f>Nullalternativ!$C$8/(Nullalternativ!$C$6*Nullalternativ!$C$7*8)</f>
        <v>263.07273261956169</v>
      </c>
      <c r="F33" s="320">
        <f>Nullalternativ!$C$8/(Nullalternativ!$C$6*Nullalternativ!$C$7*8)</f>
        <v>263.07273261956169</v>
      </c>
      <c r="G33" s="320">
        <f>Nullalternativ!$C$8/(Nullalternativ!$C$6*Nullalternativ!$C$7*8)</f>
        <v>263.07273261956169</v>
      </c>
      <c r="H33" s="320">
        <f>Nullalternativ!$C$8/(Nullalternativ!$C$6*Nullalternativ!$C$7*8)</f>
        <v>263.07273261956169</v>
      </c>
      <c r="I33" s="320">
        <f>Nullalternativ!$C$8/(Nullalternativ!$C$6*Nullalternativ!$C$7*8)</f>
        <v>263.07273261956169</v>
      </c>
      <c r="J33" s="320">
        <f>Nullalternativ!$C$8/(Nullalternativ!$C$6*Nullalternativ!$C$7*8)</f>
        <v>263.07273261956169</v>
      </c>
    </row>
    <row r="34" spans="2:12">
      <c r="B34" s="319" t="s">
        <v>488</v>
      </c>
      <c r="C34" s="320">
        <f>C33*(1+Lønn!$R$6)</f>
        <v>277.84380126748766</v>
      </c>
      <c r="D34" s="320">
        <f>D33*(1+Lønn!$R$6)</f>
        <v>277.84380126748766</v>
      </c>
      <c r="E34" s="320">
        <f>E33*(1+Lønn!$R$6)</f>
        <v>277.84380126748766</v>
      </c>
      <c r="F34" s="320">
        <f>F33*(1+Lønn!$R$6)</f>
        <v>277.84380126748766</v>
      </c>
      <c r="G34" s="320">
        <f>G33*(1+Lønn!$R$6)</f>
        <v>277.84380126748766</v>
      </c>
      <c r="H34" s="320">
        <f>H33*(1+Lønn!$R$6)</f>
        <v>277.84380126748766</v>
      </c>
      <c r="I34" s="320">
        <f>I33*(1+Lønn!$R$6)</f>
        <v>277.84380126748766</v>
      </c>
      <c r="J34" s="320">
        <f>J33*(1+Lønn!$R$6)</f>
        <v>277.84380126748766</v>
      </c>
    </row>
    <row r="35" spans="2:12">
      <c r="B35" s="319" t="s">
        <v>155</v>
      </c>
      <c r="C35" s="322">
        <f>C29</f>
        <v>0.3833333333333333</v>
      </c>
      <c r="D35" s="322">
        <f t="shared" ref="D35:J35" si="8">D29</f>
        <v>0.48333333333333339</v>
      </c>
      <c r="E35" s="322">
        <f t="shared" si="8"/>
        <v>0.48333333333333339</v>
      </c>
      <c r="F35" s="322">
        <f t="shared" si="8"/>
        <v>0.6166666666666667</v>
      </c>
      <c r="G35" s="322">
        <f t="shared" si="8"/>
        <v>0.68333333333333335</v>
      </c>
      <c r="H35" s="322">
        <f t="shared" si="8"/>
        <v>0.68333333333333335</v>
      </c>
      <c r="I35" s="322">
        <f t="shared" si="8"/>
        <v>0.75</v>
      </c>
      <c r="J35" s="322">
        <f t="shared" si="8"/>
        <v>0.88333333333333341</v>
      </c>
    </row>
    <row r="36" spans="2:12">
      <c r="B36" s="324" t="s">
        <v>457</v>
      </c>
      <c r="C36" s="325">
        <f>C33*C35</f>
        <v>100.84454750416531</v>
      </c>
      <c r="D36" s="325">
        <f t="shared" ref="D36:J36" si="9">D33*D35</f>
        <v>127.1518207661215</v>
      </c>
      <c r="E36" s="325">
        <f t="shared" si="9"/>
        <v>127.1518207661215</v>
      </c>
      <c r="F36" s="325">
        <f t="shared" si="9"/>
        <v>162.22818511539637</v>
      </c>
      <c r="G36" s="325">
        <f t="shared" si="9"/>
        <v>179.76636729003383</v>
      </c>
      <c r="H36" s="325">
        <f t="shared" si="9"/>
        <v>179.76636729003383</v>
      </c>
      <c r="I36" s="325">
        <f t="shared" si="9"/>
        <v>197.30454946467125</v>
      </c>
      <c r="J36" s="325">
        <f t="shared" si="9"/>
        <v>232.38091381394619</v>
      </c>
    </row>
    <row r="37" spans="2:12">
      <c r="F37" s="55"/>
    </row>
    <row r="38" spans="2:12">
      <c r="F38" s="55"/>
    </row>
    <row r="39" spans="2:12">
      <c r="B39" s="313" t="s">
        <v>493</v>
      </c>
      <c r="C39" s="314">
        <v>1</v>
      </c>
      <c r="D39" s="314">
        <v>2</v>
      </c>
      <c r="E39" s="314">
        <v>3</v>
      </c>
      <c r="F39" s="314">
        <v>4</v>
      </c>
      <c r="G39" s="314">
        <v>5</v>
      </c>
      <c r="H39" s="314">
        <v>6</v>
      </c>
      <c r="I39" s="314">
        <v>7</v>
      </c>
      <c r="J39" s="315">
        <v>8</v>
      </c>
    </row>
    <row r="40" spans="2:12">
      <c r="B40" s="160" t="s">
        <v>1</v>
      </c>
      <c r="C40" s="274">
        <f>C24*$C$11</f>
        <v>106.53212520681234</v>
      </c>
      <c r="D40" s="274">
        <f t="shared" ref="D40:J40" si="10">D24*$C$11</f>
        <v>142.04283360908312</v>
      </c>
      <c r="E40" s="274">
        <f t="shared" si="10"/>
        <v>284.08566721816624</v>
      </c>
      <c r="F40" s="274">
        <f t="shared" si="10"/>
        <v>333.80065898134535</v>
      </c>
      <c r="G40" s="274">
        <f t="shared" si="10"/>
        <v>284.08566721816624</v>
      </c>
      <c r="H40" s="274">
        <f t="shared" si="10"/>
        <v>298.28995057907457</v>
      </c>
      <c r="I40" s="274">
        <f t="shared" si="10"/>
        <v>326.69851730089113</v>
      </c>
      <c r="J40" s="275">
        <f t="shared" si="10"/>
        <v>355.1070840227078</v>
      </c>
    </row>
    <row r="41" spans="2:12">
      <c r="B41" s="160" t="s">
        <v>6</v>
      </c>
      <c r="C41" s="276">
        <f>C24*$C$20</f>
        <v>6.8144444218757281</v>
      </c>
      <c r="D41" s="276">
        <f t="shared" ref="D41:J41" si="11">D24*$C$20</f>
        <v>9.0859258958343041</v>
      </c>
      <c r="E41" s="276">
        <f t="shared" si="11"/>
        <v>18.171851791668608</v>
      </c>
      <c r="F41" s="276">
        <f t="shared" si="11"/>
        <v>21.351925855210617</v>
      </c>
      <c r="G41" s="276">
        <f t="shared" si="11"/>
        <v>18.171851791668608</v>
      </c>
      <c r="H41" s="276">
        <f t="shared" si="11"/>
        <v>19.08044438125204</v>
      </c>
      <c r="I41" s="276">
        <f t="shared" si="11"/>
        <v>20.897629560418899</v>
      </c>
      <c r="J41" s="277">
        <f t="shared" si="11"/>
        <v>22.714814739585762</v>
      </c>
    </row>
    <row r="42" spans="2:12">
      <c r="B42" s="160" t="s">
        <v>41</v>
      </c>
      <c r="C42" s="274">
        <f>C36*C29</f>
        <v>38.657076543263365</v>
      </c>
      <c r="D42" s="274">
        <f t="shared" ref="D42:J42" si="12">D36*D29</f>
        <v>61.456713370292064</v>
      </c>
      <c r="E42" s="274">
        <f t="shared" si="12"/>
        <v>61.456713370292064</v>
      </c>
      <c r="F42" s="274">
        <f t="shared" si="12"/>
        <v>100.04071415449444</v>
      </c>
      <c r="G42" s="274">
        <f t="shared" si="12"/>
        <v>122.84035098152312</v>
      </c>
      <c r="H42" s="274">
        <f t="shared" si="12"/>
        <v>122.84035098152312</v>
      </c>
      <c r="I42" s="274">
        <f t="shared" si="12"/>
        <v>147.97841209850344</v>
      </c>
      <c r="J42" s="275">
        <f t="shared" si="12"/>
        <v>205.26980720231916</v>
      </c>
    </row>
    <row r="43" spans="2:12">
      <c r="B43" s="160"/>
      <c r="C43" s="161"/>
      <c r="D43" s="161"/>
      <c r="E43" s="278"/>
      <c r="F43" s="161"/>
      <c r="G43" s="161"/>
      <c r="H43" s="161"/>
      <c r="I43" s="161"/>
      <c r="J43" s="169"/>
    </row>
    <row r="44" spans="2:12">
      <c r="B44" s="174" t="s">
        <v>489</v>
      </c>
      <c r="C44" s="279">
        <f>SUM(C40:C42)</f>
        <v>152.00364617195143</v>
      </c>
      <c r="D44" s="279">
        <f t="shared" ref="D44:J44" si="13">SUM(D40:D42)</f>
        <v>212.58547287520946</v>
      </c>
      <c r="E44" s="279">
        <f t="shared" si="13"/>
        <v>363.71423238012687</v>
      </c>
      <c r="F44" s="279">
        <f t="shared" si="13"/>
        <v>455.19329899105037</v>
      </c>
      <c r="G44" s="279">
        <f t="shared" si="13"/>
        <v>425.09786999135792</v>
      </c>
      <c r="H44" s="279">
        <f t="shared" si="13"/>
        <v>440.21074594184972</v>
      </c>
      <c r="I44" s="279">
        <f t="shared" si="13"/>
        <v>495.57455895981349</v>
      </c>
      <c r="J44" s="280">
        <f t="shared" si="13"/>
        <v>583.09170596461274</v>
      </c>
      <c r="L44" t="s">
        <v>558</v>
      </c>
    </row>
    <row r="45" spans="2:12">
      <c r="B45" s="281"/>
      <c r="C45" s="13"/>
      <c r="D45" s="13"/>
      <c r="E45" s="13"/>
      <c r="F45" s="13"/>
      <c r="G45" s="161"/>
      <c r="H45" s="161"/>
      <c r="I45" s="161"/>
      <c r="J45" s="169"/>
    </row>
    <row r="46" spans="2:12">
      <c r="B46" s="160" t="s">
        <v>490</v>
      </c>
      <c r="C46" s="278">
        <f>C44*1.04</f>
        <v>158.08379201882948</v>
      </c>
      <c r="D46" s="278">
        <f t="shared" ref="D46:J46" si="14">D44*1.04</f>
        <v>221.08889179021784</v>
      </c>
      <c r="E46" s="278">
        <f t="shared" si="14"/>
        <v>378.26280167533196</v>
      </c>
      <c r="F46" s="278">
        <f t="shared" si="14"/>
        <v>473.40103095069242</v>
      </c>
      <c r="G46" s="278">
        <f t="shared" si="14"/>
        <v>442.10178479101228</v>
      </c>
      <c r="H46" s="278">
        <f t="shared" si="14"/>
        <v>457.81917577952373</v>
      </c>
      <c r="I46" s="278">
        <f t="shared" si="14"/>
        <v>515.39754131820609</v>
      </c>
      <c r="J46" s="283">
        <f t="shared" si="14"/>
        <v>606.4153742031973</v>
      </c>
    </row>
    <row r="47" spans="2:12">
      <c r="B47" s="158" t="s">
        <v>492</v>
      </c>
      <c r="C47" s="284">
        <f>C46/C35</f>
        <v>412.39250091868564</v>
      </c>
      <c r="D47" s="284">
        <f t="shared" ref="D47:J47" si="15">D46/D35</f>
        <v>457.42529335907136</v>
      </c>
      <c r="E47" s="284">
        <f t="shared" si="15"/>
        <v>782.61269312137642</v>
      </c>
      <c r="F47" s="284">
        <f t="shared" si="15"/>
        <v>767.67734748760927</v>
      </c>
      <c r="G47" s="284">
        <f t="shared" si="15"/>
        <v>646.97822164538377</v>
      </c>
      <c r="H47" s="284">
        <f t="shared" si="15"/>
        <v>669.97928162857136</v>
      </c>
      <c r="I47" s="284">
        <f t="shared" si="15"/>
        <v>687.19672175760809</v>
      </c>
      <c r="J47" s="285">
        <f t="shared" si="15"/>
        <v>686.5079707960723</v>
      </c>
    </row>
    <row r="48" spans="2:12">
      <c r="B48" s="286" t="s">
        <v>491</v>
      </c>
      <c r="C48" s="287">
        <f>C46/30</f>
        <v>5.269459733960983</v>
      </c>
      <c r="D48" s="287">
        <f t="shared" ref="D48:J48" si="16">D46/30</f>
        <v>7.3696297263405945</v>
      </c>
      <c r="E48" s="287">
        <f t="shared" si="16"/>
        <v>12.608760055844398</v>
      </c>
      <c r="F48" s="287">
        <f t="shared" si="16"/>
        <v>15.780034365023081</v>
      </c>
      <c r="G48" s="287">
        <f t="shared" si="16"/>
        <v>14.736726159700408</v>
      </c>
      <c r="H48" s="287">
        <f t="shared" si="16"/>
        <v>15.260639192650791</v>
      </c>
      <c r="I48" s="287">
        <f t="shared" si="16"/>
        <v>17.179918043940201</v>
      </c>
      <c r="J48" s="288">
        <f t="shared" si="16"/>
        <v>20.213845806773243</v>
      </c>
    </row>
    <row r="49" spans="2:11">
      <c r="G49" s="10"/>
    </row>
    <row r="51" spans="2:11">
      <c r="B51" s="327" t="s">
        <v>448</v>
      </c>
      <c r="C51" s="328">
        <f>30*C24</f>
        <v>90</v>
      </c>
      <c r="D51" s="328">
        <f t="shared" ref="D51:I51" si="17">30*D24</f>
        <v>120</v>
      </c>
      <c r="E51" s="328">
        <f t="shared" si="17"/>
        <v>240</v>
      </c>
      <c r="F51" s="328">
        <f t="shared" si="17"/>
        <v>282</v>
      </c>
      <c r="G51" s="328">
        <f t="shared" si="17"/>
        <v>240</v>
      </c>
      <c r="H51" s="328">
        <f t="shared" si="17"/>
        <v>252</v>
      </c>
      <c r="I51" s="328">
        <f t="shared" si="17"/>
        <v>276</v>
      </c>
      <c r="J51" s="328">
        <f>30*J24</f>
        <v>300</v>
      </c>
    </row>
    <row r="52" spans="2:11" ht="15.75" thickBot="1">
      <c r="B52" s="331" t="s">
        <v>557</v>
      </c>
      <c r="C52" s="332">
        <f>C51*250</f>
        <v>22500</v>
      </c>
      <c r="D52" s="332">
        <f t="shared" ref="D52:I52" si="18">D51*250</f>
        <v>30000</v>
      </c>
      <c r="E52" s="332">
        <f t="shared" si="18"/>
        <v>60000</v>
      </c>
      <c r="F52" s="332">
        <f t="shared" si="18"/>
        <v>70500</v>
      </c>
      <c r="G52" s="332">
        <f t="shared" si="18"/>
        <v>60000</v>
      </c>
      <c r="H52" s="332">
        <f t="shared" si="18"/>
        <v>63000</v>
      </c>
      <c r="I52" s="332">
        <f t="shared" si="18"/>
        <v>69000</v>
      </c>
      <c r="J52" s="332">
        <f>J51*250</f>
        <v>75000</v>
      </c>
      <c r="K52" s="414">
        <f>SUM(C52:J52)</f>
        <v>450000</v>
      </c>
    </row>
    <row r="53" spans="2:11" ht="15.75" thickTop="1"/>
    <row r="56" spans="2:11">
      <c r="B56" s="541" t="s">
        <v>572</v>
      </c>
      <c r="C56" s="542"/>
      <c r="D56" s="542"/>
      <c r="E56" s="542"/>
      <c r="F56" s="542"/>
      <c r="G56" s="542"/>
      <c r="H56" s="542"/>
      <c r="I56" s="542"/>
      <c r="J56" s="542"/>
      <c r="K56" s="447" t="s">
        <v>237</v>
      </c>
    </row>
    <row r="57" spans="2:11">
      <c r="B57" s="160" t="s">
        <v>523</v>
      </c>
      <c r="C57" s="278">
        <f t="shared" ref="C57:J57" si="19">($M$9*C48)/2</f>
        <v>19760.474002353687</v>
      </c>
      <c r="D57" s="278">
        <f t="shared" si="19"/>
        <v>27636.11147377723</v>
      </c>
      <c r="E57" s="278">
        <f t="shared" si="19"/>
        <v>47282.850209416494</v>
      </c>
      <c r="F57" s="278">
        <f t="shared" si="19"/>
        <v>59175.128868836553</v>
      </c>
      <c r="G57" s="278">
        <f t="shared" si="19"/>
        <v>55262.72309887653</v>
      </c>
      <c r="H57" s="278">
        <f t="shared" si="19"/>
        <v>57227.396972440467</v>
      </c>
      <c r="I57" s="278">
        <f t="shared" si="19"/>
        <v>64424.692664775757</v>
      </c>
      <c r="J57" s="278">
        <f t="shared" si="19"/>
        <v>75801.921775399664</v>
      </c>
      <c r="K57" s="278">
        <f>SUM(C57:J57)</f>
        <v>406571.2990658764</v>
      </c>
    </row>
    <row r="58" spans="2:11">
      <c r="B58" s="171" t="s">
        <v>524</v>
      </c>
      <c r="C58" s="366">
        <f>C57</f>
        <v>19760.474002353687</v>
      </c>
      <c r="D58" s="366">
        <f t="shared" ref="D58:J58" si="20">D57</f>
        <v>27636.11147377723</v>
      </c>
      <c r="E58" s="366">
        <f t="shared" si="20"/>
        <v>47282.850209416494</v>
      </c>
      <c r="F58" s="366">
        <f t="shared" si="20"/>
        <v>59175.128868836553</v>
      </c>
      <c r="G58" s="366">
        <f t="shared" si="20"/>
        <v>55262.72309887653</v>
      </c>
      <c r="H58" s="366">
        <f t="shared" si="20"/>
        <v>57227.396972440467</v>
      </c>
      <c r="I58" s="366">
        <f t="shared" si="20"/>
        <v>64424.692664775757</v>
      </c>
      <c r="J58" s="366">
        <f t="shared" si="20"/>
        <v>75801.921775399664</v>
      </c>
      <c r="K58" s="366">
        <f>SUM(C58:J58)</f>
        <v>406571.2990658764</v>
      </c>
    </row>
    <row r="59" spans="2:11" ht="15.75" thickBot="1">
      <c r="K59" s="408">
        <f>K57+K58</f>
        <v>813142.59813175281</v>
      </c>
    </row>
    <row r="60" spans="2:11" s="417" customFormat="1" ht="15.75" thickTop="1"/>
    <row r="61" spans="2:11" s="417" customFormat="1"/>
    <row r="62" spans="2:11" s="417" customFormat="1" ht="15.75" thickBot="1"/>
    <row r="63" spans="2:11" s="417" customFormat="1" ht="15.75" thickBot="1">
      <c r="B63" s="543" t="s">
        <v>576</v>
      </c>
      <c r="C63" s="544"/>
      <c r="D63" s="544"/>
      <c r="E63" s="545"/>
    </row>
    <row r="65" spans="2:9">
      <c r="B65" s="405" t="s">
        <v>481</v>
      </c>
      <c r="C65" s="405">
        <v>52</v>
      </c>
    </row>
    <row r="66" spans="2:9">
      <c r="B66" s="405" t="s">
        <v>482</v>
      </c>
      <c r="C66" s="405">
        <v>5</v>
      </c>
    </row>
    <row r="67" spans="2:9">
      <c r="B67" s="405" t="s">
        <v>483</v>
      </c>
      <c r="C67" s="290">
        <f>Lønn!C47</f>
        <v>547191.28384868836</v>
      </c>
    </row>
    <row r="68" spans="2:9">
      <c r="B68" s="405" t="s">
        <v>495</v>
      </c>
      <c r="C68" s="405">
        <v>250</v>
      </c>
    </row>
    <row r="69" spans="2:9">
      <c r="B69" s="417"/>
      <c r="C69" s="417"/>
    </row>
    <row r="70" spans="2:9">
      <c r="B70" s="417"/>
      <c r="C70" s="417"/>
    </row>
    <row r="71" spans="2:9">
      <c r="B71" s="318" t="s">
        <v>1</v>
      </c>
      <c r="C71" s="273"/>
      <c r="F71" s="537" t="s">
        <v>618</v>
      </c>
      <c r="G71" s="537"/>
      <c r="H71" s="537"/>
      <c r="I71" s="6"/>
    </row>
    <row r="72" spans="2:9">
      <c r="B72" s="160" t="s">
        <v>2</v>
      </c>
      <c r="C72" s="385">
        <f>Nullalternativ!C13</f>
        <v>798605.95620437025</v>
      </c>
      <c r="F72" s="23" t="s">
        <v>580</v>
      </c>
      <c r="G72">
        <f>30</f>
        <v>30</v>
      </c>
    </row>
    <row r="73" spans="2:9">
      <c r="B73" s="160" t="s">
        <v>3</v>
      </c>
      <c r="C73" s="385">
        <f>Nullalternativ!C14</f>
        <v>1313161.7999999998</v>
      </c>
      <c r="F73" t="s">
        <v>581</v>
      </c>
      <c r="G73">
        <v>30000</v>
      </c>
    </row>
    <row r="74" spans="2:9">
      <c r="B74" s="160" t="s">
        <v>4</v>
      </c>
      <c r="C74" s="385">
        <f>'Biler, investering'!G34</f>
        <v>160000</v>
      </c>
      <c r="F74" t="s">
        <v>561</v>
      </c>
      <c r="G74">
        <f>G73/G72</f>
        <v>1000</v>
      </c>
    </row>
    <row r="75" spans="2:9">
      <c r="B75" s="160" t="s">
        <v>5</v>
      </c>
      <c r="C75" s="385">
        <f>'Biler, investering'!G25</f>
        <v>259840</v>
      </c>
      <c r="F75" t="s">
        <v>582</v>
      </c>
      <c r="G75" s="14">
        <f>C90</f>
        <v>118</v>
      </c>
    </row>
    <row r="76" spans="2:9">
      <c r="B76" s="160" t="s">
        <v>10</v>
      </c>
      <c r="C76" s="385">
        <f>Nullalternativ!C17</f>
        <v>664356</v>
      </c>
      <c r="F76" t="s">
        <v>615</v>
      </c>
      <c r="G76">
        <f>G74*G75</f>
        <v>118000</v>
      </c>
    </row>
    <row r="77" spans="2:9">
      <c r="B77" s="386" t="s">
        <v>165</v>
      </c>
      <c r="C77" s="445">
        <f>(C73+C74+C75+C76+C72)/G77</f>
        <v>4.5140731019835734</v>
      </c>
      <c r="F77" t="s">
        <v>616</v>
      </c>
      <c r="G77">
        <f>(G76/2)*12</f>
        <v>708000</v>
      </c>
    </row>
    <row r="78" spans="2:9">
      <c r="B78" s="417"/>
      <c r="C78" s="417"/>
    </row>
    <row r="79" spans="2:9">
      <c r="B79" s="417"/>
      <c r="C79" s="417"/>
    </row>
    <row r="80" spans="2:9">
      <c r="B80" s="318" t="s">
        <v>6</v>
      </c>
      <c r="C80" s="273"/>
    </row>
    <row r="81" spans="2:6">
      <c r="B81" s="388" t="s">
        <v>164</v>
      </c>
      <c r="C81" s="389">
        <f>'Dieselpriser, variable'!$G$40</f>
        <v>15.614000000000001</v>
      </c>
    </row>
    <row r="82" spans="2:6">
      <c r="B82" s="160" t="s">
        <v>394</v>
      </c>
      <c r="C82" s="390">
        <f>5/10</f>
        <v>0.5</v>
      </c>
    </row>
    <row r="83" spans="2:6">
      <c r="B83" s="388" t="s">
        <v>393</v>
      </c>
      <c r="C83" s="389">
        <f>((C82*C90)*C81)/C90</f>
        <v>7.8070000000000004</v>
      </c>
    </row>
    <row r="84" spans="2:6">
      <c r="B84" s="160" t="s">
        <v>619</v>
      </c>
      <c r="C84" s="389">
        <f>Nullalternativ!C25</f>
        <v>0.84805653710247353</v>
      </c>
    </row>
    <row r="85" spans="2:6">
      <c r="B85" s="160" t="s">
        <v>7</v>
      </c>
      <c r="C85" s="391">
        <f>Nullalternativ!C26</f>
        <v>1.5767639999999998</v>
      </c>
    </row>
    <row r="86" spans="2:6">
      <c r="B86" s="392" t="s">
        <v>217</v>
      </c>
      <c r="C86" s="393">
        <f>(C83+C84+C85)</f>
        <v>10.231820537102475</v>
      </c>
    </row>
    <row r="87" spans="2:6">
      <c r="B87" s="417"/>
      <c r="C87" s="417"/>
    </row>
    <row r="88" spans="2:6">
      <c r="B88" s="336" t="s">
        <v>9</v>
      </c>
      <c r="C88" s="273" t="s">
        <v>577</v>
      </c>
    </row>
    <row r="89" spans="2:6">
      <c r="B89" s="337" t="s">
        <v>228</v>
      </c>
      <c r="C89" s="339">
        <f>C90/C91</f>
        <v>76.311377245508979</v>
      </c>
      <c r="E89" s="453" t="s">
        <v>578</v>
      </c>
      <c r="F89" s="453" t="s">
        <v>579</v>
      </c>
    </row>
    <row r="90" spans="2:6">
      <c r="B90" s="319" t="s">
        <v>229</v>
      </c>
      <c r="C90" s="341">
        <f>E90+F90</f>
        <v>118</v>
      </c>
      <c r="E90" s="407">
        <f>(57.4+60.1)/2</f>
        <v>58.75</v>
      </c>
      <c r="F90" s="407">
        <f>(57.2+61.3)/2</f>
        <v>59.25</v>
      </c>
    </row>
    <row r="91" spans="2:6">
      <c r="B91" s="319" t="s">
        <v>231</v>
      </c>
      <c r="C91" s="341">
        <f>('Trafikkdata, alt. 1'!C33)/60</f>
        <v>1.5462962962962963</v>
      </c>
    </row>
    <row r="92" spans="2:6">
      <c r="B92" s="319" t="s">
        <v>418</v>
      </c>
      <c r="C92" s="343">
        <f>(6/60)</f>
        <v>0.1</v>
      </c>
    </row>
    <row r="93" spans="2:6">
      <c r="B93" s="319" t="s">
        <v>474</v>
      </c>
      <c r="C93" s="343">
        <f>2/60</f>
        <v>3.3333333333333333E-2</v>
      </c>
    </row>
    <row r="94" spans="2:6">
      <c r="B94" s="319" t="s">
        <v>154</v>
      </c>
      <c r="C94" s="345">
        <f>C92+C93</f>
        <v>0.13333333333333333</v>
      </c>
    </row>
    <row r="95" spans="2:6">
      <c r="B95" s="346" t="s">
        <v>155</v>
      </c>
      <c r="C95" s="348">
        <f>(C91+C94)</f>
        <v>1.6796296296296296</v>
      </c>
    </row>
    <row r="96" spans="2:6">
      <c r="B96" s="417"/>
      <c r="C96" s="417"/>
    </row>
    <row r="97" spans="2:3">
      <c r="B97" s="417"/>
      <c r="C97" s="417"/>
    </row>
    <row r="98" spans="2:3">
      <c r="B98" s="318" t="s">
        <v>8</v>
      </c>
      <c r="C98" s="273"/>
    </row>
    <row r="99" spans="2:3">
      <c r="B99" s="319" t="s">
        <v>159</v>
      </c>
      <c r="C99" s="321">
        <f>Nullalternativ!C40</f>
        <v>263.07273261956169</v>
      </c>
    </row>
    <row r="100" spans="2:3">
      <c r="B100" s="319" t="s">
        <v>155</v>
      </c>
      <c r="C100" s="323">
        <f>C95</f>
        <v>1.6796296296296296</v>
      </c>
    </row>
    <row r="101" spans="2:3">
      <c r="B101" s="324" t="s">
        <v>457</v>
      </c>
      <c r="C101" s="326">
        <f>C99*C100</f>
        <v>441.86475645544897</v>
      </c>
    </row>
    <row r="103" spans="2:3">
      <c r="B103" s="417"/>
      <c r="C103" s="417"/>
    </row>
    <row r="104" spans="2:3">
      <c r="B104" s="417"/>
      <c r="C104" s="417"/>
    </row>
    <row r="105" spans="2:3">
      <c r="B105" s="313" t="s">
        <v>493</v>
      </c>
      <c r="C105" s="315" t="s">
        <v>577</v>
      </c>
    </row>
    <row r="106" spans="2:3">
      <c r="B106" s="160" t="s">
        <v>1</v>
      </c>
      <c r="C106" s="275">
        <f>C90*$C$11</f>
        <v>4190.2635914679522</v>
      </c>
    </row>
    <row r="107" spans="2:3">
      <c r="B107" s="160" t="s">
        <v>6</v>
      </c>
      <c r="C107" s="277">
        <f>C90*C86</f>
        <v>1207.3548233780921</v>
      </c>
    </row>
    <row r="108" spans="2:3">
      <c r="B108" s="160" t="s">
        <v>41</v>
      </c>
      <c r="C108" s="275">
        <f>C101</f>
        <v>441.86475645544897</v>
      </c>
    </row>
    <row r="109" spans="2:3">
      <c r="B109" s="160"/>
      <c r="C109" s="169"/>
    </row>
    <row r="110" spans="2:3">
      <c r="B110" s="174" t="s">
        <v>489</v>
      </c>
      <c r="C110" s="280">
        <f>SUM(C106:C108)</f>
        <v>5839.4831713014937</v>
      </c>
    </row>
    <row r="111" spans="2:3">
      <c r="B111" s="281"/>
      <c r="C111" s="282"/>
    </row>
    <row r="112" spans="2:3">
      <c r="B112" s="160" t="s">
        <v>490</v>
      </c>
      <c r="C112" s="283">
        <f>C110*1.04</f>
        <v>6073.0624981535539</v>
      </c>
    </row>
    <row r="113" spans="2:8">
      <c r="B113" s="158" t="s">
        <v>492</v>
      </c>
      <c r="C113" s="285">
        <f>C112/C100</f>
        <v>3615.7152690219618</v>
      </c>
    </row>
    <row r="114" spans="2:8">
      <c r="B114" s="286" t="s">
        <v>491</v>
      </c>
      <c r="C114" s="288">
        <f>C112/60</f>
        <v>101.21770830255923</v>
      </c>
    </row>
    <row r="115" spans="2:8">
      <c r="B115" s="417"/>
      <c r="C115" s="417"/>
    </row>
    <row r="116" spans="2:8">
      <c r="B116" s="417"/>
      <c r="C116" s="417"/>
    </row>
    <row r="117" spans="2:8">
      <c r="B117" s="327" t="s">
        <v>448</v>
      </c>
      <c r="C117" s="454">
        <f>30*C90</f>
        <v>3540</v>
      </c>
    </row>
    <row r="118" spans="2:8">
      <c r="B118" s="331" t="s">
        <v>583</v>
      </c>
      <c r="C118" s="455">
        <f>C117*G74</f>
        <v>3540000</v>
      </c>
    </row>
    <row r="121" spans="2:8">
      <c r="C121" s="22"/>
    </row>
    <row r="122" spans="2:8">
      <c r="B122" s="442" t="s">
        <v>590</v>
      </c>
      <c r="C122" s="409" t="s">
        <v>237</v>
      </c>
    </row>
    <row r="123" spans="2:8">
      <c r="B123" s="160" t="s">
        <v>523</v>
      </c>
      <c r="C123" s="283">
        <f>(C114*30000)+K57</f>
        <v>3443102.5481426534</v>
      </c>
    </row>
    <row r="124" spans="2:8">
      <c r="B124" s="171" t="s">
        <v>524</v>
      </c>
      <c r="C124" s="283">
        <f>C123</f>
        <v>3443102.5481426534</v>
      </c>
      <c r="D124" s="466"/>
      <c r="E124" s="161"/>
      <c r="F124" s="534" t="s">
        <v>586</v>
      </c>
      <c r="G124" s="535"/>
      <c r="H124" s="536"/>
    </row>
    <row r="125" spans="2:8" ht="15.75" thickBot="1">
      <c r="B125" s="467" t="s">
        <v>237</v>
      </c>
      <c r="C125" s="440">
        <f>SUM(C123:C124)</f>
        <v>6886205.0962853068</v>
      </c>
      <c r="D125" s="443"/>
      <c r="E125" s="310"/>
      <c r="F125" s="469" t="s">
        <v>585</v>
      </c>
      <c r="G125" s="470">
        <v>0.2</v>
      </c>
      <c r="H125" s="471"/>
    </row>
    <row r="126" spans="2:8" ht="15.75" thickTop="1">
      <c r="D126" s="443"/>
      <c r="E126" s="465"/>
      <c r="F126" s="406">
        <v>10</v>
      </c>
      <c r="G126" s="161">
        <v>98.5</v>
      </c>
      <c r="H126" s="472">
        <f t="shared" ref="H126:H144" si="21">G126-G127</f>
        <v>7.7000000000000028</v>
      </c>
    </row>
    <row r="127" spans="2:8">
      <c r="E127" s="465"/>
      <c r="F127" s="406">
        <v>11</v>
      </c>
      <c r="G127" s="161">
        <v>90.8</v>
      </c>
      <c r="H127" s="472">
        <f t="shared" si="21"/>
        <v>6.5</v>
      </c>
    </row>
    <row r="128" spans="2:8">
      <c r="E128" s="161"/>
      <c r="F128" s="406">
        <v>12</v>
      </c>
      <c r="G128" s="161">
        <v>84.3</v>
      </c>
      <c r="H128" s="472">
        <f t="shared" si="21"/>
        <v>5.3999999999999915</v>
      </c>
    </row>
    <row r="129" spans="2:8">
      <c r="B129" s="533" t="s">
        <v>589</v>
      </c>
      <c r="C129" s="533"/>
      <c r="F129" s="406">
        <v>13</v>
      </c>
      <c r="G129" s="161">
        <v>78.900000000000006</v>
      </c>
      <c r="H129" s="472">
        <f t="shared" si="21"/>
        <v>4.7000000000000028</v>
      </c>
    </row>
    <row r="130" spans="2:8">
      <c r="B130" s="361" t="s">
        <v>584</v>
      </c>
      <c r="C130" s="475">
        <f>C118</f>
        <v>3540000</v>
      </c>
      <c r="F130" s="406">
        <v>14</v>
      </c>
      <c r="G130" s="161">
        <v>74.2</v>
      </c>
      <c r="H130" s="472">
        <f t="shared" si="21"/>
        <v>3.6000000000000085</v>
      </c>
    </row>
    <row r="131" spans="2:8">
      <c r="B131" s="160" t="s">
        <v>587</v>
      </c>
      <c r="C131" s="169">
        <f>'Alternativ 1'!G146</f>
        <v>44.900000000000006</v>
      </c>
      <c r="F131" s="406">
        <v>15</v>
      </c>
      <c r="G131" s="161">
        <f>70.6</f>
        <v>70.599999999999994</v>
      </c>
      <c r="H131" s="472">
        <f t="shared" si="21"/>
        <v>3.7999999999999972</v>
      </c>
    </row>
    <row r="132" spans="2:8">
      <c r="B132" s="171" t="s">
        <v>588</v>
      </c>
      <c r="C132" s="353">
        <f>C131/1000</f>
        <v>4.4900000000000002E-2</v>
      </c>
      <c r="F132" s="406">
        <v>16</v>
      </c>
      <c r="G132" s="161">
        <v>66.8</v>
      </c>
      <c r="H132" s="472">
        <f t="shared" si="21"/>
        <v>3</v>
      </c>
    </row>
    <row r="133" spans="2:8">
      <c r="F133" s="406">
        <v>17</v>
      </c>
      <c r="G133" s="161">
        <v>63.8</v>
      </c>
      <c r="H133" s="472">
        <f t="shared" si="21"/>
        <v>2.5999999999999943</v>
      </c>
    </row>
    <row r="134" spans="2:8">
      <c r="F134" s="406">
        <v>18</v>
      </c>
      <c r="G134" s="161">
        <v>61.2</v>
      </c>
      <c r="H134" s="472">
        <f t="shared" si="21"/>
        <v>2.4000000000000057</v>
      </c>
    </row>
    <row r="135" spans="2:8">
      <c r="B135" s="508" t="s">
        <v>622</v>
      </c>
      <c r="C135" s="441" t="s">
        <v>237</v>
      </c>
      <c r="F135" s="406">
        <v>19</v>
      </c>
      <c r="G135" s="161">
        <v>58.8</v>
      </c>
      <c r="H135" s="472">
        <f t="shared" si="21"/>
        <v>2</v>
      </c>
    </row>
    <row r="136" spans="2:8">
      <c r="B136" s="160" t="s">
        <v>523</v>
      </c>
      <c r="C136" s="358">
        <f>(C130*C132)</f>
        <v>158946</v>
      </c>
      <c r="F136" s="406">
        <v>20</v>
      </c>
      <c r="G136" s="161">
        <v>56.8</v>
      </c>
      <c r="H136" s="472">
        <f t="shared" si="21"/>
        <v>1.8999999999999986</v>
      </c>
    </row>
    <row r="137" spans="2:8">
      <c r="B137" s="171" t="s">
        <v>524</v>
      </c>
      <c r="C137" s="358">
        <f>C136</f>
        <v>158946</v>
      </c>
      <c r="F137" s="406">
        <v>21</v>
      </c>
      <c r="G137" s="161">
        <v>54.9</v>
      </c>
      <c r="H137" s="472">
        <f t="shared" si="21"/>
        <v>1.6000000000000014</v>
      </c>
    </row>
    <row r="138" spans="2:8">
      <c r="B138" s="509" t="s">
        <v>237</v>
      </c>
      <c r="C138" s="506">
        <f>SUM(C136:C137)</f>
        <v>317892</v>
      </c>
      <c r="F138" s="406">
        <v>22</v>
      </c>
      <c r="G138" s="161">
        <v>53.3</v>
      </c>
      <c r="H138" s="472">
        <f t="shared" si="21"/>
        <v>1.5</v>
      </c>
    </row>
    <row r="139" spans="2:8">
      <c r="F139" s="406">
        <v>23</v>
      </c>
      <c r="G139" s="161">
        <v>51.8</v>
      </c>
      <c r="H139" s="472">
        <f t="shared" si="21"/>
        <v>1.2999999999999972</v>
      </c>
    </row>
    <row r="140" spans="2:8">
      <c r="F140" s="406">
        <v>24</v>
      </c>
      <c r="G140" s="161">
        <v>50.5</v>
      </c>
      <c r="H140" s="472">
        <f t="shared" si="21"/>
        <v>1.2000000000000028</v>
      </c>
    </row>
    <row r="141" spans="2:8">
      <c r="F141" s="406">
        <v>25</v>
      </c>
      <c r="G141" s="161">
        <v>49.3</v>
      </c>
      <c r="H141" s="472">
        <f t="shared" si="21"/>
        <v>1</v>
      </c>
    </row>
    <row r="142" spans="2:8">
      <c r="F142" s="406">
        <v>26</v>
      </c>
      <c r="G142" s="161">
        <v>48.3</v>
      </c>
      <c r="H142" s="472">
        <f t="shared" si="21"/>
        <v>1</v>
      </c>
    </row>
    <row r="143" spans="2:8">
      <c r="F143" s="406">
        <v>27</v>
      </c>
      <c r="G143" s="161">
        <v>47.3</v>
      </c>
      <c r="H143" s="472">
        <f t="shared" si="21"/>
        <v>0.79999999999999716</v>
      </c>
    </row>
    <row r="144" spans="2:8">
      <c r="F144" s="406">
        <v>28</v>
      </c>
      <c r="G144" s="161">
        <v>46.5</v>
      </c>
      <c r="H144" s="472">
        <f t="shared" si="21"/>
        <v>0.79999999999999716</v>
      </c>
    </row>
    <row r="145" spans="6:8">
      <c r="F145" s="406">
        <v>29</v>
      </c>
      <c r="G145" s="161">
        <v>45.7</v>
      </c>
      <c r="H145" s="472"/>
    </row>
    <row r="146" spans="6:8">
      <c r="F146" s="473">
        <v>30</v>
      </c>
      <c r="G146" s="474">
        <f>G145-H144</f>
        <v>44.900000000000006</v>
      </c>
      <c r="H146" s="353"/>
    </row>
  </sheetData>
  <mergeCells count="7">
    <mergeCell ref="M22:P22"/>
    <mergeCell ref="B129:C129"/>
    <mergeCell ref="F124:H124"/>
    <mergeCell ref="F71:H71"/>
    <mergeCell ref="B3:E3"/>
    <mergeCell ref="B56:J56"/>
    <mergeCell ref="B63:E6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144"/>
  <sheetViews>
    <sheetView topLeftCell="B4" zoomScaleNormal="108" workbookViewId="0">
      <selection activeCell="C35" sqref="C35"/>
    </sheetView>
  </sheetViews>
  <sheetFormatPr defaultColWidth="8.85546875" defaultRowHeight="15"/>
  <cols>
    <col min="2" max="2" width="36.85546875" customWidth="1"/>
    <col min="3" max="7" width="16.85546875" customWidth="1"/>
    <col min="8" max="8" width="8.7109375" customWidth="1"/>
    <col min="9" max="9" width="23.7109375" customWidth="1"/>
    <col min="10" max="16" width="13.85546875" customWidth="1"/>
    <col min="17" max="17" width="15.85546875" customWidth="1"/>
  </cols>
  <sheetData>
    <row r="2" spans="2:28">
      <c r="T2" s="119"/>
      <c r="U2" s="119"/>
      <c r="V2" s="119"/>
      <c r="W2" s="119"/>
      <c r="X2" s="119"/>
      <c r="Y2" s="119"/>
      <c r="Z2" s="119"/>
      <c r="AA2" s="119"/>
      <c r="AB2" s="13"/>
    </row>
    <row r="3" spans="2:28" ht="15.75" thickBot="1">
      <c r="B3" s="552" t="s">
        <v>466</v>
      </c>
      <c r="C3" s="553"/>
      <c r="D3" s="553"/>
      <c r="E3" s="553"/>
      <c r="F3" s="554"/>
      <c r="G3" s="166"/>
      <c r="H3" s="166"/>
      <c r="I3" s="546" t="s">
        <v>499</v>
      </c>
      <c r="J3" s="547"/>
      <c r="K3" s="547"/>
      <c r="L3" s="547"/>
      <c r="M3" s="547"/>
      <c r="N3" s="547"/>
      <c r="O3" s="547"/>
      <c r="P3" s="548"/>
      <c r="T3" s="13"/>
      <c r="U3" s="13"/>
      <c r="V3" s="13"/>
      <c r="W3" s="13"/>
      <c r="X3" s="13"/>
      <c r="Y3" s="13"/>
      <c r="Z3" s="13"/>
      <c r="AA3" s="13"/>
      <c r="AB3" s="13"/>
    </row>
    <row r="4" spans="2:28" ht="18.75">
      <c r="B4" s="209" t="s">
        <v>302</v>
      </c>
      <c r="C4" s="354" t="s">
        <v>455</v>
      </c>
      <c r="D4" s="354" t="s">
        <v>455</v>
      </c>
      <c r="E4" s="354" t="s">
        <v>455</v>
      </c>
      <c r="F4" s="355" t="s">
        <v>455</v>
      </c>
      <c r="G4" s="162"/>
      <c r="H4" s="162"/>
      <c r="I4" s="492" t="s">
        <v>358</v>
      </c>
      <c r="J4" s="177"/>
      <c r="K4" s="177"/>
      <c r="L4" s="177"/>
      <c r="M4" s="177"/>
      <c r="N4" s="177"/>
      <c r="O4" s="177"/>
      <c r="P4" s="493"/>
      <c r="T4" s="13"/>
      <c r="U4" s="13"/>
      <c r="V4" s="13"/>
      <c r="W4" s="13"/>
      <c r="X4" s="13"/>
      <c r="Y4" s="13"/>
      <c r="Z4" s="13"/>
      <c r="AA4" s="13"/>
      <c r="AB4" s="13"/>
    </row>
    <row r="5" spans="2:28">
      <c r="B5" s="160" t="s">
        <v>312</v>
      </c>
      <c r="C5" s="254">
        <v>1900000</v>
      </c>
      <c r="D5" s="254">
        <v>1900000</v>
      </c>
      <c r="E5" s="254">
        <v>1900000</v>
      </c>
      <c r="F5" s="356">
        <v>1900000</v>
      </c>
      <c r="I5" s="160"/>
      <c r="J5" s="161"/>
      <c r="K5" s="178" t="s">
        <v>359</v>
      </c>
      <c r="L5" s="161"/>
      <c r="M5" s="161"/>
      <c r="N5" s="161"/>
      <c r="O5" s="161"/>
      <c r="P5" s="169"/>
      <c r="T5" s="13"/>
      <c r="U5" s="13"/>
      <c r="V5" s="13"/>
      <c r="W5" s="13"/>
      <c r="X5" s="13"/>
      <c r="Y5" s="13"/>
      <c r="Z5" s="13"/>
      <c r="AA5" s="13"/>
      <c r="AB5" s="13"/>
    </row>
    <row r="6" spans="2:28">
      <c r="B6" s="160" t="s">
        <v>311</v>
      </c>
      <c r="C6" s="254">
        <v>420000</v>
      </c>
      <c r="D6" s="254">
        <v>420000</v>
      </c>
      <c r="E6" s="254">
        <v>420000</v>
      </c>
      <c r="F6" s="356">
        <v>420000</v>
      </c>
      <c r="I6" s="160"/>
      <c r="J6" s="161"/>
      <c r="K6" s="178" t="s">
        <v>360</v>
      </c>
      <c r="L6" s="178" t="s">
        <v>361</v>
      </c>
      <c r="M6" s="178" t="s">
        <v>362</v>
      </c>
      <c r="N6" s="178" t="s">
        <v>363</v>
      </c>
      <c r="O6" s="178" t="s">
        <v>364</v>
      </c>
      <c r="P6" s="494" t="s">
        <v>365</v>
      </c>
      <c r="T6" s="13"/>
      <c r="U6" s="13"/>
      <c r="V6" s="13"/>
      <c r="W6" s="13"/>
      <c r="X6" s="13"/>
      <c r="Y6" s="13"/>
      <c r="Z6" s="13"/>
      <c r="AA6" s="13"/>
      <c r="AB6" s="13"/>
    </row>
    <row r="7" spans="2:28">
      <c r="B7" s="160" t="s">
        <v>310</v>
      </c>
      <c r="C7" s="278">
        <f>SUM(C5:C6)</f>
        <v>2320000</v>
      </c>
      <c r="D7" s="278">
        <f t="shared" ref="D7" si="0">SUM(D5:D6)</f>
        <v>2320000</v>
      </c>
      <c r="E7" s="278">
        <f>SUM(E5:E6)</f>
        <v>2320000</v>
      </c>
      <c r="F7" s="283">
        <f>SUM(F5:F6)</f>
        <v>2320000</v>
      </c>
      <c r="G7" s="165"/>
      <c r="H7" s="165"/>
      <c r="I7" s="495" t="s">
        <v>366</v>
      </c>
      <c r="J7" s="178" t="s">
        <v>367</v>
      </c>
      <c r="K7" s="159">
        <v>2.87</v>
      </c>
      <c r="L7" s="159">
        <v>2.87</v>
      </c>
      <c r="M7" s="159">
        <v>3.11</v>
      </c>
      <c r="N7" s="159">
        <v>2.91</v>
      </c>
      <c r="O7" s="159">
        <v>2.89</v>
      </c>
      <c r="P7" s="299">
        <v>2.99</v>
      </c>
      <c r="T7" s="13"/>
      <c r="U7" s="13"/>
      <c r="V7" s="13"/>
      <c r="W7" s="13"/>
      <c r="X7" s="13"/>
      <c r="Y7" s="13"/>
      <c r="Z7" s="13"/>
      <c r="AA7" s="13"/>
      <c r="AB7" s="13"/>
    </row>
    <row r="8" spans="2:28">
      <c r="B8" s="160"/>
      <c r="C8" s="161"/>
      <c r="D8" s="161"/>
      <c r="E8" s="161"/>
      <c r="F8" s="169"/>
      <c r="I8" s="495" t="s">
        <v>368</v>
      </c>
      <c r="J8" s="178" t="s">
        <v>367</v>
      </c>
      <c r="K8" s="159">
        <v>3.32</v>
      </c>
      <c r="L8" s="159">
        <v>3.22</v>
      </c>
      <c r="M8" s="159">
        <v>3.41</v>
      </c>
      <c r="N8" s="159">
        <v>3.4</v>
      </c>
      <c r="O8" s="159">
        <v>3.47</v>
      </c>
      <c r="P8" s="299">
        <v>3.44</v>
      </c>
      <c r="T8" s="13"/>
      <c r="U8" s="13"/>
      <c r="V8" s="13"/>
      <c r="W8" s="13"/>
      <c r="X8" s="13"/>
      <c r="Y8" s="13"/>
      <c r="Z8" s="13"/>
      <c r="AA8" s="13"/>
      <c r="AB8" s="13"/>
    </row>
    <row r="9" spans="2:28">
      <c r="B9" s="160" t="s">
        <v>307</v>
      </c>
      <c r="C9" s="161">
        <v>3</v>
      </c>
      <c r="D9" s="161">
        <v>3</v>
      </c>
      <c r="E9" s="161">
        <v>3</v>
      </c>
      <c r="F9" s="169">
        <v>3</v>
      </c>
      <c r="I9" s="160"/>
      <c r="J9" s="161"/>
      <c r="K9" s="161"/>
      <c r="L9" s="161"/>
      <c r="M9" s="161"/>
      <c r="N9" s="161"/>
      <c r="O9" s="161"/>
      <c r="P9" s="169"/>
      <c r="T9" s="13"/>
      <c r="U9" s="13"/>
      <c r="V9" s="13"/>
      <c r="W9" s="13"/>
      <c r="X9" s="13"/>
      <c r="Y9" s="13"/>
      <c r="Z9" s="13"/>
      <c r="AA9" s="13"/>
      <c r="AB9" s="13"/>
    </row>
    <row r="10" spans="2:28">
      <c r="B10" s="160" t="s">
        <v>303</v>
      </c>
      <c r="C10" s="357">
        <v>16225</v>
      </c>
      <c r="D10" s="357">
        <v>16225</v>
      </c>
      <c r="E10" s="357">
        <v>16225</v>
      </c>
      <c r="F10" s="358">
        <v>16225</v>
      </c>
      <c r="G10" s="23"/>
      <c r="I10" s="160" t="s">
        <v>178</v>
      </c>
      <c r="J10" s="161"/>
      <c r="K10" s="161"/>
      <c r="L10" s="161"/>
      <c r="M10" s="161"/>
      <c r="N10" s="161"/>
      <c r="O10" s="161"/>
      <c r="P10" s="169"/>
      <c r="T10" s="13"/>
      <c r="U10" s="13"/>
      <c r="V10" s="13"/>
      <c r="W10" s="13"/>
      <c r="X10" s="13"/>
      <c r="Y10" s="13"/>
      <c r="Z10" s="13"/>
      <c r="AA10" s="13"/>
      <c r="AB10" s="13"/>
    </row>
    <row r="11" spans="2:28">
      <c r="B11" s="160" t="s">
        <v>313</v>
      </c>
      <c r="C11" s="357">
        <v>21350</v>
      </c>
      <c r="D11" s="357">
        <v>21350</v>
      </c>
      <c r="E11" s="357">
        <v>21350</v>
      </c>
      <c r="F11" s="358">
        <v>21350</v>
      </c>
      <c r="I11" s="160" t="s">
        <v>369</v>
      </c>
      <c r="J11" s="161"/>
      <c r="K11" s="161"/>
      <c r="L11" s="161"/>
      <c r="M11" s="161"/>
      <c r="N11" s="161"/>
      <c r="O11" s="161"/>
      <c r="P11" s="169"/>
      <c r="T11" s="13"/>
      <c r="U11" s="13"/>
      <c r="V11" s="13"/>
      <c r="W11" s="13"/>
      <c r="X11" s="13"/>
      <c r="Y11" s="13"/>
      <c r="Z11" s="13"/>
      <c r="AA11" s="13"/>
      <c r="AB11" s="13"/>
    </row>
    <row r="12" spans="2:28">
      <c r="B12" s="160" t="s">
        <v>450</v>
      </c>
      <c r="C12" s="357">
        <f>C10+C11</f>
        <v>37575</v>
      </c>
      <c r="D12" s="357">
        <f t="shared" ref="D12" si="1">D10+D11</f>
        <v>37575</v>
      </c>
      <c r="E12" s="357">
        <f t="shared" ref="E12" si="2">E10+E11</f>
        <v>37575</v>
      </c>
      <c r="F12" s="358">
        <f>F10+F11</f>
        <v>37575</v>
      </c>
      <c r="G12" s="23"/>
      <c r="H12" s="23"/>
      <c r="I12" s="160" t="s">
        <v>370</v>
      </c>
      <c r="J12" s="161"/>
      <c r="K12" s="161"/>
      <c r="L12" s="161"/>
      <c r="M12" s="161"/>
      <c r="N12" s="161"/>
      <c r="O12" s="161"/>
      <c r="P12" s="169"/>
      <c r="T12" s="13"/>
      <c r="U12" s="13"/>
      <c r="V12" s="13"/>
      <c r="W12" s="13"/>
      <c r="X12" s="13"/>
      <c r="Y12" s="13"/>
      <c r="Z12" s="13"/>
      <c r="AA12" s="13"/>
      <c r="AB12" s="13"/>
    </row>
    <row r="13" spans="2:28">
      <c r="B13" s="160"/>
      <c r="C13" s="161"/>
      <c r="D13" s="357"/>
      <c r="E13" s="161"/>
      <c r="F13" s="358"/>
      <c r="G13" s="164"/>
      <c r="I13" s="160"/>
      <c r="J13" s="161"/>
      <c r="K13" s="161"/>
      <c r="L13" s="161"/>
      <c r="M13" s="161"/>
      <c r="N13" s="161"/>
      <c r="O13" s="161"/>
      <c r="P13" s="169"/>
      <c r="T13" s="13"/>
      <c r="U13" s="13"/>
      <c r="V13" s="13"/>
      <c r="W13" s="13"/>
      <c r="X13" s="13"/>
      <c r="Y13" s="13"/>
      <c r="Z13" s="13"/>
      <c r="AA13" s="13"/>
      <c r="AB13" s="13"/>
    </row>
    <row r="14" spans="2:28">
      <c r="B14" s="160" t="s">
        <v>316</v>
      </c>
      <c r="C14" s="161">
        <v>2019</v>
      </c>
      <c r="D14" s="161">
        <v>2019</v>
      </c>
      <c r="E14" s="161">
        <v>2019</v>
      </c>
      <c r="F14" s="169">
        <v>2019</v>
      </c>
      <c r="G14" s="164"/>
      <c r="I14" s="160"/>
      <c r="J14" s="161"/>
      <c r="K14" s="161"/>
      <c r="L14" s="161"/>
      <c r="M14" s="161"/>
      <c r="N14" s="161"/>
      <c r="O14" s="161"/>
      <c r="P14" s="169"/>
      <c r="T14" s="13"/>
      <c r="U14" s="13"/>
      <c r="V14" s="13"/>
      <c r="W14" s="13"/>
      <c r="X14" s="13"/>
      <c r="Y14" s="13"/>
      <c r="Z14" s="13"/>
      <c r="AA14" s="13"/>
      <c r="AB14" s="13"/>
    </row>
    <row r="15" spans="2:28">
      <c r="B15" s="160" t="s">
        <v>314</v>
      </c>
      <c r="C15" s="357">
        <v>12777</v>
      </c>
      <c r="D15" s="357">
        <v>12777</v>
      </c>
      <c r="E15" s="357">
        <v>12777</v>
      </c>
      <c r="F15" s="358">
        <v>12777</v>
      </c>
      <c r="G15" s="23"/>
      <c r="I15" s="160" t="s">
        <v>181</v>
      </c>
      <c r="J15" s="161"/>
      <c r="K15" s="161"/>
      <c r="L15" s="161"/>
      <c r="M15" s="161"/>
      <c r="N15" s="161"/>
      <c r="O15" s="161"/>
      <c r="P15" s="169"/>
      <c r="T15" s="13"/>
      <c r="U15" s="13"/>
      <c r="V15" s="13"/>
      <c r="W15" s="13"/>
      <c r="X15" s="13"/>
      <c r="Y15" s="13"/>
      <c r="Z15" s="13"/>
      <c r="AA15" s="13"/>
      <c r="AB15" s="13"/>
    </row>
    <row r="16" spans="2:28">
      <c r="B16" s="160" t="s">
        <v>304</v>
      </c>
      <c r="C16" s="357">
        <v>405</v>
      </c>
      <c r="D16" s="357">
        <v>405</v>
      </c>
      <c r="E16" s="357">
        <v>405</v>
      </c>
      <c r="F16" s="358">
        <v>405</v>
      </c>
      <c r="G16" s="23"/>
      <c r="I16" s="496" t="s">
        <v>182</v>
      </c>
      <c r="J16" s="242"/>
      <c r="K16" s="242"/>
      <c r="L16" s="242"/>
      <c r="M16" s="242"/>
      <c r="N16" s="242"/>
      <c r="O16" s="242"/>
      <c r="P16" s="353"/>
      <c r="Q16" s="161"/>
      <c r="R16" s="161"/>
      <c r="S16" s="161"/>
      <c r="T16" s="13"/>
      <c r="U16" s="13"/>
      <c r="V16" s="13"/>
      <c r="W16" s="13"/>
      <c r="X16" s="13"/>
      <c r="Y16" s="13"/>
      <c r="Z16" s="13"/>
      <c r="AA16" s="13"/>
      <c r="AB16" s="13"/>
    </row>
    <row r="17" spans="2:28">
      <c r="B17" s="160" t="s">
        <v>305</v>
      </c>
      <c r="C17" s="357">
        <f t="shared" ref="C17:D17" si="3">C16*1.34102</f>
        <v>543.11310000000003</v>
      </c>
      <c r="D17" s="357">
        <f t="shared" si="3"/>
        <v>543.11310000000003</v>
      </c>
      <c r="E17" s="357">
        <f>E16*1.34102</f>
        <v>543.11310000000003</v>
      </c>
      <c r="F17" s="358">
        <f>F16*1.34102</f>
        <v>543.11310000000003</v>
      </c>
      <c r="G17" s="23"/>
      <c r="H17" s="23"/>
      <c r="T17" s="13"/>
      <c r="U17" s="13"/>
      <c r="V17" s="13"/>
      <c r="W17" s="13"/>
      <c r="X17" s="13"/>
      <c r="Y17" s="13"/>
      <c r="Z17" s="13"/>
      <c r="AA17" s="13"/>
      <c r="AB17" s="13"/>
    </row>
    <row r="18" spans="2:28">
      <c r="B18" s="160" t="s">
        <v>306</v>
      </c>
      <c r="C18" s="357">
        <v>100</v>
      </c>
      <c r="D18" s="357">
        <v>100</v>
      </c>
      <c r="E18" s="357">
        <v>100</v>
      </c>
      <c r="F18" s="358">
        <v>100</v>
      </c>
      <c r="G18" s="23"/>
      <c r="L18" s="161"/>
      <c r="M18" s="161"/>
      <c r="N18" s="161"/>
      <c r="O18" s="161"/>
      <c r="P18" s="161"/>
      <c r="Q18" s="161"/>
      <c r="R18" s="161"/>
      <c r="S18" s="161"/>
      <c r="T18" s="161"/>
      <c r="U18" s="161"/>
      <c r="V18" s="161"/>
      <c r="W18" s="161"/>
      <c r="X18" s="161"/>
      <c r="Y18" s="161"/>
      <c r="Z18" s="161"/>
      <c r="AA18" s="161"/>
    </row>
    <row r="19" spans="2:28">
      <c r="B19" s="160"/>
      <c r="C19" s="161"/>
      <c r="D19" s="161"/>
      <c r="E19" s="161"/>
      <c r="F19" s="169"/>
      <c r="L19" s="161"/>
      <c r="M19" s="161"/>
      <c r="N19" s="161"/>
      <c r="O19" s="161"/>
      <c r="P19" s="161"/>
      <c r="Q19" s="161"/>
      <c r="R19" s="161"/>
      <c r="S19" s="161"/>
      <c r="T19" s="161"/>
      <c r="U19" s="161"/>
      <c r="V19" s="161"/>
      <c r="W19" s="161"/>
      <c r="X19" s="161"/>
      <c r="Y19" s="161"/>
      <c r="Z19" s="161"/>
      <c r="AA19" s="161"/>
    </row>
    <row r="20" spans="2:28">
      <c r="B20" s="171" t="s">
        <v>308</v>
      </c>
      <c r="C20" s="359" t="s">
        <v>309</v>
      </c>
      <c r="D20" s="359" t="s">
        <v>309</v>
      </c>
      <c r="E20" s="359" t="s">
        <v>309</v>
      </c>
      <c r="F20" s="360" t="s">
        <v>309</v>
      </c>
      <c r="G20" s="164"/>
      <c r="I20" s="164"/>
      <c r="L20" s="161"/>
      <c r="M20" s="161"/>
      <c r="N20" s="161"/>
      <c r="O20" s="161"/>
      <c r="P20" s="161"/>
      <c r="Q20" s="161"/>
      <c r="R20" s="161"/>
      <c r="S20" s="161"/>
      <c r="T20" s="161"/>
      <c r="U20" s="161"/>
      <c r="V20" s="161"/>
      <c r="W20" s="161"/>
      <c r="X20" s="161"/>
      <c r="Y20" s="161"/>
      <c r="Z20" s="161"/>
      <c r="AA20" s="161"/>
    </row>
    <row r="21" spans="2:28">
      <c r="I21" s="549" t="s">
        <v>498</v>
      </c>
      <c r="J21" s="550"/>
      <c r="K21" s="550"/>
      <c r="L21" s="551"/>
      <c r="M21" s="161"/>
      <c r="N21" s="161"/>
      <c r="O21" s="161"/>
      <c r="P21" s="161"/>
      <c r="Q21" s="161"/>
      <c r="R21" s="161"/>
      <c r="S21" s="161"/>
      <c r="T21" s="161"/>
      <c r="U21" s="161"/>
      <c r="V21" s="161"/>
      <c r="W21" s="161"/>
      <c r="X21" s="161"/>
      <c r="Y21" s="161"/>
      <c r="Z21" s="161"/>
      <c r="AA21" s="161"/>
    </row>
    <row r="22" spans="2:28">
      <c r="B22" s="209" t="s">
        <v>451</v>
      </c>
      <c r="C22" s="210">
        <f>SUM(C7:F7)</f>
        <v>9280000</v>
      </c>
      <c r="D22" s="165"/>
      <c r="I22" s="160"/>
      <c r="J22" s="175" t="s">
        <v>354</v>
      </c>
      <c r="K22" s="175" t="s">
        <v>355</v>
      </c>
      <c r="L22" s="176" t="s">
        <v>4</v>
      </c>
      <c r="M22" s="161"/>
      <c r="N22" s="161"/>
      <c r="O22" s="161"/>
      <c r="P22" s="161"/>
      <c r="Q22" s="161"/>
      <c r="R22" s="161"/>
      <c r="S22" s="161"/>
      <c r="T22" s="161"/>
      <c r="U22" s="161"/>
      <c r="V22" s="161"/>
      <c r="W22" s="161"/>
      <c r="X22" s="161"/>
      <c r="Y22" s="161"/>
      <c r="Z22" s="161"/>
      <c r="AA22" s="161"/>
    </row>
    <row r="23" spans="2:28">
      <c r="I23" s="160" t="s">
        <v>347</v>
      </c>
      <c r="J23" s="168">
        <v>0.11</v>
      </c>
      <c r="K23" s="168">
        <v>0.87</v>
      </c>
      <c r="L23" s="170">
        <v>0.02</v>
      </c>
      <c r="M23" s="161"/>
      <c r="N23" s="161"/>
      <c r="O23" s="161"/>
      <c r="P23" s="161"/>
      <c r="Q23" s="161"/>
      <c r="R23" s="161"/>
      <c r="S23" s="161"/>
      <c r="T23" s="161"/>
      <c r="U23" s="161"/>
      <c r="V23" s="161"/>
      <c r="W23" s="161"/>
      <c r="X23" s="161"/>
      <c r="Y23" s="161"/>
      <c r="Z23" s="161"/>
      <c r="AA23" s="161"/>
    </row>
    <row r="24" spans="2:28">
      <c r="B24" s="361" t="s">
        <v>452</v>
      </c>
      <c r="C24" s="362">
        <v>0.04</v>
      </c>
      <c r="D24" s="362">
        <v>0.04</v>
      </c>
      <c r="E24" s="362">
        <v>0.04</v>
      </c>
      <c r="F24" s="363">
        <v>0.04</v>
      </c>
      <c r="G24" s="400"/>
      <c r="I24" s="160" t="s">
        <v>348</v>
      </c>
      <c r="J24" s="168">
        <v>0.15</v>
      </c>
      <c r="K24" s="168">
        <v>0.83</v>
      </c>
      <c r="L24" s="170">
        <v>0.02</v>
      </c>
      <c r="M24" s="161"/>
      <c r="N24" s="161"/>
      <c r="O24" s="161"/>
      <c r="P24" s="161"/>
      <c r="Q24" s="161"/>
      <c r="R24" s="161"/>
      <c r="S24" s="161"/>
      <c r="T24" s="161"/>
      <c r="U24" s="161"/>
      <c r="V24" s="161"/>
      <c r="W24" s="161"/>
      <c r="X24" s="161"/>
      <c r="Y24" s="161"/>
      <c r="Z24" s="161"/>
      <c r="AA24" s="161"/>
    </row>
    <row r="25" spans="2:28">
      <c r="B25" s="160" t="s">
        <v>5</v>
      </c>
      <c r="C25" s="278">
        <f>(((C7+C30)/2)*C24)</f>
        <v>64960</v>
      </c>
      <c r="D25" s="278">
        <f>(((D7+D30)/2)*D24)</f>
        <v>64960</v>
      </c>
      <c r="E25" s="278">
        <f>(((E7+E30)/2)*E24)</f>
        <v>64960</v>
      </c>
      <c r="F25" s="283">
        <f>(((F7+F30)/2)*F24)</f>
        <v>64960</v>
      </c>
      <c r="G25" s="401">
        <f>SUM(C25:F25)</f>
        <v>259840</v>
      </c>
      <c r="I25" s="160" t="s">
        <v>349</v>
      </c>
      <c r="J25" s="168">
        <v>0.22</v>
      </c>
      <c r="K25" s="168">
        <v>0.75</v>
      </c>
      <c r="L25" s="170">
        <v>0.03</v>
      </c>
      <c r="M25" s="161"/>
      <c r="N25" s="161"/>
      <c r="O25" s="161"/>
      <c r="P25" s="161"/>
      <c r="Q25" s="161"/>
      <c r="R25" s="161"/>
      <c r="S25" s="161"/>
      <c r="T25" s="161"/>
      <c r="U25" s="161"/>
      <c r="V25" s="161"/>
      <c r="W25" s="161"/>
      <c r="X25" s="161"/>
      <c r="Y25" s="161"/>
      <c r="Z25" s="161"/>
      <c r="AA25" s="161"/>
    </row>
    <row r="26" spans="2:28">
      <c r="B26" s="160"/>
      <c r="C26" s="161"/>
      <c r="D26" s="161"/>
      <c r="E26" s="161"/>
      <c r="F26" s="169"/>
      <c r="G26" s="400"/>
      <c r="I26" s="160" t="s">
        <v>343</v>
      </c>
      <c r="J26" s="168">
        <v>0.2</v>
      </c>
      <c r="K26" s="168">
        <v>0.76</v>
      </c>
      <c r="L26" s="170">
        <v>0.03</v>
      </c>
      <c r="M26" s="161"/>
      <c r="N26" s="161"/>
      <c r="O26" s="161"/>
      <c r="P26" s="161"/>
      <c r="Q26" s="161"/>
      <c r="R26" s="161"/>
      <c r="S26" s="161"/>
      <c r="T26" s="161"/>
      <c r="U26" s="161"/>
      <c r="V26" s="161"/>
      <c r="W26" s="161"/>
      <c r="X26" s="161"/>
      <c r="Y26" s="161"/>
      <c r="Z26" s="161"/>
      <c r="AA26" s="161"/>
    </row>
    <row r="27" spans="2:28">
      <c r="B27" s="388" t="s">
        <v>522</v>
      </c>
      <c r="C27" s="278">
        <f>C7*0.01</f>
        <v>23200</v>
      </c>
      <c r="D27" s="278">
        <f t="shared" ref="D27:F27" si="4">D7*0.01</f>
        <v>23200</v>
      </c>
      <c r="E27" s="278">
        <f t="shared" si="4"/>
        <v>23200</v>
      </c>
      <c r="F27" s="283">
        <f t="shared" si="4"/>
        <v>23200</v>
      </c>
      <c r="G27" s="402">
        <f>SUM(C27:F27)</f>
        <v>92800</v>
      </c>
      <c r="I27" s="160" t="s">
        <v>350</v>
      </c>
      <c r="J27" s="168">
        <v>0.25</v>
      </c>
      <c r="K27" s="168">
        <v>0.71</v>
      </c>
      <c r="L27" s="170">
        <v>0.04</v>
      </c>
      <c r="M27" s="161"/>
      <c r="N27" s="161"/>
      <c r="O27" s="161"/>
      <c r="P27" s="161"/>
      <c r="Q27" s="161"/>
      <c r="R27" s="161"/>
      <c r="S27" s="161"/>
      <c r="T27" s="161"/>
      <c r="U27" s="161"/>
      <c r="V27" s="161"/>
      <c r="W27" s="161"/>
      <c r="X27" s="161"/>
      <c r="Y27" s="161"/>
      <c r="Z27" s="161"/>
      <c r="AA27" s="161"/>
    </row>
    <row r="28" spans="2:28">
      <c r="B28" s="160"/>
      <c r="C28" s="161"/>
      <c r="D28" s="161"/>
      <c r="E28" s="161"/>
      <c r="F28" s="169"/>
      <c r="G28" s="400"/>
      <c r="I28" s="160" t="s">
        <v>351</v>
      </c>
      <c r="J28" s="168">
        <v>0.39</v>
      </c>
      <c r="K28" s="168">
        <v>0.57999999999999996</v>
      </c>
      <c r="L28" s="170">
        <v>0.03</v>
      </c>
      <c r="M28" s="161"/>
      <c r="N28" s="161"/>
      <c r="O28" s="161"/>
      <c r="P28" s="161"/>
      <c r="Q28" s="161"/>
      <c r="R28" s="161"/>
      <c r="S28" s="161"/>
      <c r="T28" s="161"/>
      <c r="U28" s="161"/>
      <c r="V28" s="161"/>
      <c r="W28" s="161"/>
      <c r="X28" s="161"/>
      <c r="Y28" s="161"/>
      <c r="Z28" s="161"/>
      <c r="AA28" s="161"/>
    </row>
    <row r="29" spans="2:28">
      <c r="B29" s="160" t="s">
        <v>454</v>
      </c>
      <c r="C29" s="364">
        <v>4</v>
      </c>
      <c r="D29" s="364">
        <v>4</v>
      </c>
      <c r="E29" s="364">
        <v>4</v>
      </c>
      <c r="F29" s="365">
        <v>4</v>
      </c>
      <c r="G29" s="403"/>
      <c r="I29" s="171" t="s">
        <v>352</v>
      </c>
      <c r="J29" s="172">
        <v>0.37</v>
      </c>
      <c r="K29" s="172">
        <v>0.6</v>
      </c>
      <c r="L29" s="173">
        <v>0.03</v>
      </c>
      <c r="M29" s="161"/>
      <c r="N29" s="161"/>
      <c r="O29" s="161"/>
      <c r="P29" s="161"/>
      <c r="Q29" s="161"/>
      <c r="R29" s="161"/>
      <c r="S29" s="161"/>
      <c r="T29" s="161"/>
      <c r="U29" s="161"/>
      <c r="V29" s="161"/>
      <c r="W29" s="161"/>
      <c r="X29" s="161"/>
      <c r="Y29" s="161"/>
      <c r="Z29" s="161"/>
      <c r="AA29" s="161"/>
    </row>
    <row r="30" spans="2:28">
      <c r="B30" s="160" t="s">
        <v>453</v>
      </c>
      <c r="C30" s="278">
        <f>C7*0.4</f>
        <v>928000</v>
      </c>
      <c r="D30" s="278">
        <f>D7*0.4</f>
        <v>928000</v>
      </c>
      <c r="E30" s="278">
        <f>E7*0.4</f>
        <v>928000</v>
      </c>
      <c r="F30" s="283">
        <f>F7*0.4</f>
        <v>928000</v>
      </c>
      <c r="G30" s="402"/>
      <c r="L30" s="161"/>
      <c r="M30" s="161"/>
      <c r="N30" s="161"/>
      <c r="O30" s="161"/>
      <c r="P30" s="161"/>
      <c r="Q30" s="161"/>
      <c r="R30" s="161"/>
      <c r="S30" s="161"/>
      <c r="T30" s="161"/>
      <c r="U30" s="161"/>
      <c r="V30" s="161"/>
      <c r="W30" s="161"/>
      <c r="X30" s="161"/>
      <c r="Y30" s="161"/>
      <c r="Z30" s="161"/>
      <c r="AA30" s="161"/>
    </row>
    <row r="31" spans="2:28">
      <c r="B31" s="160" t="s">
        <v>3</v>
      </c>
      <c r="C31" s="278">
        <f>(C7-C33-C30)/C29</f>
        <v>328290.44999999995</v>
      </c>
      <c r="D31" s="278">
        <f>(D7-D33-D30)/D29</f>
        <v>328290.44999999995</v>
      </c>
      <c r="E31" s="278">
        <f>(E7-E33-E30)/E29</f>
        <v>328290.44999999995</v>
      </c>
      <c r="F31" s="283">
        <f>(F7-F33-F30)/F29</f>
        <v>328290.44999999995</v>
      </c>
      <c r="G31" s="401">
        <f>SUM(C31:F31)</f>
        <v>1313161.7999999998</v>
      </c>
      <c r="I31" t="s">
        <v>356</v>
      </c>
      <c r="L31" s="161"/>
      <c r="M31" s="161"/>
      <c r="N31" s="161"/>
      <c r="O31" s="161"/>
      <c r="P31" s="161"/>
      <c r="Q31" s="161"/>
      <c r="R31" s="161"/>
      <c r="S31" s="161"/>
      <c r="T31" s="161"/>
      <c r="U31" s="161"/>
      <c r="V31" s="161"/>
      <c r="W31" s="161"/>
      <c r="X31" s="161"/>
      <c r="Y31" s="161"/>
      <c r="Z31" s="161"/>
      <c r="AA31" s="161"/>
    </row>
    <row r="32" spans="2:28">
      <c r="B32" s="160"/>
      <c r="C32" s="278"/>
      <c r="D32" s="278"/>
      <c r="E32" s="278"/>
      <c r="F32" s="283"/>
      <c r="G32" s="400"/>
      <c r="I32" s="11" t="s">
        <v>353</v>
      </c>
      <c r="L32" s="161"/>
      <c r="M32" s="161"/>
      <c r="N32" s="161"/>
      <c r="O32" s="161"/>
      <c r="P32" s="161"/>
      <c r="Q32" s="161"/>
      <c r="R32" s="161"/>
      <c r="S32" s="161"/>
      <c r="T32" s="161"/>
      <c r="U32" s="161"/>
      <c r="V32" s="161"/>
      <c r="W32" s="161"/>
      <c r="X32" s="161"/>
      <c r="Y32" s="161"/>
      <c r="Z32" s="161"/>
      <c r="AA32" s="161"/>
    </row>
    <row r="33" spans="2:27">
      <c r="B33" s="160" t="s">
        <v>456</v>
      </c>
      <c r="C33" s="278">
        <f>(6257*12)*1.05</f>
        <v>78838.2</v>
      </c>
      <c r="D33" s="278">
        <f t="shared" ref="D33:F33" si="5">(6257*12)*1.05</f>
        <v>78838.2</v>
      </c>
      <c r="E33" s="278">
        <f t="shared" si="5"/>
        <v>78838.2</v>
      </c>
      <c r="F33" s="283">
        <f t="shared" si="5"/>
        <v>78838.2</v>
      </c>
      <c r="G33" s="402">
        <f>SUM(C33:F33)</f>
        <v>315352.8</v>
      </c>
      <c r="L33" s="161"/>
      <c r="M33" s="161"/>
      <c r="N33" s="161"/>
      <c r="O33" s="161"/>
      <c r="P33" s="161"/>
      <c r="Q33" s="161"/>
      <c r="R33" s="161"/>
      <c r="S33" s="161"/>
      <c r="T33" s="161"/>
      <c r="U33" s="161"/>
      <c r="V33" s="161"/>
      <c r="W33" s="161"/>
      <c r="X33" s="161"/>
      <c r="Y33" s="161"/>
      <c r="Z33" s="161"/>
      <c r="AA33" s="161"/>
    </row>
    <row r="34" spans="2:27">
      <c r="B34" s="160" t="s">
        <v>4</v>
      </c>
      <c r="C34" s="274">
        <v>40000</v>
      </c>
      <c r="D34" s="274">
        <v>40000</v>
      </c>
      <c r="E34" s="274">
        <v>40000</v>
      </c>
      <c r="F34" s="275">
        <v>40000</v>
      </c>
      <c r="G34" s="404">
        <f>SUM(C34:F34)</f>
        <v>160000</v>
      </c>
      <c r="L34" s="161"/>
      <c r="M34" s="161"/>
      <c r="N34" s="161"/>
      <c r="O34" s="161"/>
      <c r="P34" s="161"/>
      <c r="Q34" s="161"/>
      <c r="R34" s="161"/>
      <c r="S34" s="161"/>
      <c r="T34" s="161"/>
      <c r="U34" s="161"/>
      <c r="V34" s="161"/>
      <c r="W34" s="161"/>
      <c r="X34" s="161"/>
      <c r="Y34" s="161"/>
      <c r="Z34" s="161"/>
      <c r="AA34" s="161"/>
    </row>
    <row r="35" spans="2:27">
      <c r="B35" s="171" t="s">
        <v>484</v>
      </c>
      <c r="C35" s="366">
        <f>9000*12</f>
        <v>108000</v>
      </c>
      <c r="D35" s="366">
        <f t="shared" ref="D35:F35" si="6">9000*12</f>
        <v>108000</v>
      </c>
      <c r="E35" s="366">
        <f t="shared" si="6"/>
        <v>108000</v>
      </c>
      <c r="F35" s="366">
        <f t="shared" si="6"/>
        <v>108000</v>
      </c>
      <c r="G35" s="402">
        <f>SUM(C35:F35)</f>
        <v>432000</v>
      </c>
      <c r="L35" s="161"/>
      <c r="M35" s="161"/>
      <c r="N35" s="161"/>
      <c r="O35" s="161"/>
      <c r="P35" s="161"/>
      <c r="Q35" s="161"/>
      <c r="R35" s="161"/>
      <c r="S35" s="161"/>
      <c r="T35" s="161"/>
      <c r="U35" s="161"/>
      <c r="V35" s="161"/>
      <c r="W35" s="161"/>
      <c r="X35" s="161"/>
      <c r="Y35" s="161"/>
      <c r="Z35" s="161"/>
      <c r="AA35" s="161"/>
    </row>
    <row r="36" spans="2:27">
      <c r="C36" s="165"/>
      <c r="I36" s="556" t="s">
        <v>300</v>
      </c>
      <c r="J36" s="557"/>
      <c r="K36" s="558"/>
      <c r="L36" s="161"/>
      <c r="M36" s="161"/>
      <c r="N36" s="161"/>
      <c r="O36" s="161"/>
      <c r="P36" s="161"/>
      <c r="Q36" s="161"/>
      <c r="R36" s="161"/>
      <c r="S36" s="161"/>
      <c r="T36" s="161"/>
      <c r="U36" s="161"/>
      <c r="V36" s="161"/>
      <c r="W36" s="161"/>
      <c r="X36" s="161"/>
      <c r="Y36" s="161"/>
      <c r="Z36" s="161"/>
      <c r="AA36" s="161"/>
    </row>
    <row r="37" spans="2:27">
      <c r="I37" s="160"/>
      <c r="J37" s="312" t="s">
        <v>419</v>
      </c>
      <c r="K37" s="490" t="s">
        <v>420</v>
      </c>
      <c r="L37" s="161"/>
      <c r="M37" s="161"/>
      <c r="N37" s="161"/>
      <c r="O37" s="161"/>
      <c r="P37" s="161"/>
      <c r="Q37" s="161"/>
      <c r="R37" s="161"/>
      <c r="S37" s="161"/>
      <c r="T37" s="161"/>
      <c r="U37" s="161"/>
      <c r="V37" s="161"/>
      <c r="W37" s="161"/>
      <c r="X37" s="161"/>
      <c r="Y37" s="161"/>
      <c r="Z37" s="161"/>
      <c r="AA37" s="161"/>
    </row>
    <row r="38" spans="2:27">
      <c r="B38" s="555" t="s">
        <v>328</v>
      </c>
      <c r="C38" s="555"/>
      <c r="D38" s="555"/>
      <c r="E38" s="555"/>
      <c r="F38" s="555"/>
      <c r="G38" s="555"/>
      <c r="I38" s="160" t="s">
        <v>468</v>
      </c>
      <c r="J38" s="254">
        <f>1121+193</f>
        <v>1314</v>
      </c>
      <c r="K38" s="356">
        <f>5936+193</f>
        <v>6129</v>
      </c>
      <c r="L38" s="161"/>
      <c r="M38" s="161"/>
      <c r="N38" s="161"/>
      <c r="O38" s="161"/>
      <c r="P38" s="161"/>
      <c r="Q38" s="161"/>
      <c r="R38" s="161"/>
      <c r="S38" s="161"/>
      <c r="T38" s="161"/>
      <c r="U38" s="161"/>
      <c r="V38" s="161"/>
      <c r="W38" s="161"/>
      <c r="X38" s="161"/>
      <c r="Y38" s="161"/>
      <c r="Z38" s="161"/>
      <c r="AA38" s="161"/>
    </row>
    <row r="39" spans="2:27">
      <c r="C39" t="s">
        <v>315</v>
      </c>
      <c r="D39" t="s">
        <v>318</v>
      </c>
      <c r="E39" t="s">
        <v>316</v>
      </c>
      <c r="F39" t="s">
        <v>317</v>
      </c>
      <c r="G39" t="s">
        <v>320</v>
      </c>
      <c r="I39" s="286" t="s">
        <v>473</v>
      </c>
      <c r="J39" s="491">
        <f>J38*4</f>
        <v>5256</v>
      </c>
      <c r="K39" s="489">
        <f>K38*4</f>
        <v>24516</v>
      </c>
      <c r="L39" s="161"/>
      <c r="M39" s="161"/>
      <c r="N39" s="161"/>
      <c r="O39" s="161"/>
      <c r="P39" s="161"/>
      <c r="Q39" s="161"/>
      <c r="R39" s="161"/>
      <c r="S39" s="161"/>
      <c r="T39" s="161"/>
      <c r="U39" s="161"/>
      <c r="V39" s="161"/>
      <c r="W39" s="161"/>
      <c r="X39" s="161"/>
      <c r="Y39" s="161"/>
      <c r="Z39" s="161"/>
      <c r="AA39" s="161"/>
    </row>
    <row r="40" spans="2:27">
      <c r="B40" t="s">
        <v>319</v>
      </c>
      <c r="C40" t="s">
        <v>321</v>
      </c>
      <c r="D40" s="18">
        <v>695000</v>
      </c>
      <c r="E40">
        <v>2014</v>
      </c>
      <c r="F40" s="23">
        <v>161500</v>
      </c>
      <c r="G40">
        <v>3</v>
      </c>
      <c r="L40" s="161"/>
      <c r="M40" s="161"/>
      <c r="N40" s="161"/>
      <c r="O40" s="161"/>
      <c r="P40" s="161"/>
      <c r="Q40" s="161"/>
      <c r="R40" s="161"/>
      <c r="S40" s="161"/>
      <c r="T40" s="161"/>
      <c r="U40" s="161"/>
      <c r="V40" s="161"/>
      <c r="W40" s="161"/>
      <c r="X40" s="161"/>
      <c r="Y40" s="161"/>
      <c r="Z40" s="161"/>
      <c r="AA40" s="161"/>
    </row>
    <row r="41" spans="2:27">
      <c r="B41" t="s">
        <v>319</v>
      </c>
      <c r="C41" t="s">
        <v>324</v>
      </c>
      <c r="D41" s="18">
        <v>1420000</v>
      </c>
      <c r="E41">
        <v>2018</v>
      </c>
      <c r="F41" s="23">
        <v>18000</v>
      </c>
      <c r="G41">
        <v>4</v>
      </c>
      <c r="I41" t="s">
        <v>421</v>
      </c>
    </row>
    <row r="42" spans="2:27">
      <c r="B42" t="s">
        <v>319</v>
      </c>
      <c r="C42" t="s">
        <v>324</v>
      </c>
      <c r="D42" s="18">
        <v>660000</v>
      </c>
      <c r="E42">
        <v>2014</v>
      </c>
      <c r="F42" s="23">
        <v>230000</v>
      </c>
      <c r="G42">
        <v>3</v>
      </c>
    </row>
    <row r="43" spans="2:27">
      <c r="B43" t="s">
        <v>319</v>
      </c>
      <c r="C43" t="s">
        <v>322</v>
      </c>
      <c r="D43" s="18">
        <v>1669000</v>
      </c>
      <c r="E43">
        <v>2018</v>
      </c>
      <c r="F43" s="23">
        <v>100</v>
      </c>
      <c r="G43">
        <v>3</v>
      </c>
      <c r="I43" s="556" t="s">
        <v>472</v>
      </c>
      <c r="J43" s="558"/>
      <c r="K43" s="167"/>
    </row>
    <row r="44" spans="2:27">
      <c r="B44" t="s">
        <v>319</v>
      </c>
      <c r="C44" t="s">
        <v>323</v>
      </c>
      <c r="D44" s="18">
        <v>1856000</v>
      </c>
      <c r="E44">
        <v>2018</v>
      </c>
      <c r="F44" s="23">
        <v>100</v>
      </c>
      <c r="G44">
        <v>4</v>
      </c>
      <c r="I44" s="160" t="s">
        <v>468</v>
      </c>
      <c r="J44" s="356">
        <v>5000</v>
      </c>
    </row>
    <row r="45" spans="2:27">
      <c r="B45" t="s">
        <v>319</v>
      </c>
      <c r="C45" t="s">
        <v>321</v>
      </c>
      <c r="D45" s="18">
        <v>1243000</v>
      </c>
      <c r="E45">
        <v>2016</v>
      </c>
      <c r="F45" s="23">
        <v>80000</v>
      </c>
      <c r="G45">
        <v>3</v>
      </c>
      <c r="I45" s="286" t="s">
        <v>473</v>
      </c>
      <c r="J45" s="489">
        <f>J44*4</f>
        <v>20000</v>
      </c>
    </row>
    <row r="46" spans="2:27">
      <c r="B46" t="s">
        <v>319</v>
      </c>
      <c r="C46" t="s">
        <v>324</v>
      </c>
      <c r="D46" s="18">
        <v>1250000</v>
      </c>
      <c r="E46">
        <v>2018</v>
      </c>
      <c r="F46" s="23">
        <v>34000</v>
      </c>
      <c r="G46">
        <v>4</v>
      </c>
    </row>
    <row r="47" spans="2:27">
      <c r="B47" s="186" t="s">
        <v>333</v>
      </c>
      <c r="C47" s="186" t="s">
        <v>326</v>
      </c>
      <c r="D47" s="187">
        <v>1590000</v>
      </c>
      <c r="E47" s="186">
        <v>2018</v>
      </c>
      <c r="F47" s="188">
        <v>71500</v>
      </c>
      <c r="G47" s="186">
        <v>3</v>
      </c>
      <c r="I47" t="s">
        <v>421</v>
      </c>
      <c r="P47" s="11"/>
      <c r="Q47" s="11"/>
      <c r="R47" s="167"/>
      <c r="S47" s="167"/>
    </row>
    <row r="48" spans="2:27">
      <c r="B48" t="s">
        <v>325</v>
      </c>
      <c r="C48" t="s">
        <v>327</v>
      </c>
      <c r="D48" s="18">
        <v>1150000</v>
      </c>
      <c r="E48">
        <v>2015</v>
      </c>
      <c r="F48" s="23">
        <v>178000</v>
      </c>
      <c r="G48">
        <v>3</v>
      </c>
    </row>
    <row r="49" spans="2:15">
      <c r="B49" t="s">
        <v>325</v>
      </c>
      <c r="C49" t="s">
        <v>327</v>
      </c>
      <c r="D49" s="18">
        <v>1100000</v>
      </c>
      <c r="E49">
        <v>2016</v>
      </c>
      <c r="F49" s="23">
        <v>208000</v>
      </c>
      <c r="G49">
        <v>3</v>
      </c>
      <c r="I49" s="556" t="s">
        <v>392</v>
      </c>
      <c r="J49" s="557"/>
      <c r="K49" s="558"/>
    </row>
    <row r="50" spans="2:15">
      <c r="B50" t="s">
        <v>325</v>
      </c>
      <c r="C50" t="s">
        <v>327</v>
      </c>
      <c r="D50" s="18">
        <v>1100000</v>
      </c>
      <c r="E50">
        <v>2016</v>
      </c>
      <c r="F50" s="23">
        <v>194000</v>
      </c>
      <c r="G50">
        <v>3</v>
      </c>
      <c r="I50" s="368" t="s">
        <v>294</v>
      </c>
      <c r="J50" s="161">
        <v>60</v>
      </c>
      <c r="K50" s="275">
        <f>'Bomstasjoner og priser'!D23</f>
        <v>3660</v>
      </c>
    </row>
    <row r="51" spans="2:15">
      <c r="B51" t="s">
        <v>325</v>
      </c>
      <c r="C51" t="s">
        <v>327</v>
      </c>
      <c r="D51" s="18">
        <v>790000</v>
      </c>
      <c r="E51">
        <v>2015</v>
      </c>
      <c r="F51" s="23">
        <v>253000</v>
      </c>
      <c r="G51">
        <v>3</v>
      </c>
      <c r="I51" s="369" t="s">
        <v>295</v>
      </c>
      <c r="J51" s="161">
        <v>120</v>
      </c>
      <c r="K51" s="275">
        <f>'Bomstasjoner og priser'!D24</f>
        <v>7320</v>
      </c>
    </row>
    <row r="52" spans="2:15">
      <c r="B52" t="s">
        <v>329</v>
      </c>
      <c r="C52" t="s">
        <v>330</v>
      </c>
      <c r="D52" s="18">
        <v>995000</v>
      </c>
      <c r="E52">
        <v>2015</v>
      </c>
      <c r="F52" s="23">
        <v>146000</v>
      </c>
      <c r="G52">
        <v>4</v>
      </c>
      <c r="I52" s="160"/>
      <c r="J52" s="161"/>
      <c r="K52" s="169"/>
    </row>
    <row r="53" spans="2:15">
      <c r="B53" t="s">
        <v>325</v>
      </c>
      <c r="C53" t="s">
        <v>331</v>
      </c>
      <c r="D53" s="18">
        <v>825000</v>
      </c>
      <c r="E53">
        <v>2014</v>
      </c>
      <c r="F53" s="23">
        <v>165000</v>
      </c>
      <c r="G53">
        <v>4</v>
      </c>
      <c r="I53" s="160" t="s">
        <v>470</v>
      </c>
      <c r="J53" s="161"/>
      <c r="K53" s="275">
        <f>K50+K51</f>
        <v>10980</v>
      </c>
    </row>
    <row r="54" spans="2:15">
      <c r="B54" t="s">
        <v>325</v>
      </c>
      <c r="C54" t="s">
        <v>327</v>
      </c>
      <c r="D54" s="18">
        <v>1090000</v>
      </c>
      <c r="E54">
        <v>2016</v>
      </c>
      <c r="F54" s="23">
        <v>212000</v>
      </c>
      <c r="G54">
        <v>3</v>
      </c>
      <c r="I54" s="337" t="s">
        <v>471</v>
      </c>
      <c r="J54" s="486"/>
      <c r="K54" s="487">
        <f>K53*4</f>
        <v>43920</v>
      </c>
      <c r="M54" s="11"/>
      <c r="N54" s="11"/>
      <c r="O54" s="11"/>
    </row>
    <row r="55" spans="2:15">
      <c r="B55" t="s">
        <v>325</v>
      </c>
      <c r="C55" t="s">
        <v>327</v>
      </c>
      <c r="D55" s="18">
        <v>850000</v>
      </c>
      <c r="E55">
        <v>2016</v>
      </c>
      <c r="F55" s="23">
        <v>260000</v>
      </c>
      <c r="G55">
        <v>3</v>
      </c>
      <c r="I55" s="488" t="s">
        <v>617</v>
      </c>
      <c r="J55" s="242"/>
      <c r="K55" s="370">
        <f>K54*12</f>
        <v>527040</v>
      </c>
    </row>
    <row r="56" spans="2:15">
      <c r="B56" t="s">
        <v>325</v>
      </c>
      <c r="C56" t="s">
        <v>332</v>
      </c>
      <c r="D56" s="18">
        <v>590000</v>
      </c>
      <c r="E56">
        <v>2014</v>
      </c>
      <c r="F56" s="23">
        <v>269000</v>
      </c>
      <c r="G56">
        <v>3</v>
      </c>
    </row>
    <row r="57" spans="2:15">
      <c r="B57" t="s">
        <v>325</v>
      </c>
      <c r="C57" t="s">
        <v>332</v>
      </c>
      <c r="D57" s="18">
        <v>990000</v>
      </c>
      <c r="E57">
        <v>2014</v>
      </c>
      <c r="F57" s="23">
        <v>105000</v>
      </c>
      <c r="G57">
        <v>4</v>
      </c>
      <c r="I57" t="s">
        <v>497</v>
      </c>
      <c r="O57" s="255"/>
    </row>
    <row r="58" spans="2:15">
      <c r="B58" t="s">
        <v>325</v>
      </c>
      <c r="C58" t="s">
        <v>326</v>
      </c>
      <c r="D58" s="18">
        <v>2152000</v>
      </c>
      <c r="E58">
        <v>2018</v>
      </c>
      <c r="F58" s="23">
        <v>100</v>
      </c>
      <c r="G58">
        <v>3</v>
      </c>
    </row>
    <row r="59" spans="2:15">
      <c r="B59" t="s">
        <v>334</v>
      </c>
      <c r="C59" t="s">
        <v>335</v>
      </c>
      <c r="D59" s="18">
        <v>850000</v>
      </c>
      <c r="E59">
        <v>2014</v>
      </c>
      <c r="F59" s="23">
        <v>180000</v>
      </c>
      <c r="G59">
        <v>3</v>
      </c>
    </row>
    <row r="60" spans="2:15">
      <c r="B60" t="s">
        <v>334</v>
      </c>
      <c r="C60" t="s">
        <v>336</v>
      </c>
      <c r="D60" s="18">
        <v>820000</v>
      </c>
      <c r="E60">
        <v>2014</v>
      </c>
      <c r="F60" s="23">
        <v>70000</v>
      </c>
      <c r="G60">
        <v>3</v>
      </c>
    </row>
    <row r="61" spans="2:15">
      <c r="B61" t="s">
        <v>334</v>
      </c>
      <c r="C61" t="s">
        <v>337</v>
      </c>
      <c r="D61" s="18">
        <v>780000</v>
      </c>
      <c r="E61">
        <v>2014</v>
      </c>
      <c r="F61" s="23">
        <v>339000</v>
      </c>
      <c r="G61">
        <v>3</v>
      </c>
    </row>
    <row r="62" spans="2:15">
      <c r="B62" t="s">
        <v>334</v>
      </c>
      <c r="C62" t="s">
        <v>336</v>
      </c>
      <c r="D62" s="18">
        <v>750000</v>
      </c>
      <c r="E62">
        <v>2014</v>
      </c>
      <c r="F62" s="23">
        <v>171000</v>
      </c>
      <c r="G62">
        <v>3</v>
      </c>
    </row>
    <row r="63" spans="2:15">
      <c r="B63" t="s">
        <v>334</v>
      </c>
      <c r="C63" t="s">
        <v>335</v>
      </c>
      <c r="D63" s="18">
        <v>699000</v>
      </c>
      <c r="E63">
        <v>2014</v>
      </c>
      <c r="F63" s="23">
        <v>208000</v>
      </c>
      <c r="G63">
        <v>3</v>
      </c>
    </row>
    <row r="64" spans="2:15">
      <c r="B64" t="s">
        <v>334</v>
      </c>
      <c r="C64" t="s">
        <v>336</v>
      </c>
      <c r="D64" s="18">
        <v>650000</v>
      </c>
      <c r="E64">
        <v>2014</v>
      </c>
      <c r="F64" s="23">
        <v>210000</v>
      </c>
      <c r="G64">
        <v>3</v>
      </c>
    </row>
    <row r="65" spans="2:10">
      <c r="B65" t="s">
        <v>334</v>
      </c>
      <c r="C65" t="s">
        <v>338</v>
      </c>
      <c r="D65" s="18">
        <v>630000</v>
      </c>
      <c r="E65">
        <v>2014</v>
      </c>
      <c r="F65" s="23">
        <v>203000</v>
      </c>
      <c r="G65">
        <v>3</v>
      </c>
    </row>
    <row r="66" spans="2:10">
      <c r="B66" t="s">
        <v>334</v>
      </c>
      <c r="C66" t="s">
        <v>336</v>
      </c>
      <c r="D66" s="18">
        <v>685000</v>
      </c>
      <c r="E66">
        <v>2015</v>
      </c>
      <c r="F66" s="23">
        <v>215000</v>
      </c>
      <c r="G66">
        <v>3</v>
      </c>
      <c r="I66" s="226" t="s">
        <v>516</v>
      </c>
      <c r="J66" s="226"/>
    </row>
    <row r="67" spans="2:10">
      <c r="B67" t="s">
        <v>334</v>
      </c>
      <c r="C67" t="s">
        <v>337</v>
      </c>
      <c r="D67" s="18">
        <v>1150000</v>
      </c>
      <c r="E67">
        <v>2015</v>
      </c>
      <c r="F67" s="23">
        <v>98000</v>
      </c>
      <c r="G67">
        <v>3</v>
      </c>
      <c r="I67" s="22">
        <f>(D66+D68)/2</f>
        <v>780000</v>
      </c>
    </row>
    <row r="68" spans="2:10">
      <c r="B68" t="s">
        <v>334</v>
      </c>
      <c r="C68" t="s">
        <v>336</v>
      </c>
      <c r="D68" s="18">
        <v>875000</v>
      </c>
      <c r="E68">
        <v>2015</v>
      </c>
      <c r="F68" s="23">
        <v>177000</v>
      </c>
      <c r="G68">
        <v>3</v>
      </c>
    </row>
    <row r="69" spans="2:10">
      <c r="B69" t="s">
        <v>334</v>
      </c>
      <c r="C69" t="s">
        <v>335</v>
      </c>
      <c r="D69" s="18">
        <v>900000</v>
      </c>
      <c r="E69">
        <v>2016</v>
      </c>
      <c r="F69" s="23">
        <v>92400</v>
      </c>
      <c r="G69">
        <v>3</v>
      </c>
      <c r="I69" s="227" t="s">
        <v>517</v>
      </c>
    </row>
    <row r="70" spans="2:10">
      <c r="B70" t="s">
        <v>334</v>
      </c>
      <c r="C70" t="s">
        <v>336</v>
      </c>
      <c r="D70" s="18">
        <v>1090000</v>
      </c>
      <c r="E70">
        <v>2016</v>
      </c>
      <c r="F70" s="23">
        <v>135000</v>
      </c>
      <c r="G70">
        <v>4</v>
      </c>
      <c r="I70" s="22">
        <f>D77</f>
        <v>1900000</v>
      </c>
    </row>
    <row r="71" spans="2:10">
      <c r="B71" t="s">
        <v>334</v>
      </c>
      <c r="C71" t="s">
        <v>337</v>
      </c>
      <c r="D71" s="18">
        <v>1215000</v>
      </c>
      <c r="E71">
        <v>2016</v>
      </c>
      <c r="F71" s="23">
        <v>205000</v>
      </c>
      <c r="G71">
        <v>3</v>
      </c>
    </row>
    <row r="72" spans="2:10">
      <c r="B72" t="s">
        <v>334</v>
      </c>
      <c r="C72" t="s">
        <v>337</v>
      </c>
      <c r="D72" s="18">
        <v>1190000</v>
      </c>
      <c r="E72">
        <v>2016</v>
      </c>
      <c r="F72" s="23">
        <v>136000</v>
      </c>
      <c r="G72">
        <v>4</v>
      </c>
      <c r="I72" s="367" t="s">
        <v>453</v>
      </c>
    </row>
    <row r="73" spans="2:10">
      <c r="B73" t="s">
        <v>334</v>
      </c>
      <c r="C73" t="s">
        <v>335</v>
      </c>
      <c r="D73" s="18">
        <v>990000</v>
      </c>
      <c r="E73">
        <v>2016</v>
      </c>
      <c r="F73" s="23">
        <v>165000</v>
      </c>
      <c r="G73">
        <v>4</v>
      </c>
      <c r="I73" s="214">
        <f>I67/I70</f>
        <v>0.41052631578947368</v>
      </c>
    </row>
    <row r="74" spans="2:10">
      <c r="B74" t="s">
        <v>334</v>
      </c>
      <c r="C74" t="s">
        <v>339</v>
      </c>
      <c r="D74" s="18">
        <v>1200000</v>
      </c>
      <c r="E74">
        <v>2016</v>
      </c>
      <c r="F74" s="23">
        <v>99000</v>
      </c>
      <c r="G74">
        <v>4</v>
      </c>
    </row>
    <row r="75" spans="2:10">
      <c r="B75" t="s">
        <v>334</v>
      </c>
      <c r="C75" t="s">
        <v>340</v>
      </c>
      <c r="D75" s="18">
        <v>1190000</v>
      </c>
      <c r="E75">
        <v>2017</v>
      </c>
      <c r="F75" s="23">
        <v>68000</v>
      </c>
      <c r="G75">
        <v>3</v>
      </c>
    </row>
    <row r="76" spans="2:10">
      <c r="B76" t="s">
        <v>334</v>
      </c>
      <c r="C76" t="s">
        <v>336</v>
      </c>
      <c r="D76" s="18">
        <v>1395000</v>
      </c>
      <c r="E76">
        <v>2018</v>
      </c>
      <c r="F76" s="23">
        <v>38000</v>
      </c>
      <c r="G76">
        <v>3</v>
      </c>
    </row>
    <row r="77" spans="2:10">
      <c r="B77" t="s">
        <v>334</v>
      </c>
      <c r="C77" t="s">
        <v>340</v>
      </c>
      <c r="D77" s="18">
        <v>1900000</v>
      </c>
      <c r="E77">
        <v>2019</v>
      </c>
      <c r="F77" s="23">
        <v>100</v>
      </c>
      <c r="G77">
        <v>3</v>
      </c>
    </row>
    <row r="97" spans="2:6">
      <c r="B97" t="s">
        <v>496</v>
      </c>
    </row>
    <row r="98" spans="2:6">
      <c r="B98" t="s">
        <v>521</v>
      </c>
      <c r="F98" s="22"/>
    </row>
    <row r="99" spans="2:6">
      <c r="F99" s="14"/>
    </row>
    <row r="118" spans="2:16">
      <c r="B118" s="310"/>
      <c r="C118" s="310"/>
      <c r="D118" s="310"/>
      <c r="E118" s="310"/>
      <c r="F118" s="310"/>
    </row>
    <row r="119" spans="2:16">
      <c r="B119" s="310"/>
      <c r="C119" s="310"/>
      <c r="D119" s="310"/>
      <c r="E119" s="310"/>
      <c r="F119" s="310"/>
    </row>
    <row r="120" spans="2:16">
      <c r="B120" s="310"/>
      <c r="C120" s="310"/>
      <c r="D120" s="310"/>
      <c r="E120" s="310"/>
      <c r="F120" s="310"/>
    </row>
    <row r="121" spans="2:16">
      <c r="B121" s="310"/>
      <c r="C121" s="310"/>
      <c r="D121" s="310"/>
      <c r="E121" s="310"/>
      <c r="F121" s="310"/>
    </row>
    <row r="122" spans="2:16">
      <c r="B122" s="310"/>
      <c r="C122" s="310"/>
      <c r="D122" s="310"/>
      <c r="E122" s="310"/>
      <c r="F122" s="310"/>
    </row>
    <row r="123" spans="2:16">
      <c r="B123" s="310"/>
      <c r="C123" s="310"/>
      <c r="D123" s="310"/>
      <c r="E123" s="310"/>
      <c r="F123" s="310"/>
    </row>
    <row r="124" spans="2:16">
      <c r="B124" s="310"/>
      <c r="C124" s="310"/>
      <c r="D124" s="310"/>
      <c r="E124" s="310"/>
      <c r="F124" s="310"/>
    </row>
    <row r="125" spans="2:16">
      <c r="B125" s="310"/>
      <c r="C125" s="310"/>
      <c r="D125" s="310"/>
      <c r="E125" s="310"/>
      <c r="F125" s="310"/>
    </row>
    <row r="126" spans="2:16">
      <c r="B126" s="310"/>
      <c r="C126" s="310"/>
      <c r="D126" s="310"/>
      <c r="E126" s="310"/>
      <c r="F126" s="310"/>
    </row>
    <row r="127" spans="2:16">
      <c r="B127" s="310"/>
      <c r="C127" s="310"/>
      <c r="D127" s="310"/>
      <c r="E127" s="310"/>
      <c r="F127" s="310"/>
      <c r="H127" s="161"/>
      <c r="I127" s="161"/>
      <c r="J127" s="161"/>
      <c r="K127" s="161"/>
      <c r="L127" s="161"/>
      <c r="M127" s="161"/>
      <c r="N127" s="161"/>
      <c r="O127" s="161"/>
      <c r="P127" s="161"/>
    </row>
    <row r="128" spans="2:16">
      <c r="B128" s="310"/>
      <c r="C128" s="310"/>
      <c r="D128" s="310"/>
      <c r="E128" s="310"/>
      <c r="F128" s="310"/>
      <c r="H128" s="161"/>
      <c r="I128" s="161"/>
      <c r="J128" s="161"/>
      <c r="K128" s="161"/>
      <c r="L128" s="161"/>
      <c r="M128" s="161"/>
      <c r="N128" s="161"/>
      <c r="O128" s="161"/>
      <c r="P128" s="161"/>
    </row>
    <row r="129" spans="2:16">
      <c r="B129" s="310"/>
      <c r="C129" s="310"/>
      <c r="D129" s="310"/>
      <c r="E129" s="310"/>
      <c r="F129" s="310"/>
      <c r="H129" s="311"/>
      <c r="I129" s="311"/>
      <c r="J129" s="161"/>
      <c r="K129" s="161"/>
      <c r="L129" s="161"/>
      <c r="M129" s="161"/>
      <c r="N129" s="161"/>
      <c r="O129" s="161"/>
      <c r="P129" s="161"/>
    </row>
    <row r="130" spans="2:16">
      <c r="B130" s="310"/>
      <c r="C130" s="310"/>
      <c r="D130" s="310"/>
      <c r="E130" s="310"/>
      <c r="F130" s="310"/>
      <c r="H130" s="310"/>
      <c r="I130" s="310"/>
      <c r="J130" s="161"/>
      <c r="K130" s="161"/>
      <c r="L130" s="161"/>
      <c r="M130" s="161"/>
      <c r="N130" s="161"/>
      <c r="O130" s="161"/>
      <c r="P130" s="161"/>
    </row>
    <row r="131" spans="2:16">
      <c r="B131" s="310"/>
      <c r="C131" s="310"/>
      <c r="D131" s="310"/>
      <c r="E131" s="310"/>
      <c r="F131" s="310"/>
      <c r="H131" s="310"/>
      <c r="I131" s="310"/>
      <c r="J131" s="161"/>
      <c r="K131" s="161"/>
      <c r="L131" s="161"/>
      <c r="M131" s="161"/>
      <c r="N131" s="161"/>
      <c r="O131" s="161"/>
      <c r="P131" s="161"/>
    </row>
    <row r="132" spans="2:16">
      <c r="B132" s="310"/>
      <c r="C132" s="310"/>
      <c r="D132" s="310"/>
      <c r="E132" s="310"/>
      <c r="F132" s="310"/>
      <c r="H132" s="310"/>
      <c r="I132" s="310"/>
      <c r="J132" s="161"/>
      <c r="K132" s="161"/>
      <c r="L132" s="161"/>
      <c r="M132" s="161"/>
      <c r="N132" s="161"/>
      <c r="O132" s="161"/>
      <c r="P132" s="161"/>
    </row>
    <row r="133" spans="2:16">
      <c r="B133" s="310"/>
      <c r="C133" s="310"/>
      <c r="D133" s="310"/>
      <c r="E133" s="310"/>
      <c r="F133" s="310"/>
      <c r="H133" s="310"/>
      <c r="I133" s="310"/>
      <c r="J133" s="161"/>
      <c r="K133" s="161"/>
      <c r="L133" s="161"/>
      <c r="M133" s="161"/>
      <c r="N133" s="161"/>
      <c r="O133" s="161"/>
      <c r="P133" s="161"/>
    </row>
    <row r="134" spans="2:16">
      <c r="B134" s="310"/>
      <c r="C134" s="310"/>
      <c r="D134" s="310"/>
      <c r="E134" s="310"/>
      <c r="F134" s="310"/>
      <c r="H134" s="310"/>
      <c r="I134" s="310"/>
      <c r="J134" s="161"/>
      <c r="K134" s="161"/>
      <c r="L134" s="161"/>
      <c r="M134" s="161"/>
      <c r="N134" s="161"/>
      <c r="O134" s="161"/>
      <c r="P134" s="161"/>
    </row>
    <row r="135" spans="2:16">
      <c r="H135" s="161"/>
      <c r="I135" s="161"/>
      <c r="J135" s="161"/>
      <c r="K135" s="161"/>
      <c r="L135" s="161"/>
      <c r="M135" s="161"/>
      <c r="N135" s="161"/>
      <c r="O135" s="161"/>
      <c r="P135" s="161"/>
    </row>
    <row r="136" spans="2:16">
      <c r="H136" s="161"/>
      <c r="I136" s="161"/>
      <c r="J136" s="161"/>
      <c r="K136" s="161"/>
      <c r="L136" s="161"/>
      <c r="M136" s="161"/>
      <c r="N136" s="161"/>
      <c r="O136" s="161"/>
      <c r="P136" s="161"/>
    </row>
    <row r="137" spans="2:16">
      <c r="H137" s="219"/>
      <c r="I137" s="219"/>
      <c r="J137" s="219"/>
      <c r="K137" s="219"/>
      <c r="L137" s="219"/>
      <c r="M137" s="219"/>
      <c r="N137" s="161"/>
      <c r="O137" s="161"/>
      <c r="P137" s="161"/>
    </row>
    <row r="138" spans="2:16">
      <c r="H138" s="310"/>
      <c r="I138" s="310"/>
      <c r="J138" s="310"/>
      <c r="K138" s="310"/>
      <c r="L138" s="310"/>
      <c r="M138" s="310"/>
      <c r="N138" s="161"/>
      <c r="O138" s="161"/>
      <c r="P138" s="161"/>
    </row>
    <row r="139" spans="2:16">
      <c r="H139" s="310"/>
      <c r="I139" s="310"/>
      <c r="J139" s="310"/>
      <c r="K139" s="310"/>
      <c r="L139" s="310"/>
      <c r="M139" s="310"/>
      <c r="N139" s="161"/>
      <c r="O139" s="161"/>
      <c r="P139" s="161"/>
    </row>
    <row r="140" spans="2:16">
      <c r="H140" s="310"/>
      <c r="I140" s="310"/>
      <c r="J140" s="310"/>
      <c r="K140" s="310"/>
      <c r="L140" s="310"/>
      <c r="M140" s="310"/>
      <c r="N140" s="161"/>
      <c r="O140" s="161"/>
      <c r="P140" s="161"/>
    </row>
    <row r="141" spans="2:16">
      <c r="H141" s="161"/>
      <c r="I141" s="161"/>
      <c r="J141" s="161"/>
      <c r="K141" s="161"/>
      <c r="L141" s="161"/>
      <c r="M141" s="161"/>
      <c r="N141" s="161"/>
      <c r="O141" s="161"/>
      <c r="P141" s="161"/>
    </row>
    <row r="142" spans="2:16">
      <c r="H142" s="161"/>
      <c r="I142" s="161"/>
      <c r="J142" s="161"/>
      <c r="K142" s="161"/>
      <c r="L142" s="161"/>
      <c r="M142" s="161"/>
      <c r="N142" s="161"/>
      <c r="O142" s="161"/>
      <c r="P142" s="161"/>
    </row>
    <row r="143" spans="2:16">
      <c r="H143" s="161"/>
      <c r="I143" s="161"/>
      <c r="J143" s="161"/>
      <c r="K143" s="161"/>
      <c r="L143" s="161"/>
      <c r="M143" s="161"/>
      <c r="N143" s="161"/>
      <c r="O143" s="161"/>
      <c r="P143" s="161"/>
    </row>
    <row r="144" spans="2:16">
      <c r="H144" s="161"/>
      <c r="I144" s="161"/>
      <c r="J144" s="161"/>
      <c r="K144" s="161"/>
      <c r="L144" s="161"/>
      <c r="M144" s="161"/>
      <c r="N144" s="161"/>
      <c r="O144" s="161"/>
      <c r="P144" s="161"/>
    </row>
  </sheetData>
  <mergeCells count="7">
    <mergeCell ref="I3:P3"/>
    <mergeCell ref="I21:L21"/>
    <mergeCell ref="B3:F3"/>
    <mergeCell ref="B38:G38"/>
    <mergeCell ref="I49:K49"/>
    <mergeCell ref="I36:K36"/>
    <mergeCell ref="I43:J43"/>
  </mergeCells>
  <phoneticPr fontId="3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70"/>
  <sheetViews>
    <sheetView workbookViewId="0">
      <selection activeCell="D42" sqref="D42"/>
    </sheetView>
  </sheetViews>
  <sheetFormatPr defaultColWidth="11.42578125" defaultRowHeight="15"/>
  <cols>
    <col min="2" max="2" width="34.42578125" customWidth="1"/>
    <col min="3" max="9" width="16.85546875" customWidth="1"/>
  </cols>
  <sheetData>
    <row r="3" spans="2:6">
      <c r="B3" t="s">
        <v>341</v>
      </c>
    </row>
    <row r="5" spans="2:6">
      <c r="B5" s="167"/>
      <c r="C5" s="167"/>
      <c r="D5" s="167"/>
      <c r="E5" s="167"/>
      <c r="F5" s="167"/>
    </row>
    <row r="6" spans="2:6">
      <c r="B6" s="549" t="s">
        <v>342</v>
      </c>
      <c r="C6" s="550"/>
      <c r="D6" s="550"/>
      <c r="E6" s="551"/>
    </row>
    <row r="7" spans="2:6">
      <c r="B7" s="160"/>
      <c r="C7" s="175" t="s">
        <v>344</v>
      </c>
      <c r="D7" s="175" t="s">
        <v>345</v>
      </c>
      <c r="E7" s="175" t="s">
        <v>346</v>
      </c>
    </row>
    <row r="8" spans="2:6">
      <c r="B8" s="160" t="s">
        <v>347</v>
      </c>
      <c r="C8" s="168">
        <v>0.19</v>
      </c>
      <c r="D8" s="168">
        <v>0.61</v>
      </c>
      <c r="E8" s="170">
        <v>0.2</v>
      </c>
    </row>
    <row r="9" spans="2:6">
      <c r="B9" s="160" t="s">
        <v>348</v>
      </c>
      <c r="C9" s="168">
        <v>0.19</v>
      </c>
      <c r="D9" s="168">
        <v>0.59</v>
      </c>
      <c r="E9" s="170">
        <v>0.22</v>
      </c>
    </row>
    <row r="10" spans="2:6">
      <c r="B10" s="160" t="s">
        <v>349</v>
      </c>
      <c r="C10" s="168">
        <v>0.17</v>
      </c>
      <c r="D10" s="168">
        <v>0.63</v>
      </c>
      <c r="E10" s="170">
        <v>0.2</v>
      </c>
    </row>
    <row r="11" spans="2:6">
      <c r="B11" s="337" t="s">
        <v>343</v>
      </c>
      <c r="C11" s="497">
        <v>0.17</v>
      </c>
      <c r="D11" s="497">
        <v>0.64</v>
      </c>
      <c r="E11" s="498">
        <v>0.19</v>
      </c>
    </row>
    <row r="12" spans="2:6">
      <c r="B12" s="160" t="s">
        <v>350</v>
      </c>
      <c r="C12" s="168">
        <v>0.21</v>
      </c>
      <c r="D12" s="168">
        <v>0.56000000000000005</v>
      </c>
      <c r="E12" s="170">
        <v>0.23</v>
      </c>
    </row>
    <row r="13" spans="2:6">
      <c r="B13" s="160" t="s">
        <v>351</v>
      </c>
      <c r="C13" s="168">
        <v>0.15</v>
      </c>
      <c r="D13" s="168">
        <v>0.63</v>
      </c>
      <c r="E13" s="170">
        <v>0.22</v>
      </c>
    </row>
    <row r="14" spans="2:6">
      <c r="B14" s="171" t="s">
        <v>352</v>
      </c>
      <c r="C14" s="172">
        <v>0.22</v>
      </c>
      <c r="D14" s="172">
        <v>0.67</v>
      </c>
      <c r="E14" s="173">
        <v>0.11</v>
      </c>
    </row>
    <row r="16" spans="2:6">
      <c r="B16" t="s">
        <v>357</v>
      </c>
    </row>
    <row r="17" spans="2:9">
      <c r="B17" s="568" t="s">
        <v>353</v>
      </c>
      <c r="C17" s="568"/>
      <c r="D17" s="568"/>
      <c r="E17" s="568"/>
    </row>
    <row r="23" spans="2:9">
      <c r="B23" s="569" t="s">
        <v>380</v>
      </c>
      <c r="C23" s="570"/>
      <c r="D23" s="570"/>
      <c r="E23" s="570"/>
      <c r="F23" s="571"/>
    </row>
    <row r="24" spans="2:9">
      <c r="B24" s="160"/>
      <c r="C24" s="175" t="s">
        <v>376</v>
      </c>
      <c r="D24" s="175" t="s">
        <v>377</v>
      </c>
      <c r="E24" s="175" t="s">
        <v>378</v>
      </c>
      <c r="F24" s="176" t="s">
        <v>379</v>
      </c>
      <c r="G24" s="162"/>
      <c r="H24" s="162"/>
      <c r="I24" s="162"/>
    </row>
    <row r="25" spans="2:9">
      <c r="B25" s="183" t="s">
        <v>375</v>
      </c>
      <c r="C25" s="184">
        <v>1.9</v>
      </c>
      <c r="D25" s="184">
        <f>C25*5</f>
        <v>9.5</v>
      </c>
      <c r="E25" s="184">
        <f>C25*10</f>
        <v>19</v>
      </c>
      <c r="F25" s="185">
        <f>C25*15</f>
        <v>28.5</v>
      </c>
    </row>
    <row r="26" spans="2:9">
      <c r="B26" s="179" t="s">
        <v>372</v>
      </c>
      <c r="C26" s="161">
        <v>2.4</v>
      </c>
      <c r="D26" s="161">
        <f t="shared" ref="D26:D29" si="0">C26*5</f>
        <v>12</v>
      </c>
      <c r="E26" s="161">
        <f>C26*10</f>
        <v>24</v>
      </c>
      <c r="F26" s="169">
        <f t="shared" ref="F26:F29" si="1">C26*15</f>
        <v>36</v>
      </c>
    </row>
    <row r="27" spans="2:9">
      <c r="B27" s="179" t="s">
        <v>373</v>
      </c>
      <c r="C27" s="161">
        <v>2.2000000000000002</v>
      </c>
      <c r="D27" s="161">
        <f t="shared" si="0"/>
        <v>11</v>
      </c>
      <c r="E27" s="161">
        <f t="shared" ref="E27:E29" si="2">C27*10</f>
        <v>22</v>
      </c>
      <c r="F27" s="169">
        <f t="shared" si="1"/>
        <v>33</v>
      </c>
    </row>
    <row r="28" spans="2:9">
      <c r="B28" s="179" t="s">
        <v>131</v>
      </c>
      <c r="C28" s="161">
        <v>1.5</v>
      </c>
      <c r="D28" s="161">
        <f t="shared" si="0"/>
        <v>7.5</v>
      </c>
      <c r="E28" s="161">
        <f t="shared" si="2"/>
        <v>15</v>
      </c>
      <c r="F28" s="169">
        <f t="shared" si="1"/>
        <v>22.5</v>
      </c>
    </row>
    <row r="29" spans="2:9">
      <c r="B29" s="180" t="s">
        <v>374</v>
      </c>
      <c r="C29" s="181">
        <v>8</v>
      </c>
      <c r="D29" s="181">
        <f t="shared" si="0"/>
        <v>40</v>
      </c>
      <c r="E29" s="181">
        <f t="shared" si="2"/>
        <v>80</v>
      </c>
      <c r="F29" s="182">
        <f t="shared" si="1"/>
        <v>120</v>
      </c>
    </row>
    <row r="31" spans="2:9">
      <c r="B31" s="572" t="s">
        <v>381</v>
      </c>
      <c r="C31" s="572"/>
    </row>
    <row r="34" spans="2:7" ht="15.75" thickBot="1"/>
    <row r="35" spans="2:7" ht="15.75" thickBot="1">
      <c r="B35" s="573" t="s">
        <v>214</v>
      </c>
      <c r="C35" s="574"/>
      <c r="D35" s="574"/>
      <c r="E35" s="574"/>
      <c r="F35" s="574"/>
      <c r="G35" s="575"/>
    </row>
    <row r="36" spans="2:7">
      <c r="B36" s="48" t="s">
        <v>208</v>
      </c>
      <c r="C36" s="49" t="s">
        <v>207</v>
      </c>
      <c r="D36" s="49" t="s">
        <v>206</v>
      </c>
      <c r="E36" s="49" t="s">
        <v>209</v>
      </c>
      <c r="F36" s="49" t="s">
        <v>210</v>
      </c>
      <c r="G36" s="50" t="s">
        <v>211</v>
      </c>
    </row>
    <row r="37" spans="2:7">
      <c r="B37" s="42" t="s">
        <v>212</v>
      </c>
      <c r="C37" s="161" t="s">
        <v>213</v>
      </c>
      <c r="D37" s="161">
        <v>214</v>
      </c>
      <c r="E37" s="161">
        <v>2016</v>
      </c>
      <c r="F37" s="43" t="s">
        <v>36</v>
      </c>
      <c r="G37" s="32">
        <v>13.182</v>
      </c>
    </row>
    <row r="38" spans="2:7">
      <c r="B38" s="42" t="s">
        <v>212</v>
      </c>
      <c r="C38" s="161" t="s">
        <v>213</v>
      </c>
      <c r="D38" s="161">
        <v>214</v>
      </c>
      <c r="E38" s="161">
        <v>2017</v>
      </c>
      <c r="F38" s="43" t="s">
        <v>36</v>
      </c>
      <c r="G38" s="32">
        <v>14.629</v>
      </c>
    </row>
    <row r="39" spans="2:7">
      <c r="B39" s="42" t="s">
        <v>212</v>
      </c>
      <c r="C39" s="161" t="s">
        <v>213</v>
      </c>
      <c r="D39" s="161">
        <v>214</v>
      </c>
      <c r="E39" s="161">
        <v>2018</v>
      </c>
      <c r="F39" s="43" t="s">
        <v>36</v>
      </c>
      <c r="G39" s="32">
        <v>15.388</v>
      </c>
    </row>
    <row r="40" spans="2:7" ht="15.75" thickBot="1">
      <c r="B40" s="44" t="s">
        <v>212</v>
      </c>
      <c r="C40" s="45" t="s">
        <v>213</v>
      </c>
      <c r="D40" s="45">
        <v>214</v>
      </c>
      <c r="E40" s="45">
        <v>2019</v>
      </c>
      <c r="F40" s="46" t="s">
        <v>36</v>
      </c>
      <c r="G40" s="47">
        <v>15.614000000000001</v>
      </c>
    </row>
    <row r="42" spans="2:7">
      <c r="B42" t="s">
        <v>215</v>
      </c>
    </row>
    <row r="48" spans="2:7">
      <c r="B48" s="559" t="s">
        <v>533</v>
      </c>
      <c r="C48" s="560"/>
      <c r="D48" s="560"/>
      <c r="E48" s="561"/>
    </row>
    <row r="49" spans="2:5">
      <c r="B49" s="562" t="s">
        <v>534</v>
      </c>
      <c r="C49" s="161" t="s">
        <v>535</v>
      </c>
      <c r="D49" s="563" t="s">
        <v>536</v>
      </c>
      <c r="E49" s="564" t="s">
        <v>536</v>
      </c>
    </row>
    <row r="50" spans="2:5">
      <c r="B50" s="562" t="s">
        <v>534</v>
      </c>
      <c r="C50" s="161" t="s">
        <v>537</v>
      </c>
      <c r="D50" s="161" t="s">
        <v>538</v>
      </c>
      <c r="E50" s="169" t="s">
        <v>539</v>
      </c>
    </row>
    <row r="51" spans="2:5">
      <c r="B51" s="160" t="s">
        <v>540</v>
      </c>
      <c r="C51" s="161">
        <v>124.3</v>
      </c>
      <c r="D51" s="161">
        <v>0.7</v>
      </c>
      <c r="E51" s="169">
        <v>16.8</v>
      </c>
    </row>
    <row r="52" spans="2:5">
      <c r="B52" s="160" t="s">
        <v>541</v>
      </c>
      <c r="C52" s="161">
        <v>55.2</v>
      </c>
      <c r="D52" s="161">
        <v>0.7</v>
      </c>
      <c r="E52" s="169">
        <v>29.9</v>
      </c>
    </row>
    <row r="53" spans="2:5">
      <c r="B53" s="160" t="s">
        <v>542</v>
      </c>
      <c r="C53" s="161">
        <v>30.4</v>
      </c>
      <c r="D53" s="161">
        <v>3.4</v>
      </c>
      <c r="E53" s="169">
        <v>9</v>
      </c>
    </row>
    <row r="54" spans="2:5">
      <c r="B54" s="160" t="s">
        <v>543</v>
      </c>
      <c r="C54" s="161">
        <v>38.700000000000003</v>
      </c>
      <c r="D54" s="161">
        <v>-1.3</v>
      </c>
      <c r="E54" s="169">
        <v>7.5</v>
      </c>
    </row>
    <row r="55" spans="2:5">
      <c r="B55" s="160"/>
      <c r="C55" s="161" t="s">
        <v>534</v>
      </c>
      <c r="D55" s="161" t="s">
        <v>534</v>
      </c>
      <c r="E55" s="169" t="s">
        <v>534</v>
      </c>
    </row>
    <row r="56" spans="2:5">
      <c r="B56" s="160" t="s">
        <v>544</v>
      </c>
      <c r="C56" s="161" t="s">
        <v>534</v>
      </c>
      <c r="D56" s="161" t="s">
        <v>534</v>
      </c>
      <c r="E56" s="169" t="s">
        <v>534</v>
      </c>
    </row>
    <row r="57" spans="2:5">
      <c r="B57" s="160" t="s">
        <v>545</v>
      </c>
      <c r="C57" s="161">
        <v>46</v>
      </c>
      <c r="D57" s="161">
        <v>-10.3</v>
      </c>
      <c r="E57" s="169">
        <v>39.799999999999997</v>
      </c>
    </row>
    <row r="58" spans="2:5">
      <c r="B58" s="160" t="s">
        <v>546</v>
      </c>
      <c r="C58" s="161">
        <v>42.3</v>
      </c>
      <c r="D58" s="161">
        <v>-2.8</v>
      </c>
      <c r="E58" s="169">
        <v>53.3</v>
      </c>
    </row>
    <row r="59" spans="2:5">
      <c r="B59" s="160" t="s">
        <v>547</v>
      </c>
      <c r="C59" s="161">
        <v>34.6</v>
      </c>
      <c r="D59" s="161">
        <v>1.2</v>
      </c>
      <c r="E59" s="169">
        <v>13.8</v>
      </c>
    </row>
    <row r="60" spans="2:5">
      <c r="B60" s="160" t="s">
        <v>548</v>
      </c>
      <c r="C60" s="161">
        <v>53.1</v>
      </c>
      <c r="D60" s="161">
        <v>0</v>
      </c>
      <c r="E60" s="169">
        <v>25.8</v>
      </c>
    </row>
    <row r="61" spans="2:5">
      <c r="B61" s="160" t="s">
        <v>549</v>
      </c>
      <c r="C61" s="161">
        <v>63.6</v>
      </c>
      <c r="D61" s="161">
        <v>3.9</v>
      </c>
      <c r="E61" s="169">
        <v>43.2</v>
      </c>
    </row>
    <row r="62" spans="2:5">
      <c r="B62" s="160"/>
      <c r="C62" s="161" t="s">
        <v>534</v>
      </c>
      <c r="D62" s="161" t="s">
        <v>534</v>
      </c>
      <c r="E62" s="169" t="s">
        <v>534</v>
      </c>
    </row>
    <row r="63" spans="2:5">
      <c r="B63" s="160" t="s">
        <v>550</v>
      </c>
      <c r="C63" s="161" t="s">
        <v>534</v>
      </c>
      <c r="D63" s="161" t="s">
        <v>534</v>
      </c>
      <c r="E63" s="169" t="s">
        <v>534</v>
      </c>
    </row>
    <row r="64" spans="2:5">
      <c r="B64" s="160" t="s">
        <v>551</v>
      </c>
      <c r="C64" s="161">
        <v>51.1</v>
      </c>
      <c r="D64" s="161">
        <v>0.8</v>
      </c>
      <c r="E64" s="169">
        <v>31</v>
      </c>
    </row>
    <row r="65" spans="2:5">
      <c r="B65" s="160" t="s">
        <v>552</v>
      </c>
      <c r="C65" s="161">
        <v>50.3</v>
      </c>
      <c r="D65" s="161">
        <v>1.8</v>
      </c>
      <c r="E65" s="169">
        <v>30.3</v>
      </c>
    </row>
    <row r="66" spans="2:5">
      <c r="B66" s="160" t="s">
        <v>553</v>
      </c>
      <c r="C66" s="161">
        <v>32.5</v>
      </c>
      <c r="D66" s="161">
        <v>2.2000000000000002</v>
      </c>
      <c r="E66" s="169">
        <v>3.5</v>
      </c>
    </row>
    <row r="67" spans="2:5">
      <c r="B67" s="160"/>
      <c r="C67" s="161"/>
      <c r="D67" s="161"/>
      <c r="E67" s="169"/>
    </row>
    <row r="68" spans="2:5">
      <c r="B68" s="565" t="s">
        <v>554</v>
      </c>
      <c r="C68" s="566" t="s">
        <v>554</v>
      </c>
      <c r="D68" s="566" t="s">
        <v>554</v>
      </c>
      <c r="E68" s="567" t="s">
        <v>554</v>
      </c>
    </row>
    <row r="70" spans="2:5">
      <c r="B70" t="s">
        <v>555</v>
      </c>
    </row>
  </sheetData>
  <mergeCells count="9">
    <mergeCell ref="B48:E48"/>
    <mergeCell ref="B49:B50"/>
    <mergeCell ref="D49:E49"/>
    <mergeCell ref="B68:E68"/>
    <mergeCell ref="B6:E6"/>
    <mergeCell ref="B17:E17"/>
    <mergeCell ref="B23:F23"/>
    <mergeCell ref="B31:C31"/>
    <mergeCell ref="B35:G35"/>
  </mergeCells>
  <phoneticPr fontId="32" type="noConversion"/>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7"/>
  <sheetViews>
    <sheetView zoomScale="90" zoomScaleNormal="90" workbookViewId="0">
      <selection activeCell="E47" sqref="E47"/>
    </sheetView>
  </sheetViews>
  <sheetFormatPr defaultColWidth="8.85546875" defaultRowHeight="15"/>
  <cols>
    <col min="1" max="1" width="14.42578125" customWidth="1"/>
    <col min="2" max="2" width="29.42578125" customWidth="1"/>
    <col min="3" max="3" width="18.7109375" customWidth="1"/>
    <col min="4" max="4" width="8.140625" customWidth="1"/>
    <col min="5" max="5" width="10.7109375" customWidth="1"/>
    <col min="12" max="12" width="9.140625" customWidth="1"/>
    <col min="16" max="16" width="9.140625" customWidth="1"/>
  </cols>
  <sheetData>
    <row r="1" spans="1:19" ht="15.75">
      <c r="A1" s="76"/>
      <c r="B1" s="579" t="s">
        <v>248</v>
      </c>
      <c r="C1" s="579"/>
      <c r="D1" s="579"/>
      <c r="E1" s="579"/>
      <c r="F1" s="24"/>
      <c r="G1" s="24"/>
      <c r="H1" s="24"/>
      <c r="I1" s="24"/>
      <c r="J1" s="24"/>
      <c r="K1" s="24"/>
      <c r="L1" s="24"/>
      <c r="M1" s="24"/>
      <c r="N1" s="24"/>
      <c r="O1" s="24"/>
      <c r="P1" s="24"/>
      <c r="Q1" s="24"/>
      <c r="R1" s="24"/>
      <c r="S1" s="24"/>
    </row>
    <row r="2" spans="1:19">
      <c r="A2" s="24"/>
      <c r="B2" s="24"/>
      <c r="C2" s="24"/>
      <c r="D2" s="24"/>
      <c r="E2" s="24"/>
      <c r="F2" s="24"/>
      <c r="G2" s="24"/>
      <c r="H2" s="24"/>
      <c r="I2" s="24"/>
      <c r="J2" s="24"/>
      <c r="K2" s="24"/>
      <c r="L2" s="24"/>
      <c r="M2" s="24"/>
      <c r="N2" s="24"/>
      <c r="O2" s="24"/>
      <c r="P2" s="24"/>
      <c r="Q2" s="24"/>
      <c r="R2" s="24"/>
      <c r="S2" s="24"/>
    </row>
    <row r="3" spans="1:19">
      <c r="A3" s="24"/>
      <c r="B3" s="235"/>
      <c r="C3" s="236"/>
      <c r="D3" s="577" t="s">
        <v>241</v>
      </c>
      <c r="E3" s="577"/>
      <c r="F3" s="577"/>
      <c r="G3" s="577"/>
      <c r="H3" s="577" t="s">
        <v>242</v>
      </c>
      <c r="I3" s="577"/>
      <c r="J3" s="577"/>
      <c r="K3" s="577"/>
      <c r="L3" s="577" t="s">
        <v>243</v>
      </c>
      <c r="M3" s="577"/>
      <c r="N3" s="577"/>
      <c r="O3" s="577"/>
      <c r="P3" s="577" t="s">
        <v>244</v>
      </c>
      <c r="Q3" s="577"/>
      <c r="R3" s="577"/>
      <c r="S3" s="578"/>
    </row>
    <row r="4" spans="1:19">
      <c r="A4" s="24"/>
      <c r="B4" s="237"/>
      <c r="C4" s="29"/>
      <c r="D4" s="246" t="s">
        <v>171</v>
      </c>
      <c r="E4" s="246" t="s">
        <v>172</v>
      </c>
      <c r="F4" s="246" t="s">
        <v>173</v>
      </c>
      <c r="G4" s="246" t="s">
        <v>245</v>
      </c>
      <c r="H4" s="246" t="s">
        <v>171</v>
      </c>
      <c r="I4" s="246" t="s">
        <v>172</v>
      </c>
      <c r="J4" s="246" t="s">
        <v>173</v>
      </c>
      <c r="K4" s="246" t="s">
        <v>245</v>
      </c>
      <c r="L4" s="246" t="s">
        <v>171</v>
      </c>
      <c r="M4" s="246" t="s">
        <v>172</v>
      </c>
      <c r="N4" s="246" t="s">
        <v>173</v>
      </c>
      <c r="O4" s="246" t="s">
        <v>245</v>
      </c>
      <c r="P4" s="246" t="s">
        <v>171</v>
      </c>
      <c r="Q4" s="246" t="s">
        <v>172</v>
      </c>
      <c r="R4" s="246" t="s">
        <v>173</v>
      </c>
      <c r="S4" s="247" t="s">
        <v>245</v>
      </c>
    </row>
    <row r="5" spans="1:19">
      <c r="A5" s="75"/>
      <c r="B5" s="238" t="s">
        <v>246</v>
      </c>
      <c r="C5" s="31" t="s">
        <v>247</v>
      </c>
      <c r="D5" s="239">
        <v>34160</v>
      </c>
      <c r="E5" s="239">
        <v>34820</v>
      </c>
      <c r="F5" s="239">
        <v>35620</v>
      </c>
      <c r="G5" s="239">
        <v>36530</v>
      </c>
      <c r="H5" s="239">
        <v>890</v>
      </c>
      <c r="I5" s="239">
        <v>870</v>
      </c>
      <c r="J5" s="239">
        <v>960</v>
      </c>
      <c r="K5" s="239">
        <v>1090</v>
      </c>
      <c r="L5" s="239">
        <v>390</v>
      </c>
      <c r="M5" s="239">
        <v>380</v>
      </c>
      <c r="N5" s="239">
        <v>370</v>
      </c>
      <c r="O5" s="239">
        <v>350</v>
      </c>
      <c r="P5" s="239">
        <v>1930</v>
      </c>
      <c r="Q5" s="239">
        <v>1960</v>
      </c>
      <c r="R5" s="239">
        <v>2000</v>
      </c>
      <c r="S5" s="240">
        <v>2200</v>
      </c>
    </row>
    <row r="6" spans="1:19">
      <c r="B6" s="241"/>
      <c r="C6" s="242"/>
      <c r="D6" s="242"/>
      <c r="E6" s="242"/>
      <c r="F6" s="242"/>
      <c r="G6" s="242"/>
      <c r="H6" s="242"/>
      <c r="I6" s="242"/>
      <c r="J6" s="242"/>
      <c r="K6" s="242"/>
      <c r="L6" s="242"/>
      <c r="M6" s="242"/>
      <c r="N6" s="242"/>
      <c r="O6" s="242"/>
      <c r="P6" s="243">
        <f>P5/D5</f>
        <v>5.6498829039812647E-2</v>
      </c>
      <c r="Q6" s="243">
        <f>Q5/E5</f>
        <v>5.6289488799540495E-2</v>
      </c>
      <c r="R6" s="243">
        <f t="shared" ref="R6" si="0">R5/F5</f>
        <v>5.6148231330713082E-2</v>
      </c>
      <c r="S6" s="244">
        <f>S5/G5</f>
        <v>6.0224473035860933E-2</v>
      </c>
    </row>
    <row r="7" spans="1:19" ht="19.5" thickBot="1">
      <c r="A7" s="233"/>
    </row>
    <row r="8" spans="1:19">
      <c r="B8" s="249" t="s">
        <v>462</v>
      </c>
      <c r="C8" s="250"/>
      <c r="D8" s="582" t="s">
        <v>241</v>
      </c>
      <c r="E8" s="582"/>
      <c r="F8" s="582"/>
      <c r="G8" s="583"/>
    </row>
    <row r="9" spans="1:19">
      <c r="B9" s="42"/>
      <c r="C9" s="161"/>
      <c r="D9" s="245" t="s">
        <v>171</v>
      </c>
      <c r="E9" s="245" t="s">
        <v>172</v>
      </c>
      <c r="F9" s="245" t="s">
        <v>173</v>
      </c>
      <c r="G9" s="251" t="s">
        <v>245</v>
      </c>
    </row>
    <row r="10" spans="1:19" ht="15.75" thickBot="1">
      <c r="B10" s="44"/>
      <c r="C10" s="45"/>
      <c r="D10" s="252">
        <v>59440</v>
      </c>
      <c r="E10" s="252">
        <v>60790</v>
      </c>
      <c r="F10" s="252">
        <v>62320</v>
      </c>
      <c r="G10" s="253">
        <v>64230</v>
      </c>
    </row>
    <row r="11" spans="1:19">
      <c r="A11" s="234"/>
      <c r="B11" s="234"/>
      <c r="C11" s="234"/>
      <c r="E11" s="234"/>
      <c r="G11" s="234"/>
      <c r="H11" s="234"/>
    </row>
    <row r="12" spans="1:19">
      <c r="B12" t="s">
        <v>518</v>
      </c>
    </row>
    <row r="14" spans="1:19" ht="15.75" thickBot="1"/>
    <row r="15" spans="1:19">
      <c r="B15" s="584" t="s">
        <v>465</v>
      </c>
      <c r="C15" s="585"/>
    </row>
    <row r="16" spans="1:19">
      <c r="B16" s="77" t="s">
        <v>249</v>
      </c>
      <c r="C16" s="79">
        <f>D10</f>
        <v>59440</v>
      </c>
    </row>
    <row r="17" spans="2:5">
      <c r="B17" s="77" t="s">
        <v>250</v>
      </c>
      <c r="C17" s="79">
        <f>E10</f>
        <v>60790</v>
      </c>
    </row>
    <row r="18" spans="2:5">
      <c r="B18" s="77" t="s">
        <v>251</v>
      </c>
      <c r="C18" s="79">
        <f>F10</f>
        <v>62320</v>
      </c>
    </row>
    <row r="19" spans="2:5" ht="15.75" thickBot="1">
      <c r="B19" s="78" t="s">
        <v>252</v>
      </c>
      <c r="C19" s="79">
        <f>G10</f>
        <v>64230</v>
      </c>
    </row>
    <row r="20" spans="2:5" ht="15.75" thickBot="1"/>
    <row r="21" spans="2:5" ht="15.75" thickBot="1">
      <c r="B21" s="580" t="s">
        <v>519</v>
      </c>
      <c r="C21" s="581"/>
      <c r="D21" s="221" t="s">
        <v>253</v>
      </c>
    </row>
    <row r="22" spans="2:5">
      <c r="B22" s="77" t="s">
        <v>249</v>
      </c>
      <c r="C22" s="80">
        <f>C16*12</f>
        <v>713280</v>
      </c>
      <c r="D22" s="81"/>
    </row>
    <row r="23" spans="2:5">
      <c r="B23" s="77" t="s">
        <v>250</v>
      </c>
      <c r="C23" s="80">
        <f t="shared" ref="C23:C25" si="1">C17*12</f>
        <v>729480</v>
      </c>
      <c r="D23" s="89">
        <f>(C23/C22)-1</f>
        <v>2.2711978465679739E-2</v>
      </c>
    </row>
    <row r="24" spans="2:5">
      <c r="B24" s="77" t="s">
        <v>251</v>
      </c>
      <c r="C24" s="80">
        <f t="shared" si="1"/>
        <v>747840</v>
      </c>
      <c r="D24" s="89">
        <f t="shared" ref="D24:D25" si="2">(C24/C23)-1</f>
        <v>2.5168613258759631E-2</v>
      </c>
      <c r="E24" s="82">
        <f>D24-D23</f>
        <v>2.4566347930798926E-3</v>
      </c>
    </row>
    <row r="25" spans="2:5">
      <c r="B25" s="87" t="s">
        <v>252</v>
      </c>
      <c r="C25" s="80">
        <f t="shared" si="1"/>
        <v>770760</v>
      </c>
      <c r="D25" s="90">
        <f t="shared" si="2"/>
        <v>3.0648267008985819E-2</v>
      </c>
      <c r="E25" s="82">
        <f>D25-D24</f>
        <v>5.4796537502261877E-3</v>
      </c>
    </row>
    <row r="26" spans="2:5">
      <c r="B26" s="83" t="s">
        <v>254</v>
      </c>
      <c r="C26" s="84">
        <f>C25*(1+D26)</f>
        <v>798605.95620437025</v>
      </c>
      <c r="D26" s="91">
        <f>D25+E25</f>
        <v>3.6127920759212007E-2</v>
      </c>
      <c r="E26" s="82">
        <f>E25-E24</f>
        <v>3.0230189571462951E-3</v>
      </c>
    </row>
    <row r="27" spans="2:5">
      <c r="B27" s="83" t="s">
        <v>255</v>
      </c>
      <c r="C27" s="84">
        <f t="shared" ref="C27" si="3">C26*(1+D27)</f>
        <v>829872.1298528522</v>
      </c>
      <c r="D27" s="91">
        <f>D26+E26</f>
        <v>3.9150939716358302E-2</v>
      </c>
      <c r="E27" s="82">
        <f t="shared" ref="E27:E28" si="4">D27-D26</f>
        <v>3.0230189571462951E-3</v>
      </c>
    </row>
    <row r="28" spans="2:5" ht="15.75" thickBot="1">
      <c r="B28" s="85" t="s">
        <v>256</v>
      </c>
      <c r="C28" s="86">
        <f>C27*(1+D28)</f>
        <v>864871.12276155967</v>
      </c>
      <c r="D28" s="92">
        <f>D27+E27</f>
        <v>4.2173958673504597E-2</v>
      </c>
      <c r="E28" s="82">
        <f t="shared" si="4"/>
        <v>3.0230189571462951E-3</v>
      </c>
    </row>
    <row r="30" spans="2:5" ht="15.75" thickBot="1"/>
    <row r="31" spans="2:5">
      <c r="B31" s="222" t="s">
        <v>463</v>
      </c>
      <c r="C31" s="223"/>
    </row>
    <row r="32" spans="2:5">
      <c r="B32" s="264" t="s">
        <v>249</v>
      </c>
      <c r="C32" s="79">
        <f>D5+P5</f>
        <v>36090</v>
      </c>
    </row>
    <row r="33" spans="2:5">
      <c r="B33" s="264" t="s">
        <v>250</v>
      </c>
      <c r="C33" s="79">
        <f>E5+Q5</f>
        <v>36780</v>
      </c>
    </row>
    <row r="34" spans="2:5">
      <c r="B34" s="264" t="s">
        <v>251</v>
      </c>
      <c r="C34" s="79">
        <f>F5+R5</f>
        <v>37620</v>
      </c>
    </row>
    <row r="35" spans="2:5" ht="15.75" thickBot="1">
      <c r="B35" s="265" t="s">
        <v>252</v>
      </c>
      <c r="C35" s="248">
        <f>G5+S5</f>
        <v>38730</v>
      </c>
    </row>
    <row r="36" spans="2:5" ht="15.75" thickBot="1"/>
    <row r="37" spans="2:5" ht="15.75" thickBot="1">
      <c r="B37" s="224" t="s">
        <v>464</v>
      </c>
      <c r="C37" s="225"/>
      <c r="D37" s="221" t="s">
        <v>253</v>
      </c>
    </row>
    <row r="38" spans="2:5">
      <c r="B38" s="264" t="s">
        <v>249</v>
      </c>
      <c r="C38" s="80">
        <f>C32*12</f>
        <v>433080</v>
      </c>
      <c r="D38" s="81"/>
    </row>
    <row r="39" spans="2:5">
      <c r="B39" s="264" t="s">
        <v>250</v>
      </c>
      <c r="C39" s="80">
        <f>C33*12</f>
        <v>441360</v>
      </c>
      <c r="D39" s="89">
        <f>(C39/C38)-1</f>
        <v>1.9118869492934287E-2</v>
      </c>
    </row>
    <row r="40" spans="2:5">
      <c r="B40" s="264" t="s">
        <v>251</v>
      </c>
      <c r="C40" s="80">
        <f>C34*12</f>
        <v>451440</v>
      </c>
      <c r="D40" s="89">
        <f t="shared" ref="D40:D41" si="5">(C40/C39)-1</f>
        <v>2.2838499184339334E-2</v>
      </c>
      <c r="E40" s="82">
        <f>D40-D39</f>
        <v>3.7196296914050464E-3</v>
      </c>
    </row>
    <row r="41" spans="2:5">
      <c r="B41" s="266" t="s">
        <v>252</v>
      </c>
      <c r="C41" s="88">
        <f>C35*12</f>
        <v>464760</v>
      </c>
      <c r="D41" s="90">
        <f t="shared" si="5"/>
        <v>2.9505582137161035E-2</v>
      </c>
      <c r="E41" s="82">
        <f>D41-D40</f>
        <v>6.6670829528217013E-3</v>
      </c>
    </row>
    <row r="42" spans="2:5">
      <c r="B42" s="267" t="s">
        <v>254</v>
      </c>
      <c r="C42" s="84">
        <f>C41*(1+D42)</f>
        <v>481571.6078272204</v>
      </c>
      <c r="D42" s="91">
        <f>D41+E41</f>
        <v>3.6172665089982736E-2</v>
      </c>
      <c r="E42" s="82">
        <f>(E40+E41)/2</f>
        <v>5.1933563221133738E-3</v>
      </c>
    </row>
    <row r="43" spans="2:5">
      <c r="B43" s="267" t="s">
        <v>255</v>
      </c>
      <c r="C43" s="84">
        <f t="shared" ref="C43:C44" si="6">C42*(1+D43)</f>
        <v>501492.30926805874</v>
      </c>
      <c r="D43" s="91">
        <f>D42+E42</f>
        <v>4.136602141209611E-2</v>
      </c>
      <c r="E43" s="82">
        <f t="shared" ref="E43:E44" si="7">(E41+E42)/2</f>
        <v>5.9302196374675376E-3</v>
      </c>
    </row>
    <row r="44" spans="2:5" ht="15.75" thickBot="1">
      <c r="B44" s="268" t="s">
        <v>256</v>
      </c>
      <c r="C44" s="86">
        <f t="shared" si="6"/>
        <v>525211.01041170314</v>
      </c>
      <c r="D44" s="92">
        <f>D43+E43</f>
        <v>4.7296241049563648E-2</v>
      </c>
      <c r="E44" s="82">
        <f t="shared" si="7"/>
        <v>5.5617879797904557E-3</v>
      </c>
    </row>
    <row r="47" spans="2:5">
      <c r="B47" s="263" t="s">
        <v>467</v>
      </c>
      <c r="C47" s="18">
        <f>Bransjetall!B110</f>
        <v>547191.28384868836</v>
      </c>
      <c r="E47" t="s">
        <v>486</v>
      </c>
    </row>
    <row r="48" spans="2:5">
      <c r="B48" s="263"/>
      <c r="C48" s="22"/>
    </row>
    <row r="49" spans="2:5">
      <c r="B49" s="263" t="s">
        <v>458</v>
      </c>
      <c r="C49" s="22">
        <f>C26/4</f>
        <v>199651.48905109256</v>
      </c>
      <c r="E49" t="s">
        <v>485</v>
      </c>
    </row>
    <row r="53" spans="2:5">
      <c r="B53" s="576"/>
      <c r="C53" s="576"/>
      <c r="D53" s="10"/>
      <c r="E53" s="10"/>
    </row>
    <row r="54" spans="2:5">
      <c r="B54" s="10"/>
      <c r="C54" s="10"/>
      <c r="D54" s="10"/>
      <c r="E54" s="431"/>
    </row>
    <row r="55" spans="2:5">
      <c r="B55" s="10"/>
      <c r="C55" s="10"/>
      <c r="D55" s="10"/>
      <c r="E55" s="431"/>
    </row>
    <row r="56" spans="2:5">
      <c r="B56" s="10"/>
      <c r="C56" s="10"/>
      <c r="D56" s="10"/>
      <c r="E56" s="10"/>
    </row>
    <row r="57" spans="2:5">
      <c r="B57" s="432"/>
      <c r="C57" s="433"/>
      <c r="D57" s="10"/>
      <c r="E57" s="10"/>
    </row>
    <row r="58" spans="2:5">
      <c r="B58" s="432"/>
      <c r="C58" s="433"/>
      <c r="D58" s="10"/>
      <c r="E58" s="10"/>
    </row>
    <row r="59" spans="2:5">
      <c r="B59" s="10"/>
      <c r="C59" s="10"/>
      <c r="D59" s="10"/>
      <c r="E59" s="10"/>
    </row>
    <row r="60" spans="2:5">
      <c r="B60" s="10"/>
      <c r="C60" s="433"/>
      <c r="D60" s="10"/>
      <c r="E60" s="10"/>
    </row>
    <row r="61" spans="2:5">
      <c r="B61" s="10"/>
      <c r="C61" s="10"/>
      <c r="D61" s="10"/>
      <c r="E61" s="10"/>
    </row>
    <row r="62" spans="2:5">
      <c r="C62" s="228"/>
    </row>
    <row r="63" spans="2:5">
      <c r="B63" s="220"/>
      <c r="C63" s="220"/>
    </row>
    <row r="65" spans="3:3">
      <c r="C65" s="228"/>
    </row>
    <row r="66" spans="3:3">
      <c r="C66" s="228"/>
    </row>
    <row r="67" spans="3:3">
      <c r="C67" s="228"/>
    </row>
  </sheetData>
  <mergeCells count="9">
    <mergeCell ref="B53:C53"/>
    <mergeCell ref="L3:O3"/>
    <mergeCell ref="P3:S3"/>
    <mergeCell ref="B1:E1"/>
    <mergeCell ref="D3:G3"/>
    <mergeCell ref="H3:K3"/>
    <mergeCell ref="B21:C21"/>
    <mergeCell ref="D8:G8"/>
    <mergeCell ref="B15:C1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7"/>
  <sheetViews>
    <sheetView zoomScale="62" zoomScaleNormal="80" workbookViewId="0">
      <selection activeCell="F27" sqref="F27"/>
    </sheetView>
  </sheetViews>
  <sheetFormatPr defaultColWidth="8.85546875" defaultRowHeight="15"/>
  <cols>
    <col min="1" max="1" width="42.42578125" customWidth="1"/>
    <col min="2" max="12" width="17.7109375" customWidth="1"/>
  </cols>
  <sheetData>
    <row r="1" spans="1:13" ht="18.75">
      <c r="A1" s="25" t="s">
        <v>166</v>
      </c>
      <c r="B1" s="26"/>
      <c r="C1" s="26"/>
      <c r="D1" s="26"/>
      <c r="E1" s="26"/>
      <c r="F1" s="26"/>
      <c r="G1" s="26"/>
      <c r="H1" s="26"/>
      <c r="I1" s="27"/>
      <c r="J1" s="24"/>
      <c r="K1" s="24"/>
      <c r="L1" s="24"/>
      <c r="M1" s="24"/>
    </row>
    <row r="2" spans="1:13">
      <c r="A2" s="28"/>
      <c r="B2" s="29"/>
      <c r="C2" s="29"/>
      <c r="D2" s="29"/>
      <c r="E2" s="29"/>
      <c r="F2" s="29"/>
      <c r="G2" s="29"/>
      <c r="H2" s="29"/>
      <c r="I2" s="30"/>
      <c r="J2" s="24"/>
      <c r="K2" s="24"/>
      <c r="L2" s="24"/>
      <c r="M2" s="24"/>
    </row>
    <row r="3" spans="1:13">
      <c r="A3" s="28"/>
      <c r="B3" s="29"/>
      <c r="C3" s="586" t="s">
        <v>167</v>
      </c>
      <c r="D3" s="586"/>
      <c r="E3" s="586"/>
      <c r="F3" s="586"/>
      <c r="G3" s="586"/>
      <c r="H3" s="586"/>
      <c r="I3" s="32"/>
      <c r="K3" s="24"/>
      <c r="L3" s="24"/>
      <c r="M3" s="24"/>
    </row>
    <row r="4" spans="1:13">
      <c r="A4" s="28"/>
      <c r="B4" s="29"/>
      <c r="C4" s="33" t="s">
        <v>168</v>
      </c>
      <c r="D4" s="33" t="s">
        <v>169</v>
      </c>
      <c r="E4" s="33" t="s">
        <v>170</v>
      </c>
      <c r="F4" s="33" t="s">
        <v>171</v>
      </c>
      <c r="G4" s="33" t="s">
        <v>172</v>
      </c>
      <c r="H4" s="33" t="s">
        <v>173</v>
      </c>
      <c r="I4" s="32"/>
      <c r="K4" s="24"/>
      <c r="L4" s="24"/>
      <c r="M4" s="24"/>
    </row>
    <row r="5" spans="1:13">
      <c r="A5" s="34" t="s">
        <v>175</v>
      </c>
      <c r="B5" s="31" t="s">
        <v>183</v>
      </c>
      <c r="C5" s="35">
        <v>4</v>
      </c>
      <c r="D5" s="35">
        <v>4</v>
      </c>
      <c r="E5" s="35">
        <v>4.2</v>
      </c>
      <c r="F5" s="35">
        <v>4</v>
      </c>
      <c r="G5" s="35">
        <v>3.8</v>
      </c>
      <c r="H5" s="35">
        <v>3.2</v>
      </c>
      <c r="I5" s="32"/>
      <c r="K5" s="24"/>
      <c r="L5" s="24"/>
      <c r="M5" s="24"/>
    </row>
    <row r="6" spans="1:13">
      <c r="A6" s="34" t="s">
        <v>175</v>
      </c>
      <c r="B6" s="31" t="s">
        <v>174</v>
      </c>
      <c r="C6" s="35">
        <v>3.2</v>
      </c>
      <c r="D6" s="35">
        <v>4</v>
      </c>
      <c r="E6" s="35">
        <v>3.9</v>
      </c>
      <c r="F6" s="35">
        <v>4.5</v>
      </c>
      <c r="G6" s="35">
        <v>4.8</v>
      </c>
      <c r="H6" s="35">
        <v>3.7</v>
      </c>
      <c r="I6" s="32"/>
      <c r="K6" s="195"/>
      <c r="L6" s="197"/>
      <c r="M6" s="24"/>
    </row>
    <row r="7" spans="1:13" ht="14.25" customHeight="1">
      <c r="A7" s="34" t="s">
        <v>175</v>
      </c>
      <c r="B7" s="31" t="s">
        <v>176</v>
      </c>
      <c r="C7" s="35">
        <v>4.4000000000000004</v>
      </c>
      <c r="D7" s="35">
        <v>5.2</v>
      </c>
      <c r="E7" s="35">
        <v>4</v>
      </c>
      <c r="F7" s="35">
        <v>3.6</v>
      </c>
      <c r="G7" s="35">
        <v>1.7</v>
      </c>
      <c r="H7" s="35">
        <v>2.6</v>
      </c>
      <c r="I7" s="32"/>
      <c r="K7" s="195"/>
      <c r="L7" s="197"/>
      <c r="M7" s="24"/>
    </row>
    <row r="8" spans="1:13" ht="15.75" hidden="1" customHeight="1">
      <c r="A8" s="28"/>
      <c r="B8" s="29"/>
      <c r="C8" s="29"/>
      <c r="D8" s="29"/>
      <c r="E8" s="29"/>
      <c r="F8" s="29"/>
      <c r="G8" s="29"/>
      <c r="H8" s="29"/>
      <c r="I8" s="30"/>
      <c r="J8" s="24"/>
      <c r="K8" s="196"/>
      <c r="L8" s="197"/>
      <c r="M8" s="24"/>
    </row>
    <row r="9" spans="1:13" hidden="1">
      <c r="A9" s="36" t="s">
        <v>177</v>
      </c>
      <c r="B9" s="29"/>
      <c r="C9" s="29"/>
      <c r="D9" s="29"/>
      <c r="E9" s="29"/>
      <c r="F9" s="29"/>
      <c r="G9" s="29"/>
      <c r="H9" s="29"/>
      <c r="I9" s="30"/>
      <c r="J9" s="24"/>
      <c r="K9" s="196"/>
      <c r="L9" s="197"/>
      <c r="M9" s="24"/>
    </row>
    <row r="10" spans="1:13" hidden="1">
      <c r="A10" s="28"/>
      <c r="B10" s="29"/>
      <c r="C10" s="29"/>
      <c r="D10" s="29"/>
      <c r="E10" s="29"/>
      <c r="F10" s="29"/>
      <c r="G10" s="29"/>
      <c r="H10" s="29"/>
      <c r="I10" s="30"/>
      <c r="J10" s="24"/>
      <c r="K10" s="196"/>
      <c r="L10" s="197"/>
      <c r="M10" s="24"/>
    </row>
    <row r="11" spans="1:13" hidden="1">
      <c r="A11" s="28"/>
      <c r="B11" s="29"/>
      <c r="C11" s="29"/>
      <c r="D11" s="29"/>
      <c r="E11" s="29"/>
      <c r="F11" s="29"/>
      <c r="G11" s="29"/>
      <c r="H11" s="29"/>
      <c r="I11" s="30"/>
      <c r="J11" s="24"/>
      <c r="K11" s="196"/>
      <c r="L11" s="197"/>
      <c r="M11" s="24"/>
    </row>
    <row r="12" spans="1:13">
      <c r="A12" s="28"/>
      <c r="B12" s="29"/>
      <c r="C12" s="29"/>
      <c r="D12" s="29"/>
      <c r="E12" s="29"/>
      <c r="F12" s="29"/>
      <c r="G12" s="29"/>
      <c r="H12" s="29"/>
      <c r="I12" s="30"/>
      <c r="J12" s="24"/>
      <c r="K12" s="196"/>
      <c r="L12" s="197"/>
      <c r="M12" s="24"/>
    </row>
    <row r="13" spans="1:13">
      <c r="A13" s="28" t="s">
        <v>178</v>
      </c>
      <c r="B13" s="29"/>
      <c r="C13" s="29"/>
      <c r="D13" s="29"/>
      <c r="E13" s="29"/>
      <c r="F13" s="29"/>
      <c r="G13" s="29"/>
      <c r="H13" s="29"/>
      <c r="I13" s="30"/>
      <c r="J13" s="24"/>
      <c r="K13" s="196"/>
      <c r="L13" s="196"/>
      <c r="M13" s="24"/>
    </row>
    <row r="14" spans="1:13">
      <c r="A14" s="28" t="s">
        <v>179</v>
      </c>
      <c r="B14" s="29"/>
      <c r="C14" s="29"/>
      <c r="D14" s="135"/>
      <c r="E14" s="29"/>
      <c r="F14" s="29"/>
      <c r="G14" s="29"/>
      <c r="H14" s="29"/>
      <c r="I14" s="30"/>
      <c r="J14" s="24"/>
      <c r="K14" s="24"/>
      <c r="L14" s="24"/>
      <c r="M14" s="24"/>
    </row>
    <row r="15" spans="1:13">
      <c r="A15" s="28" t="s">
        <v>180</v>
      </c>
      <c r="B15" s="29"/>
      <c r="C15" s="29"/>
      <c r="D15" s="29"/>
      <c r="E15" s="29"/>
      <c r="F15" s="29"/>
      <c r="G15" s="29"/>
      <c r="H15" s="29"/>
      <c r="I15" s="30"/>
      <c r="J15" s="24"/>
      <c r="K15" s="24"/>
      <c r="L15" s="24"/>
      <c r="M15" s="24"/>
    </row>
    <row r="16" spans="1:13">
      <c r="A16" s="28"/>
      <c r="B16" s="29"/>
      <c r="C16" s="29"/>
      <c r="D16" s="29"/>
      <c r="E16" s="29"/>
      <c r="F16" s="29"/>
      <c r="G16" s="29"/>
      <c r="H16" s="29"/>
      <c r="I16" s="30"/>
      <c r="J16" s="24"/>
      <c r="K16" s="24"/>
      <c r="L16" s="24"/>
      <c r="M16" s="24"/>
    </row>
    <row r="17" spans="1:16">
      <c r="A17" s="28" t="s">
        <v>181</v>
      </c>
      <c r="B17" s="29"/>
      <c r="C17" s="29"/>
      <c r="D17" s="29"/>
      <c r="E17" s="29"/>
      <c r="F17" s="29"/>
      <c r="G17" s="29"/>
      <c r="H17" s="29"/>
      <c r="I17" s="30"/>
      <c r="J17" s="24"/>
      <c r="K17" s="24"/>
      <c r="L17" s="24"/>
      <c r="M17" s="24"/>
    </row>
    <row r="18" spans="1:16" ht="15.75" thickBot="1">
      <c r="A18" s="39" t="s">
        <v>182</v>
      </c>
      <c r="B18" s="37"/>
      <c r="C18" s="37"/>
      <c r="D18" s="37"/>
      <c r="E18" s="37"/>
      <c r="F18" s="37"/>
      <c r="G18" s="37"/>
      <c r="H18" s="37"/>
      <c r="I18" s="38"/>
      <c r="J18" s="24"/>
      <c r="K18" s="24"/>
      <c r="L18" s="24"/>
      <c r="M18" s="24"/>
    </row>
    <row r="19" spans="1:16">
      <c r="A19" s="24"/>
      <c r="B19" s="24"/>
      <c r="C19" s="24"/>
      <c r="D19" s="24"/>
      <c r="E19" s="24"/>
      <c r="F19" s="24"/>
      <c r="G19" s="24"/>
      <c r="H19" s="24"/>
      <c r="I19" s="24"/>
      <c r="J19" s="24"/>
      <c r="K19" s="24"/>
      <c r="L19" s="24"/>
      <c r="M19" s="24"/>
    </row>
    <row r="20" spans="1:16" ht="20.25">
      <c r="A20" s="40"/>
      <c r="B20" s="13"/>
      <c r="C20" s="13"/>
      <c r="D20" s="13"/>
      <c r="E20" s="13"/>
      <c r="F20" s="13"/>
      <c r="G20" s="13"/>
      <c r="H20" s="13"/>
      <c r="I20" s="13"/>
      <c r="J20" s="29"/>
      <c r="K20" s="29"/>
      <c r="L20" s="29"/>
      <c r="M20" s="29"/>
      <c r="N20" s="13"/>
    </row>
    <row r="21" spans="1:16">
      <c r="A21" t="s">
        <v>26</v>
      </c>
      <c r="M21" s="29"/>
      <c r="N21" s="13"/>
    </row>
    <row r="22" spans="1:16">
      <c r="M22" s="29"/>
      <c r="N22" s="13"/>
    </row>
    <row r="23" spans="1:16" ht="15.75" thickBot="1">
      <c r="A23" s="140" t="s">
        <v>27</v>
      </c>
      <c r="B23" s="140" t="s">
        <v>28</v>
      </c>
      <c r="C23" s="189" t="s">
        <v>391</v>
      </c>
      <c r="D23" s="189" t="s">
        <v>390</v>
      </c>
      <c r="E23" s="189" t="s">
        <v>382</v>
      </c>
      <c r="F23" s="189" t="s">
        <v>383</v>
      </c>
      <c r="G23" s="189" t="s">
        <v>384</v>
      </c>
      <c r="H23" s="189" t="s">
        <v>385</v>
      </c>
      <c r="I23" s="189" t="s">
        <v>386</v>
      </c>
      <c r="J23" s="189" t="s">
        <v>387</v>
      </c>
      <c r="K23" s="189" t="s">
        <v>388</v>
      </c>
      <c r="L23" s="189" t="s">
        <v>389</v>
      </c>
      <c r="M23" s="29"/>
      <c r="N23" s="13"/>
    </row>
    <row r="24" spans="1:16" ht="15.75">
      <c r="A24" s="138" t="s">
        <v>35</v>
      </c>
      <c r="B24" s="138"/>
      <c r="C24" s="138" t="s">
        <v>36</v>
      </c>
      <c r="D24" s="138" t="s">
        <v>36</v>
      </c>
      <c r="E24" s="138" t="s">
        <v>36</v>
      </c>
      <c r="F24" s="138" t="s">
        <v>36</v>
      </c>
      <c r="G24" s="138" t="s">
        <v>36</v>
      </c>
      <c r="H24" s="138" t="s">
        <v>36</v>
      </c>
      <c r="I24" s="138" t="s">
        <v>36</v>
      </c>
      <c r="J24" s="138" t="s">
        <v>36</v>
      </c>
      <c r="K24" s="138" t="s">
        <v>36</v>
      </c>
      <c r="L24" s="138" t="s">
        <v>36</v>
      </c>
      <c r="M24" s="13"/>
      <c r="N24" s="13"/>
      <c r="P24" s="15" t="s">
        <v>193</v>
      </c>
    </row>
    <row r="25" spans="1:16">
      <c r="A25" s="138" t="s">
        <v>37</v>
      </c>
      <c r="B25" s="139">
        <f>AVERAGE(C25:L25)</f>
        <v>135042</v>
      </c>
      <c r="C25" s="139">
        <v>148031</v>
      </c>
      <c r="D25" s="139">
        <v>789613</v>
      </c>
      <c r="E25" s="139">
        <v>36343</v>
      </c>
      <c r="F25" s="139">
        <v>34614</v>
      </c>
      <c r="G25" s="139">
        <v>47818</v>
      </c>
      <c r="H25" s="139">
        <v>41154</v>
      </c>
      <c r="I25" s="139">
        <v>24399</v>
      </c>
      <c r="J25" s="139">
        <v>9196</v>
      </c>
      <c r="K25" s="139">
        <v>134595</v>
      </c>
      <c r="L25" s="139">
        <v>84657</v>
      </c>
      <c r="M25" s="13"/>
      <c r="N25" s="13"/>
      <c r="P25" t="s">
        <v>194</v>
      </c>
    </row>
    <row r="26" spans="1:16">
      <c r="A26" s="138" t="s">
        <v>38</v>
      </c>
      <c r="B26" s="139">
        <f t="shared" ref="B26:B63" si="0">AVERAGE(C26:L26)</f>
        <v>4081.1</v>
      </c>
      <c r="C26" s="139">
        <v>2135</v>
      </c>
      <c r="D26" s="139">
        <v>35610</v>
      </c>
      <c r="E26" s="139">
        <v>809</v>
      </c>
      <c r="F26" s="139">
        <v>24</v>
      </c>
      <c r="G26" s="139">
        <v>18</v>
      </c>
      <c r="H26" s="139">
        <v>211</v>
      </c>
      <c r="I26" s="139">
        <v>272</v>
      </c>
      <c r="J26" s="139">
        <v>0</v>
      </c>
      <c r="K26" s="139">
        <v>692</v>
      </c>
      <c r="L26" s="139">
        <v>1040</v>
      </c>
      <c r="M26" s="13"/>
      <c r="N26" s="13"/>
      <c r="P26" t="s">
        <v>195</v>
      </c>
    </row>
    <row r="27" spans="1:16">
      <c r="A27" s="138" t="s">
        <v>39</v>
      </c>
      <c r="B27" s="139">
        <f t="shared" si="0"/>
        <v>139123</v>
      </c>
      <c r="C27" s="139">
        <v>150167</v>
      </c>
      <c r="D27" s="139">
        <v>825222</v>
      </c>
      <c r="E27" s="139">
        <v>37152</v>
      </c>
      <c r="F27" s="139">
        <v>34638</v>
      </c>
      <c r="G27" s="139">
        <v>47836</v>
      </c>
      <c r="H27" s="139">
        <v>41365</v>
      </c>
      <c r="I27" s="139">
        <v>24671</v>
      </c>
      <c r="J27" s="139">
        <v>9196</v>
      </c>
      <c r="K27" s="139">
        <v>135286</v>
      </c>
      <c r="L27" s="139">
        <v>85697</v>
      </c>
      <c r="M27" s="13"/>
      <c r="N27" s="13"/>
      <c r="P27" t="s">
        <v>196</v>
      </c>
    </row>
    <row r="28" spans="1:16">
      <c r="A28" s="138" t="s">
        <v>40</v>
      </c>
      <c r="B28" s="139">
        <f t="shared" si="0"/>
        <v>95953</v>
      </c>
      <c r="C28" s="139">
        <v>76307</v>
      </c>
      <c r="D28" s="139">
        <v>743382</v>
      </c>
      <c r="E28" s="139">
        <v>15052</v>
      </c>
      <c r="F28" s="139">
        <v>8714</v>
      </c>
      <c r="G28" s="139">
        <v>14407</v>
      </c>
      <c r="H28" s="139">
        <v>0</v>
      </c>
      <c r="I28" s="139">
        <v>1449</v>
      </c>
      <c r="J28" s="139">
        <v>3823</v>
      </c>
      <c r="K28" s="139">
        <v>45021</v>
      </c>
      <c r="L28" s="139">
        <v>51375</v>
      </c>
      <c r="M28" s="13"/>
      <c r="N28" s="13"/>
    </row>
    <row r="29" spans="1:16">
      <c r="A29" s="138" t="s">
        <v>41</v>
      </c>
      <c r="B29" s="139">
        <f t="shared" si="0"/>
        <v>21006.1</v>
      </c>
      <c r="C29" s="139">
        <v>27234</v>
      </c>
      <c r="D29" s="139">
        <v>47881</v>
      </c>
      <c r="E29" s="139">
        <v>6369</v>
      </c>
      <c r="F29" s="139">
        <v>18693</v>
      </c>
      <c r="G29" s="139">
        <v>16567</v>
      </c>
      <c r="H29" s="139">
        <v>21283</v>
      </c>
      <c r="I29" s="139">
        <v>8650</v>
      </c>
      <c r="J29" s="139">
        <v>2447</v>
      </c>
      <c r="K29" s="139">
        <v>39581</v>
      </c>
      <c r="L29" s="139">
        <v>21356</v>
      </c>
      <c r="M29" s="13"/>
      <c r="N29" s="13"/>
      <c r="P29" t="s">
        <v>11</v>
      </c>
    </row>
    <row r="30" spans="1:16">
      <c r="A30" s="138" t="s">
        <v>42</v>
      </c>
      <c r="B30" s="139">
        <f t="shared" si="0"/>
        <v>17507.2</v>
      </c>
      <c r="C30" s="139">
        <v>23136</v>
      </c>
      <c r="D30" s="139">
        <v>38144</v>
      </c>
      <c r="E30" s="139">
        <v>5314</v>
      </c>
      <c r="F30" s="139">
        <v>15717</v>
      </c>
      <c r="G30" s="139">
        <v>13660</v>
      </c>
      <c r="H30" s="139">
        <v>18303</v>
      </c>
      <c r="I30" s="139">
        <v>7267</v>
      </c>
      <c r="J30" s="139">
        <v>1367</v>
      </c>
      <c r="K30" s="139">
        <v>33835</v>
      </c>
      <c r="L30" s="139">
        <v>18329</v>
      </c>
      <c r="M30" s="13"/>
      <c r="N30" s="13"/>
      <c r="P30" t="s">
        <v>12</v>
      </c>
    </row>
    <row r="31" spans="1:16">
      <c r="A31" s="138" t="s">
        <v>160</v>
      </c>
      <c r="B31" s="139"/>
      <c r="C31" s="139">
        <f>C29-C30</f>
        <v>4098</v>
      </c>
      <c r="D31" s="139">
        <f t="shared" ref="D31:L31" si="1">D29-D30</f>
        <v>9737</v>
      </c>
      <c r="E31" s="139">
        <f t="shared" si="1"/>
        <v>1055</v>
      </c>
      <c r="F31" s="139">
        <f t="shared" si="1"/>
        <v>2976</v>
      </c>
      <c r="G31" s="139">
        <f t="shared" si="1"/>
        <v>2907</v>
      </c>
      <c r="H31" s="139">
        <f t="shared" si="1"/>
        <v>2980</v>
      </c>
      <c r="I31" s="139">
        <f t="shared" si="1"/>
        <v>1383</v>
      </c>
      <c r="J31" s="139">
        <f t="shared" si="1"/>
        <v>1080</v>
      </c>
      <c r="K31" s="139">
        <f t="shared" si="1"/>
        <v>5746</v>
      </c>
      <c r="L31" s="139">
        <f t="shared" si="1"/>
        <v>3027</v>
      </c>
      <c r="M31" s="13"/>
      <c r="N31" s="13"/>
    </row>
    <row r="32" spans="1:16" ht="15.75">
      <c r="A32" s="230" t="s">
        <v>461</v>
      </c>
      <c r="B32" s="231">
        <f>AVERAGE(C32,D32,E32,F32,G32,H32,I32,K32,L32)</f>
        <v>0.19124310695653601</v>
      </c>
      <c r="C32" s="231">
        <f>C31/C30</f>
        <v>0.17712655601659752</v>
      </c>
      <c r="D32" s="231">
        <f t="shared" ref="D32:L32" si="2">D31/D30</f>
        <v>0.25526950503355705</v>
      </c>
      <c r="E32" s="231">
        <f t="shared" si="2"/>
        <v>0.19853217914941665</v>
      </c>
      <c r="F32" s="231">
        <f t="shared" si="2"/>
        <v>0.1893491124260355</v>
      </c>
      <c r="G32" s="231">
        <f t="shared" si="2"/>
        <v>0.21281112737920937</v>
      </c>
      <c r="H32" s="231">
        <f t="shared" si="2"/>
        <v>0.16281483909741573</v>
      </c>
      <c r="I32" s="231">
        <f t="shared" si="2"/>
        <v>0.19031237099215631</v>
      </c>
      <c r="J32" s="231">
        <f>J31/J30</f>
        <v>0.79005120702267739</v>
      </c>
      <c r="K32" s="231">
        <f t="shared" si="2"/>
        <v>0.16982414659376385</v>
      </c>
      <c r="L32" s="231">
        <f t="shared" si="2"/>
        <v>0.16514812592067216</v>
      </c>
      <c r="M32" s="13"/>
      <c r="N32" s="13"/>
      <c r="P32" s="15" t="s">
        <v>197</v>
      </c>
    </row>
    <row r="33" spans="1:16">
      <c r="A33" s="138" t="s">
        <v>43</v>
      </c>
      <c r="B33" s="139">
        <f t="shared" si="0"/>
        <v>268</v>
      </c>
      <c r="C33" s="139">
        <v>312</v>
      </c>
      <c r="D33" s="138"/>
      <c r="E33" s="139">
        <v>96</v>
      </c>
      <c r="F33" s="139">
        <v>403</v>
      </c>
      <c r="G33" s="139">
        <v>567</v>
      </c>
      <c r="H33" s="139">
        <v>279</v>
      </c>
      <c r="I33" s="139">
        <v>228</v>
      </c>
      <c r="J33" s="139">
        <v>26</v>
      </c>
      <c r="K33" s="139">
        <v>230</v>
      </c>
      <c r="L33" s="139">
        <v>271</v>
      </c>
      <c r="M33" s="13"/>
      <c r="N33" s="13"/>
      <c r="P33" t="s">
        <v>13</v>
      </c>
    </row>
    <row r="34" spans="1:16">
      <c r="A34" s="138" t="s">
        <v>44</v>
      </c>
      <c r="B34" s="139">
        <f t="shared" si="0"/>
        <v>2886.4</v>
      </c>
      <c r="C34" s="139">
        <v>5137</v>
      </c>
      <c r="D34" s="139">
        <v>5908</v>
      </c>
      <c r="E34" s="139">
        <v>1645</v>
      </c>
      <c r="F34" s="139">
        <v>330</v>
      </c>
      <c r="G34" s="139">
        <v>4956</v>
      </c>
      <c r="H34" s="139">
        <v>1235</v>
      </c>
      <c r="I34" s="139">
        <v>2580</v>
      </c>
      <c r="J34" s="139">
        <v>469</v>
      </c>
      <c r="K34" s="139">
        <v>6003</v>
      </c>
      <c r="L34" s="139">
        <v>601</v>
      </c>
      <c r="M34" s="13"/>
      <c r="N34" s="13"/>
      <c r="P34" t="s">
        <v>14</v>
      </c>
    </row>
    <row r="35" spans="1:16">
      <c r="A35" s="138" t="s">
        <v>45</v>
      </c>
      <c r="B35" s="139">
        <f t="shared" si="0"/>
        <v>10.5</v>
      </c>
      <c r="C35" s="138"/>
      <c r="D35" s="139">
        <v>42</v>
      </c>
      <c r="E35" s="139">
        <v>0</v>
      </c>
      <c r="F35" s="138"/>
      <c r="G35" s="138"/>
      <c r="H35" s="138"/>
      <c r="I35" s="139">
        <v>0</v>
      </c>
      <c r="J35" s="139">
        <v>0</v>
      </c>
      <c r="K35" s="138"/>
      <c r="L35" s="138"/>
      <c r="M35" s="13"/>
      <c r="N35" s="13"/>
      <c r="P35" t="s">
        <v>15</v>
      </c>
    </row>
    <row r="36" spans="1:16">
      <c r="A36" s="138" t="s">
        <v>46</v>
      </c>
      <c r="B36" s="139">
        <f t="shared" si="0"/>
        <v>16122.6</v>
      </c>
      <c r="C36" s="139">
        <v>34965</v>
      </c>
      <c r="D36" s="139">
        <v>25639</v>
      </c>
      <c r="E36" s="139">
        <v>8727</v>
      </c>
      <c r="F36" s="139">
        <v>6681</v>
      </c>
      <c r="G36" s="139">
        <v>10344</v>
      </c>
      <c r="H36" s="139">
        <v>15917</v>
      </c>
      <c r="I36" s="139">
        <v>5453</v>
      </c>
      <c r="J36" s="139">
        <v>2251</v>
      </c>
      <c r="K36" s="139">
        <v>35969</v>
      </c>
      <c r="L36" s="139">
        <v>15280</v>
      </c>
      <c r="M36" s="13"/>
      <c r="N36" s="13"/>
    </row>
    <row r="37" spans="1:16" ht="15.75">
      <c r="A37" s="138" t="s">
        <v>47</v>
      </c>
      <c r="B37" s="139">
        <f t="shared" si="0"/>
        <v>135972.6</v>
      </c>
      <c r="C37" s="139">
        <v>143644</v>
      </c>
      <c r="D37" s="139">
        <v>822853</v>
      </c>
      <c r="E37" s="139">
        <v>31794</v>
      </c>
      <c r="F37" s="139">
        <v>34418</v>
      </c>
      <c r="G37" s="139">
        <v>46274</v>
      </c>
      <c r="H37" s="139">
        <v>38435</v>
      </c>
      <c r="I37" s="139">
        <v>18133</v>
      </c>
      <c r="J37" s="139">
        <v>8989</v>
      </c>
      <c r="K37" s="139">
        <v>126574</v>
      </c>
      <c r="L37" s="139">
        <v>88612</v>
      </c>
      <c r="M37" s="13"/>
      <c r="N37" s="13"/>
      <c r="P37" s="15" t="s">
        <v>190</v>
      </c>
    </row>
    <row r="38" spans="1:16">
      <c r="A38" s="138" t="s">
        <v>48</v>
      </c>
      <c r="B38" s="139">
        <f t="shared" si="0"/>
        <v>3150.6</v>
      </c>
      <c r="C38" s="139">
        <v>6523</v>
      </c>
      <c r="D38" s="139">
        <v>2369</v>
      </c>
      <c r="E38" s="139">
        <v>5358</v>
      </c>
      <c r="F38" s="139">
        <v>220</v>
      </c>
      <c r="G38" s="139">
        <v>1562</v>
      </c>
      <c r="H38" s="139">
        <v>2930</v>
      </c>
      <c r="I38" s="139">
        <v>6539</v>
      </c>
      <c r="J38" s="139">
        <v>208</v>
      </c>
      <c r="K38" s="139">
        <v>8712</v>
      </c>
      <c r="L38" s="139">
        <v>-2915</v>
      </c>
      <c r="M38" s="13"/>
      <c r="N38" s="13"/>
      <c r="P38" t="s">
        <v>186</v>
      </c>
    </row>
    <row r="39" spans="1:16" ht="15.75" thickBot="1">
      <c r="A39" s="232" t="s">
        <v>205</v>
      </c>
      <c r="B39" s="271">
        <f>AVERAGE(C39,D39,E39,F39,G39,H39,J39,K39,L39)</f>
        <v>3.9736030375853111E-2</v>
      </c>
      <c r="C39" s="271">
        <f>C38/C25</f>
        <v>4.4065094473454886E-2</v>
      </c>
      <c r="D39" s="271">
        <f t="shared" ref="D39:L39" si="3">D38/D25</f>
        <v>3.0002038973522471E-3</v>
      </c>
      <c r="E39" s="271">
        <f t="shared" si="3"/>
        <v>0.14742866576782324</v>
      </c>
      <c r="F39" s="271">
        <f t="shared" si="3"/>
        <v>6.3558097879470735E-3</v>
      </c>
      <c r="G39" s="271">
        <f t="shared" si="3"/>
        <v>3.2665523443054914E-2</v>
      </c>
      <c r="H39" s="271">
        <f t="shared" si="3"/>
        <v>7.119599552898867E-2</v>
      </c>
      <c r="I39" s="271">
        <f t="shared" si="3"/>
        <v>0.26800278699946717</v>
      </c>
      <c r="J39" s="271">
        <f t="shared" si="3"/>
        <v>2.2618529795563287E-2</v>
      </c>
      <c r="K39" s="271">
        <f t="shared" si="3"/>
        <v>6.4727515880976264E-2</v>
      </c>
      <c r="L39" s="271">
        <f t="shared" si="3"/>
        <v>-3.4433065192482605E-2</v>
      </c>
      <c r="M39" s="13"/>
      <c r="N39" s="13"/>
      <c r="P39" t="s">
        <v>17</v>
      </c>
    </row>
    <row r="40" spans="1:16">
      <c r="A40" s="138"/>
      <c r="B40" s="139"/>
      <c r="C40" s="139"/>
      <c r="D40" s="139"/>
      <c r="E40" s="139"/>
      <c r="F40" s="139"/>
      <c r="G40" s="139"/>
      <c r="H40" s="139"/>
      <c r="I40" s="139"/>
      <c r="J40" s="139"/>
      <c r="K40" s="139"/>
      <c r="L40" s="139"/>
      <c r="M40" s="13"/>
      <c r="N40" s="13"/>
      <c r="P40" t="s">
        <v>18</v>
      </c>
    </row>
    <row r="41" spans="1:16">
      <c r="A41" s="138" t="s">
        <v>49</v>
      </c>
      <c r="B41" s="139">
        <f>AVERAGE(C41:L41)</f>
        <v>65</v>
      </c>
      <c r="C41" s="139">
        <v>284</v>
      </c>
      <c r="D41" s="139">
        <v>0</v>
      </c>
      <c r="E41" s="139">
        <v>3</v>
      </c>
      <c r="F41" s="139">
        <v>28</v>
      </c>
      <c r="G41" s="139">
        <v>11</v>
      </c>
      <c r="H41" s="139">
        <v>12</v>
      </c>
      <c r="I41" s="139">
        <v>41</v>
      </c>
      <c r="J41" s="139">
        <v>1</v>
      </c>
      <c r="K41" s="139">
        <v>74</v>
      </c>
      <c r="L41" s="139">
        <v>196</v>
      </c>
      <c r="M41" s="13"/>
      <c r="N41" s="13"/>
    </row>
    <row r="42" spans="1:16" ht="15.75">
      <c r="A42" s="138" t="s">
        <v>50</v>
      </c>
      <c r="B42" s="139">
        <f t="shared" si="0"/>
        <v>105.5</v>
      </c>
      <c r="C42" s="139">
        <v>17</v>
      </c>
      <c r="D42" s="139">
        <v>393</v>
      </c>
      <c r="E42" s="139">
        <v>51</v>
      </c>
      <c r="F42" s="139">
        <v>0</v>
      </c>
      <c r="G42" s="139">
        <v>587</v>
      </c>
      <c r="H42" s="139">
        <v>0</v>
      </c>
      <c r="I42" s="139">
        <v>0</v>
      </c>
      <c r="J42" s="139">
        <v>0</v>
      </c>
      <c r="K42" s="139">
        <v>7</v>
      </c>
      <c r="L42" s="139">
        <v>0</v>
      </c>
      <c r="M42" s="13"/>
      <c r="N42" s="13"/>
      <c r="P42" s="15" t="s">
        <v>198</v>
      </c>
    </row>
    <row r="43" spans="1:16">
      <c r="A43" s="138" t="s">
        <v>51</v>
      </c>
      <c r="B43" s="139">
        <f t="shared" si="0"/>
        <v>170.5</v>
      </c>
      <c r="C43" s="139">
        <v>301</v>
      </c>
      <c r="D43" s="139">
        <v>393</v>
      </c>
      <c r="E43" s="139">
        <v>54</v>
      </c>
      <c r="F43" s="139">
        <v>28</v>
      </c>
      <c r="G43" s="139">
        <v>598</v>
      </c>
      <c r="H43" s="139">
        <v>12</v>
      </c>
      <c r="I43" s="139">
        <v>41</v>
      </c>
      <c r="J43" s="139">
        <v>1</v>
      </c>
      <c r="K43" s="139">
        <v>81</v>
      </c>
      <c r="L43" s="139">
        <v>196</v>
      </c>
      <c r="M43" s="13"/>
      <c r="N43" s="13"/>
      <c r="P43" t="s">
        <v>16</v>
      </c>
    </row>
    <row r="44" spans="1:16">
      <c r="A44" s="138" t="s">
        <v>52</v>
      </c>
      <c r="B44" s="139">
        <f t="shared" si="0"/>
        <v>146.30000000000001</v>
      </c>
      <c r="C44" s="139">
        <v>34</v>
      </c>
      <c r="D44" s="139">
        <v>0</v>
      </c>
      <c r="E44" s="139">
        <v>251</v>
      </c>
      <c r="F44" s="139">
        <v>94</v>
      </c>
      <c r="G44" s="139">
        <v>201</v>
      </c>
      <c r="H44" s="139">
        <v>69</v>
      </c>
      <c r="I44" s="139">
        <v>0</v>
      </c>
      <c r="J44" s="139">
        <v>4</v>
      </c>
      <c r="K44" s="139">
        <v>715</v>
      </c>
      <c r="L44" s="139">
        <v>95</v>
      </c>
      <c r="M44" s="13"/>
      <c r="N44" s="13"/>
      <c r="P44" t="s">
        <v>17</v>
      </c>
    </row>
    <row r="45" spans="1:16">
      <c r="A45" s="138" t="s">
        <v>53</v>
      </c>
      <c r="B45" s="139">
        <f t="shared" si="0"/>
        <v>640.5</v>
      </c>
      <c r="C45" s="138"/>
      <c r="D45" s="139">
        <v>2066</v>
      </c>
      <c r="E45" s="138"/>
      <c r="F45" s="139">
        <v>0</v>
      </c>
      <c r="G45" s="139">
        <v>467</v>
      </c>
      <c r="H45" s="138"/>
      <c r="I45" s="138"/>
      <c r="J45" s="138"/>
      <c r="K45" s="138"/>
      <c r="L45" s="139">
        <v>29</v>
      </c>
      <c r="M45" s="13"/>
      <c r="N45" s="13"/>
      <c r="P45" t="s">
        <v>18</v>
      </c>
    </row>
    <row r="46" spans="1:16">
      <c r="A46" s="138" t="s">
        <v>54</v>
      </c>
      <c r="B46" s="139">
        <f t="shared" si="0"/>
        <v>256.2</v>
      </c>
      <c r="C46" s="139">
        <v>0</v>
      </c>
      <c r="D46" s="139">
        <v>2066</v>
      </c>
      <c r="E46" s="139">
        <v>0</v>
      </c>
      <c r="F46" s="139">
        <v>0</v>
      </c>
      <c r="G46" s="139">
        <v>467</v>
      </c>
      <c r="H46" s="139">
        <v>0</v>
      </c>
      <c r="I46" s="139">
        <v>0</v>
      </c>
      <c r="J46" s="139">
        <v>0</v>
      </c>
      <c r="K46" s="139">
        <v>0</v>
      </c>
      <c r="L46" s="139">
        <v>29</v>
      </c>
      <c r="M46" s="13"/>
      <c r="N46" s="13"/>
    </row>
    <row r="47" spans="1:16" ht="15.75">
      <c r="A47" s="138" t="s">
        <v>55</v>
      </c>
      <c r="B47" s="139">
        <f t="shared" si="0"/>
        <v>402.4</v>
      </c>
      <c r="C47" s="139">
        <v>34</v>
      </c>
      <c r="D47" s="139">
        <v>2066</v>
      </c>
      <c r="E47" s="139">
        <v>251</v>
      </c>
      <c r="F47" s="139">
        <v>94</v>
      </c>
      <c r="G47" s="139">
        <v>667</v>
      </c>
      <c r="H47" s="139">
        <v>69</v>
      </c>
      <c r="I47" s="139">
        <v>0</v>
      </c>
      <c r="J47" s="139">
        <v>4</v>
      </c>
      <c r="K47" s="139">
        <v>715</v>
      </c>
      <c r="L47" s="139">
        <v>124</v>
      </c>
      <c r="M47" s="13"/>
      <c r="N47" s="13"/>
      <c r="P47" s="15" t="s">
        <v>189</v>
      </c>
    </row>
    <row r="48" spans="1:16">
      <c r="A48" s="138" t="s">
        <v>56</v>
      </c>
      <c r="B48" s="139">
        <f t="shared" si="0"/>
        <v>-231.9</v>
      </c>
      <c r="C48" s="139">
        <v>267</v>
      </c>
      <c r="D48" s="139">
        <v>-1673</v>
      </c>
      <c r="E48" s="139">
        <v>-197</v>
      </c>
      <c r="F48" s="139">
        <v>-66</v>
      </c>
      <c r="G48" s="139">
        <v>-69</v>
      </c>
      <c r="H48" s="139">
        <v>-57</v>
      </c>
      <c r="I48" s="139">
        <v>41</v>
      </c>
      <c r="J48" s="139">
        <v>-3</v>
      </c>
      <c r="K48" s="139">
        <v>-634</v>
      </c>
      <c r="L48" s="139">
        <v>72</v>
      </c>
      <c r="M48" s="13"/>
      <c r="N48" s="13"/>
      <c r="P48" t="s">
        <v>184</v>
      </c>
    </row>
    <row r="49" spans="1:16">
      <c r="A49" s="138" t="s">
        <v>57</v>
      </c>
      <c r="B49" s="139">
        <f t="shared" si="0"/>
        <v>2918.9</v>
      </c>
      <c r="C49" s="139">
        <v>6790</v>
      </c>
      <c r="D49" s="139">
        <v>697</v>
      </c>
      <c r="E49" s="139">
        <v>5162</v>
      </c>
      <c r="F49" s="139">
        <v>154</v>
      </c>
      <c r="G49" s="139">
        <v>1493</v>
      </c>
      <c r="H49" s="139">
        <v>2873</v>
      </c>
      <c r="I49" s="139">
        <v>6580</v>
      </c>
      <c r="J49" s="139">
        <v>205</v>
      </c>
      <c r="K49" s="139">
        <v>8078</v>
      </c>
      <c r="L49" s="139">
        <v>-2843</v>
      </c>
      <c r="M49" s="13"/>
      <c r="N49" s="13"/>
      <c r="P49" t="s">
        <v>185</v>
      </c>
    </row>
    <row r="50" spans="1:16">
      <c r="A50" s="138" t="s">
        <v>58</v>
      </c>
      <c r="B50" s="139">
        <f t="shared" si="0"/>
        <v>643.70000000000005</v>
      </c>
      <c r="C50" s="139">
        <v>1537</v>
      </c>
      <c r="D50" s="139">
        <v>-347</v>
      </c>
      <c r="E50" s="139">
        <v>1208</v>
      </c>
      <c r="F50" s="139">
        <v>51</v>
      </c>
      <c r="G50" s="139">
        <v>296</v>
      </c>
      <c r="H50" s="139">
        <v>709</v>
      </c>
      <c r="I50" s="139">
        <v>1582</v>
      </c>
      <c r="J50" s="139">
        <v>44</v>
      </c>
      <c r="K50" s="139">
        <v>2002</v>
      </c>
      <c r="L50" s="139">
        <v>-645</v>
      </c>
      <c r="M50" s="13"/>
      <c r="N50" s="13"/>
      <c r="P50" t="s">
        <v>18</v>
      </c>
    </row>
    <row r="51" spans="1:16">
      <c r="A51" s="138" t="s">
        <v>59</v>
      </c>
      <c r="B51" s="139">
        <f t="shared" si="0"/>
        <v>2275.1</v>
      </c>
      <c r="C51" s="139">
        <v>5252</v>
      </c>
      <c r="D51" s="139">
        <v>1044</v>
      </c>
      <c r="E51" s="139">
        <v>3954</v>
      </c>
      <c r="F51" s="139">
        <v>103</v>
      </c>
      <c r="G51" s="139">
        <v>1197</v>
      </c>
      <c r="H51" s="139">
        <v>2164</v>
      </c>
      <c r="I51" s="139">
        <v>4998</v>
      </c>
      <c r="J51" s="139">
        <v>161</v>
      </c>
      <c r="K51" s="139">
        <v>6076</v>
      </c>
      <c r="L51" s="139">
        <v>-2198</v>
      </c>
      <c r="M51" s="13"/>
      <c r="N51" s="13"/>
    </row>
    <row r="52" spans="1:16" ht="15.75">
      <c r="A52" s="138" t="s">
        <v>60</v>
      </c>
      <c r="B52" s="139">
        <f t="shared" si="0"/>
        <v>1065</v>
      </c>
      <c r="C52" s="138"/>
      <c r="D52" s="139">
        <v>1065</v>
      </c>
      <c r="E52" s="138"/>
      <c r="F52" s="138"/>
      <c r="G52" s="138"/>
      <c r="H52" s="138"/>
      <c r="I52" s="138"/>
      <c r="J52" s="138"/>
      <c r="K52" s="138"/>
      <c r="L52" s="138"/>
      <c r="M52" s="13"/>
      <c r="N52" s="13"/>
      <c r="P52" s="15" t="s">
        <v>199</v>
      </c>
    </row>
    <row r="53" spans="1:16">
      <c r="A53" s="138" t="s">
        <v>61</v>
      </c>
      <c r="B53" s="139">
        <f t="shared" si="0"/>
        <v>2277.1999999999998</v>
      </c>
      <c r="C53" s="139">
        <v>5252</v>
      </c>
      <c r="D53" s="139">
        <v>1065</v>
      </c>
      <c r="E53" s="139">
        <v>3954</v>
      </c>
      <c r="F53" s="139">
        <v>103</v>
      </c>
      <c r="G53" s="139">
        <v>1197</v>
      </c>
      <c r="H53" s="139">
        <v>2164</v>
      </c>
      <c r="I53" s="139">
        <v>4998</v>
      </c>
      <c r="J53" s="139">
        <v>161</v>
      </c>
      <c r="K53" s="139">
        <v>6076</v>
      </c>
      <c r="L53" s="139">
        <v>-2198</v>
      </c>
      <c r="M53" s="13"/>
      <c r="N53" s="13"/>
      <c r="P53" t="s">
        <v>19</v>
      </c>
    </row>
    <row r="54" spans="1:16">
      <c r="A54" s="138" t="s">
        <v>62</v>
      </c>
      <c r="B54" s="139">
        <f t="shared" si="0"/>
        <v>2783.6666666666665</v>
      </c>
      <c r="C54" s="139">
        <v>5252</v>
      </c>
      <c r="D54" s="138"/>
      <c r="E54" s="138"/>
      <c r="F54" s="139">
        <v>100</v>
      </c>
      <c r="G54" s="139">
        <v>200</v>
      </c>
      <c r="H54" s="139">
        <v>750</v>
      </c>
      <c r="I54" s="139">
        <v>2400</v>
      </c>
      <c r="J54" s="138"/>
      <c r="K54" s="139">
        <v>8000</v>
      </c>
      <c r="L54" s="138"/>
      <c r="M54" s="13"/>
      <c r="N54" s="13"/>
      <c r="P54" t="s">
        <v>20</v>
      </c>
    </row>
    <row r="55" spans="1:16">
      <c r="A55" s="138" t="s">
        <v>63</v>
      </c>
      <c r="B55" s="139">
        <f t="shared" si="0"/>
        <v>87</v>
      </c>
      <c r="C55" s="138"/>
      <c r="D55" s="138"/>
      <c r="E55" s="138"/>
      <c r="F55" s="138"/>
      <c r="G55" s="139">
        <v>87</v>
      </c>
      <c r="H55" s="138"/>
      <c r="I55" s="138"/>
      <c r="J55" s="138"/>
      <c r="K55" s="138"/>
      <c r="L55" s="138"/>
      <c r="M55" s="13"/>
      <c r="N55" s="13"/>
      <c r="P55" t="s">
        <v>18</v>
      </c>
    </row>
    <row r="56" spans="1:16">
      <c r="A56" s="138" t="s">
        <v>64</v>
      </c>
      <c r="B56" s="139">
        <f t="shared" si="0"/>
        <v>592.79999999999995</v>
      </c>
      <c r="C56" s="139">
        <v>0</v>
      </c>
      <c r="D56" s="139">
        <v>1332</v>
      </c>
      <c r="E56" s="139">
        <v>3954</v>
      </c>
      <c r="F56" s="139">
        <v>3</v>
      </c>
      <c r="G56" s="139">
        <v>910</v>
      </c>
      <c r="H56" s="139">
        <v>1414</v>
      </c>
      <c r="I56" s="139">
        <v>2598</v>
      </c>
      <c r="J56" s="139">
        <v>-161</v>
      </c>
      <c r="K56" s="139">
        <v>-1924</v>
      </c>
      <c r="L56" s="139">
        <v>-2198</v>
      </c>
      <c r="M56" s="13"/>
      <c r="N56" s="13"/>
    </row>
    <row r="57" spans="1:16" ht="15.75">
      <c r="A57" s="144"/>
      <c r="B57" s="145"/>
      <c r="C57" s="145"/>
      <c r="D57" s="145"/>
      <c r="E57" s="145"/>
      <c r="F57" s="145"/>
      <c r="G57" s="145"/>
      <c r="H57" s="145"/>
      <c r="I57" s="145"/>
      <c r="J57" s="145"/>
      <c r="K57" s="145"/>
      <c r="L57" s="145"/>
      <c r="M57" s="13"/>
      <c r="N57" s="13"/>
      <c r="P57" s="15" t="s">
        <v>200</v>
      </c>
    </row>
    <row r="58" spans="1:16" ht="15.75" thickBot="1">
      <c r="A58" s="141" t="s">
        <v>65</v>
      </c>
      <c r="B58" s="142"/>
      <c r="C58" s="143" t="s">
        <v>191</v>
      </c>
      <c r="D58" s="143" t="s">
        <v>29</v>
      </c>
      <c r="E58" s="143" t="s">
        <v>30</v>
      </c>
      <c r="F58" s="143" t="s">
        <v>187</v>
      </c>
      <c r="G58" s="143" t="s">
        <v>31</v>
      </c>
      <c r="H58" s="143" t="s">
        <v>188</v>
      </c>
      <c r="I58" s="143" t="s">
        <v>32</v>
      </c>
      <c r="J58" s="143" t="s">
        <v>33</v>
      </c>
      <c r="K58" s="143" t="s">
        <v>192</v>
      </c>
      <c r="L58" s="143" t="s">
        <v>34</v>
      </c>
      <c r="M58" s="13"/>
      <c r="N58" s="13"/>
      <c r="P58" t="s">
        <v>21</v>
      </c>
    </row>
    <row r="59" spans="1:16">
      <c r="A59" s="137" t="s">
        <v>66</v>
      </c>
      <c r="B59" s="136">
        <f t="shared" si="0"/>
        <v>0</v>
      </c>
      <c r="C59" s="137"/>
      <c r="D59" s="136">
        <v>0</v>
      </c>
      <c r="E59" s="137"/>
      <c r="F59" s="137"/>
      <c r="G59" s="137"/>
      <c r="H59" s="137"/>
      <c r="I59" s="137"/>
      <c r="J59" s="137"/>
      <c r="K59" s="137"/>
      <c r="L59" s="137"/>
      <c r="M59" s="13"/>
      <c r="N59" s="13"/>
      <c r="P59" t="s">
        <v>22</v>
      </c>
    </row>
    <row r="60" spans="1:16">
      <c r="A60" s="137" t="s">
        <v>67</v>
      </c>
      <c r="B60" s="136">
        <f t="shared" si="0"/>
        <v>322</v>
      </c>
      <c r="C60" s="137"/>
      <c r="D60" s="136">
        <v>322</v>
      </c>
      <c r="E60" s="137"/>
      <c r="F60" s="137"/>
      <c r="G60" s="137"/>
      <c r="H60" s="137"/>
      <c r="I60" s="137"/>
      <c r="J60" s="137"/>
      <c r="K60" s="137"/>
      <c r="L60" s="137"/>
      <c r="M60" s="13"/>
      <c r="N60" s="13"/>
      <c r="P60" t="s">
        <v>23</v>
      </c>
    </row>
    <row r="61" spans="1:16">
      <c r="A61" s="137" t="s">
        <v>68</v>
      </c>
      <c r="B61" s="136">
        <f t="shared" si="0"/>
        <v>260.60000000000002</v>
      </c>
      <c r="C61" s="137"/>
      <c r="D61" s="136">
        <v>0</v>
      </c>
      <c r="E61" s="137"/>
      <c r="F61" s="136">
        <v>32</v>
      </c>
      <c r="G61" s="137"/>
      <c r="H61" s="136">
        <v>265</v>
      </c>
      <c r="I61" s="137"/>
      <c r="J61" s="137"/>
      <c r="K61" s="136">
        <v>388</v>
      </c>
      <c r="L61" s="136">
        <v>618</v>
      </c>
      <c r="M61" s="13"/>
      <c r="N61" s="13"/>
    </row>
    <row r="62" spans="1:16" ht="15.75">
      <c r="A62" s="137" t="s">
        <v>69</v>
      </c>
      <c r="B62" s="136">
        <f t="shared" si="0"/>
        <v>554</v>
      </c>
      <c r="C62" s="137"/>
      <c r="D62" s="136">
        <v>554</v>
      </c>
      <c r="E62" s="137"/>
      <c r="F62" s="137"/>
      <c r="G62" s="137"/>
      <c r="H62" s="137"/>
      <c r="I62" s="137"/>
      <c r="J62" s="137"/>
      <c r="K62" s="137"/>
      <c r="L62" s="137"/>
      <c r="M62" s="13"/>
      <c r="N62" s="13"/>
      <c r="P62" s="15" t="s">
        <v>201</v>
      </c>
    </row>
    <row r="63" spans="1:16">
      <c r="A63" s="137" t="s">
        <v>70</v>
      </c>
      <c r="B63" s="136">
        <f t="shared" si="0"/>
        <v>217.9</v>
      </c>
      <c r="C63" s="136">
        <v>0</v>
      </c>
      <c r="D63" s="136">
        <v>876</v>
      </c>
      <c r="E63" s="136">
        <v>0</v>
      </c>
      <c r="F63" s="136">
        <v>32</v>
      </c>
      <c r="G63" s="136">
        <v>0</v>
      </c>
      <c r="H63" s="136">
        <v>265</v>
      </c>
      <c r="I63" s="136">
        <v>0</v>
      </c>
      <c r="J63" s="136">
        <v>0</v>
      </c>
      <c r="K63" s="136">
        <v>388</v>
      </c>
      <c r="L63" s="136">
        <v>618</v>
      </c>
      <c r="M63" s="13"/>
      <c r="N63" s="13"/>
      <c r="P63" t="s">
        <v>202</v>
      </c>
    </row>
    <row r="64" spans="1:16">
      <c r="A64" s="137" t="s">
        <v>71</v>
      </c>
      <c r="B64" s="136">
        <f t="shared" ref="B64:B93" si="4">AVERAGE(C64:L64)</f>
        <v>16641</v>
      </c>
      <c r="C64" s="136">
        <v>2611</v>
      </c>
      <c r="D64" s="136">
        <v>66687</v>
      </c>
      <c r="E64" s="137"/>
      <c r="F64" s="137"/>
      <c r="G64" s="136">
        <v>7480</v>
      </c>
      <c r="H64" s="137"/>
      <c r="I64" s="136">
        <v>6292</v>
      </c>
      <c r="J64" s="137"/>
      <c r="K64" s="136">
        <v>135</v>
      </c>
      <c r="L64" s="137"/>
      <c r="M64" s="13"/>
      <c r="N64" s="13"/>
      <c r="P64" t="s">
        <v>203</v>
      </c>
    </row>
    <row r="65" spans="1:16">
      <c r="A65" s="137" t="s">
        <v>72</v>
      </c>
      <c r="B65" s="136">
        <f t="shared" si="4"/>
        <v>1129</v>
      </c>
      <c r="C65" s="137"/>
      <c r="D65" s="137"/>
      <c r="E65" s="137"/>
      <c r="F65" s="137"/>
      <c r="G65" s="136">
        <v>514</v>
      </c>
      <c r="H65" s="137"/>
      <c r="I65" s="137"/>
      <c r="J65" s="137"/>
      <c r="K65" s="137"/>
      <c r="L65" s="136">
        <v>1744</v>
      </c>
      <c r="M65" s="13"/>
      <c r="N65" s="13"/>
      <c r="P65" t="s">
        <v>196</v>
      </c>
    </row>
    <row r="66" spans="1:16">
      <c r="A66" s="137" t="s">
        <v>73</v>
      </c>
      <c r="B66" s="136">
        <f t="shared" si="4"/>
        <v>10821.888888888889</v>
      </c>
      <c r="C66" s="136">
        <v>20860</v>
      </c>
      <c r="D66" s="136">
        <v>10153</v>
      </c>
      <c r="E66" s="136">
        <v>10003</v>
      </c>
      <c r="F66" s="136">
        <v>1033</v>
      </c>
      <c r="G66" s="136">
        <v>28452</v>
      </c>
      <c r="H66" s="136">
        <v>2198</v>
      </c>
      <c r="I66" s="136">
        <v>9285</v>
      </c>
      <c r="J66" s="136">
        <v>1082</v>
      </c>
      <c r="K66" s="136">
        <v>14331</v>
      </c>
      <c r="L66" s="137"/>
      <c r="M66" s="13"/>
      <c r="N66" s="13"/>
    </row>
    <row r="67" spans="1:16" ht="15.75">
      <c r="A67" s="137" t="s">
        <v>74</v>
      </c>
      <c r="B67" s="136">
        <f t="shared" si="4"/>
        <v>18286.099999999999</v>
      </c>
      <c r="C67" s="136">
        <v>23471</v>
      </c>
      <c r="D67" s="136">
        <v>76841</v>
      </c>
      <c r="E67" s="136">
        <v>10003</v>
      </c>
      <c r="F67" s="136">
        <v>1033</v>
      </c>
      <c r="G67" s="136">
        <v>36446</v>
      </c>
      <c r="H67" s="136">
        <v>2198</v>
      </c>
      <c r="I67" s="136">
        <v>15577</v>
      </c>
      <c r="J67" s="136">
        <v>1082</v>
      </c>
      <c r="K67" s="136">
        <v>14466</v>
      </c>
      <c r="L67" s="136">
        <v>1744</v>
      </c>
      <c r="M67" s="13"/>
      <c r="N67" s="13"/>
      <c r="P67" s="15" t="s">
        <v>204</v>
      </c>
    </row>
    <row r="68" spans="1:16">
      <c r="A68" s="137" t="s">
        <v>75</v>
      </c>
      <c r="B68" s="136">
        <f t="shared" si="4"/>
        <v>215</v>
      </c>
      <c r="C68" s="137"/>
      <c r="D68" s="136">
        <v>0</v>
      </c>
      <c r="E68" s="137"/>
      <c r="F68" s="137"/>
      <c r="G68" s="136">
        <v>430</v>
      </c>
      <c r="H68" s="137"/>
      <c r="I68" s="137"/>
      <c r="J68" s="137"/>
      <c r="K68" s="137"/>
      <c r="L68" s="137"/>
      <c r="M68" s="13"/>
      <c r="N68" s="13"/>
      <c r="P68" t="s">
        <v>24</v>
      </c>
    </row>
    <row r="69" spans="1:16">
      <c r="A69" s="137" t="s">
        <v>76</v>
      </c>
      <c r="B69" s="136">
        <f t="shared" si="4"/>
        <v>29</v>
      </c>
      <c r="C69" s="137"/>
      <c r="D69" s="137"/>
      <c r="E69" s="137"/>
      <c r="F69" s="137"/>
      <c r="G69" s="137"/>
      <c r="H69" s="137"/>
      <c r="I69" s="137"/>
      <c r="J69" s="136">
        <v>29</v>
      </c>
      <c r="K69" s="137"/>
      <c r="L69" s="137"/>
      <c r="M69" s="13"/>
      <c r="N69" s="13"/>
      <c r="P69" t="s">
        <v>25</v>
      </c>
    </row>
    <row r="70" spans="1:16">
      <c r="A70" s="137" t="s">
        <v>77</v>
      </c>
      <c r="B70" s="136">
        <f t="shared" si="4"/>
        <v>474</v>
      </c>
      <c r="C70" s="137"/>
      <c r="D70" s="137"/>
      <c r="E70" s="137"/>
      <c r="F70" s="137"/>
      <c r="G70" s="137"/>
      <c r="H70" s="137"/>
      <c r="I70" s="137"/>
      <c r="J70" s="136">
        <v>474</v>
      </c>
      <c r="K70" s="137"/>
      <c r="L70" s="137"/>
      <c r="M70" s="13"/>
      <c r="N70" s="13"/>
      <c r="P70" t="s">
        <v>18</v>
      </c>
    </row>
    <row r="71" spans="1:16">
      <c r="A71" s="137" t="s">
        <v>78</v>
      </c>
      <c r="B71" s="136">
        <f t="shared" si="4"/>
        <v>358</v>
      </c>
      <c r="C71" s="136">
        <v>140</v>
      </c>
      <c r="D71" s="136">
        <v>77</v>
      </c>
      <c r="E71" s="137"/>
      <c r="F71" s="137"/>
      <c r="G71" s="137"/>
      <c r="H71" s="137"/>
      <c r="I71" s="136">
        <v>575</v>
      </c>
      <c r="J71" s="137"/>
      <c r="K71" s="136">
        <v>640</v>
      </c>
      <c r="L71" s="137"/>
      <c r="M71" s="13"/>
      <c r="N71" s="13"/>
    </row>
    <row r="72" spans="1:16">
      <c r="A72" s="137" t="s">
        <v>80</v>
      </c>
      <c r="B72" s="136">
        <f t="shared" si="4"/>
        <v>761.8</v>
      </c>
      <c r="C72" s="136">
        <v>2704</v>
      </c>
      <c r="D72" s="136">
        <v>454</v>
      </c>
      <c r="E72" s="136">
        <v>0</v>
      </c>
      <c r="F72" s="136">
        <v>1271</v>
      </c>
      <c r="G72" s="136">
        <v>479</v>
      </c>
      <c r="H72" s="136">
        <v>0</v>
      </c>
      <c r="I72" s="136">
        <v>1085</v>
      </c>
      <c r="J72" s="136">
        <v>646</v>
      </c>
      <c r="K72" s="136">
        <v>979</v>
      </c>
      <c r="L72" s="136">
        <v>0</v>
      </c>
      <c r="M72" s="13"/>
      <c r="N72" s="13"/>
    </row>
    <row r="73" spans="1:16">
      <c r="A73" s="137" t="s">
        <v>81</v>
      </c>
      <c r="B73" s="136">
        <f t="shared" si="4"/>
        <v>19265.8</v>
      </c>
      <c r="C73" s="136">
        <v>26175</v>
      </c>
      <c r="D73" s="136">
        <v>78170</v>
      </c>
      <c r="E73" s="136">
        <v>10003</v>
      </c>
      <c r="F73" s="136">
        <v>2335</v>
      </c>
      <c r="G73" s="136">
        <v>36926</v>
      </c>
      <c r="H73" s="136">
        <v>2463</v>
      </c>
      <c r="I73" s="136">
        <v>16662</v>
      </c>
      <c r="J73" s="136">
        <v>1728</v>
      </c>
      <c r="K73" s="136">
        <v>15833</v>
      </c>
      <c r="L73" s="136">
        <v>2363</v>
      </c>
      <c r="M73" s="13"/>
      <c r="N73" s="13"/>
    </row>
    <row r="74" spans="1:16">
      <c r="A74" s="137" t="s">
        <v>82</v>
      </c>
      <c r="B74" s="136">
        <f t="shared" si="4"/>
        <v>286.5</v>
      </c>
      <c r="C74" s="136">
        <v>220</v>
      </c>
      <c r="D74" s="136">
        <v>264</v>
      </c>
      <c r="E74" s="136">
        <v>142</v>
      </c>
      <c r="F74" s="137"/>
      <c r="G74" s="136">
        <v>520</v>
      </c>
      <c r="H74" s="137"/>
      <c r="I74" s="137"/>
      <c r="J74" s="137"/>
      <c r="K74" s="137"/>
      <c r="L74" s="137"/>
      <c r="M74" s="13"/>
      <c r="N74" s="13"/>
    </row>
    <row r="75" spans="1:16">
      <c r="A75" s="137" t="s">
        <v>83</v>
      </c>
      <c r="B75" s="136">
        <f t="shared" si="4"/>
        <v>114.6</v>
      </c>
      <c r="C75" s="136">
        <v>220</v>
      </c>
      <c r="D75" s="136">
        <v>264</v>
      </c>
      <c r="E75" s="136">
        <v>142</v>
      </c>
      <c r="F75" s="136">
        <v>0</v>
      </c>
      <c r="G75" s="136">
        <v>520</v>
      </c>
      <c r="H75" s="136">
        <v>0</v>
      </c>
      <c r="I75" s="136">
        <v>0</v>
      </c>
      <c r="J75" s="136">
        <v>0</v>
      </c>
      <c r="K75" s="136">
        <v>0</v>
      </c>
      <c r="L75" s="136">
        <v>0</v>
      </c>
      <c r="M75" s="13"/>
      <c r="N75" s="13"/>
    </row>
    <row r="76" spans="1:16">
      <c r="A76" s="137" t="s">
        <v>84</v>
      </c>
      <c r="B76" s="136">
        <f t="shared" si="4"/>
        <v>22725.9</v>
      </c>
      <c r="C76" s="136">
        <v>36690</v>
      </c>
      <c r="D76" s="136">
        <v>120258</v>
      </c>
      <c r="E76" s="136">
        <v>4138</v>
      </c>
      <c r="F76" s="136">
        <v>3782</v>
      </c>
      <c r="G76" s="136">
        <v>9476</v>
      </c>
      <c r="H76" s="136">
        <v>3649</v>
      </c>
      <c r="I76" s="136">
        <v>1294</v>
      </c>
      <c r="J76" s="136">
        <v>1887</v>
      </c>
      <c r="K76" s="136">
        <v>30250</v>
      </c>
      <c r="L76" s="136">
        <v>15835</v>
      </c>
      <c r="M76" s="13"/>
      <c r="N76" s="13"/>
    </row>
    <row r="77" spans="1:16">
      <c r="A77" s="137" t="s">
        <v>79</v>
      </c>
      <c r="B77" s="136">
        <f t="shared" si="4"/>
        <v>1294.2</v>
      </c>
      <c r="C77" s="136">
        <v>2530</v>
      </c>
      <c r="D77" s="136">
        <v>5185</v>
      </c>
      <c r="E77" s="136">
        <v>871</v>
      </c>
      <c r="F77" s="136">
        <v>431</v>
      </c>
      <c r="G77" s="136">
        <v>1095</v>
      </c>
      <c r="H77" s="136">
        <v>1446</v>
      </c>
      <c r="I77" s="136">
        <v>145</v>
      </c>
      <c r="J77" s="136">
        <v>56</v>
      </c>
      <c r="K77" s="136">
        <v>975</v>
      </c>
      <c r="L77" s="136">
        <v>208</v>
      </c>
      <c r="M77" s="13"/>
      <c r="N77" s="13"/>
    </row>
    <row r="78" spans="1:16">
      <c r="A78" s="137" t="s">
        <v>85</v>
      </c>
      <c r="B78" s="136">
        <f t="shared" si="4"/>
        <v>293.5</v>
      </c>
      <c r="C78" s="137"/>
      <c r="D78" s="136">
        <v>0</v>
      </c>
      <c r="E78" s="137"/>
      <c r="F78" s="137"/>
      <c r="G78" s="136">
        <v>587</v>
      </c>
      <c r="H78" s="137"/>
      <c r="I78" s="137"/>
      <c r="J78" s="137"/>
      <c r="K78" s="137"/>
      <c r="L78" s="137"/>
      <c r="M78" s="13"/>
      <c r="N78" s="13"/>
    </row>
    <row r="79" spans="1:16">
      <c r="A79" s="137" t="s">
        <v>86</v>
      </c>
      <c r="B79" s="136">
        <f t="shared" si="4"/>
        <v>24078.7</v>
      </c>
      <c r="C79" s="136">
        <v>39219</v>
      </c>
      <c r="D79" s="136">
        <v>125443</v>
      </c>
      <c r="E79" s="136">
        <v>5008</v>
      </c>
      <c r="F79" s="136">
        <v>4213</v>
      </c>
      <c r="G79" s="136">
        <v>11159</v>
      </c>
      <c r="H79" s="136">
        <v>5095</v>
      </c>
      <c r="I79" s="136">
        <v>1439</v>
      </c>
      <c r="J79" s="136">
        <v>1943</v>
      </c>
      <c r="K79" s="136">
        <v>31225</v>
      </c>
      <c r="L79" s="136">
        <v>16043</v>
      </c>
      <c r="M79" s="13"/>
      <c r="N79" s="13"/>
    </row>
    <row r="80" spans="1:16">
      <c r="A80" s="137" t="s">
        <v>87</v>
      </c>
      <c r="B80" s="136">
        <f t="shared" si="4"/>
        <v>8445.2000000000007</v>
      </c>
      <c r="C80" s="136">
        <v>22028</v>
      </c>
      <c r="D80" s="136">
        <v>12194</v>
      </c>
      <c r="E80" s="136">
        <v>5014</v>
      </c>
      <c r="F80" s="136">
        <v>2639</v>
      </c>
      <c r="G80" s="136">
        <v>2489</v>
      </c>
      <c r="H80" s="136">
        <v>10802</v>
      </c>
      <c r="I80" s="136">
        <v>14514</v>
      </c>
      <c r="J80" s="136">
        <v>812</v>
      </c>
      <c r="K80" s="136">
        <v>10819</v>
      </c>
      <c r="L80" s="136">
        <v>3141</v>
      </c>
      <c r="M80" s="13"/>
      <c r="N80" s="13"/>
    </row>
    <row r="81" spans="1:14">
      <c r="A81" s="137" t="s">
        <v>88</v>
      </c>
      <c r="B81" s="136">
        <f t="shared" si="4"/>
        <v>8445.2000000000007</v>
      </c>
      <c r="C81" s="136">
        <v>22028</v>
      </c>
      <c r="D81" s="136">
        <v>12194</v>
      </c>
      <c r="E81" s="136">
        <v>5014</v>
      </c>
      <c r="F81" s="136">
        <v>2639</v>
      </c>
      <c r="G81" s="136">
        <v>2489</v>
      </c>
      <c r="H81" s="136">
        <v>10802</v>
      </c>
      <c r="I81" s="136">
        <v>14514</v>
      </c>
      <c r="J81" s="136">
        <v>812</v>
      </c>
      <c r="K81" s="136">
        <v>10819</v>
      </c>
      <c r="L81" s="136">
        <v>3141</v>
      </c>
      <c r="M81" s="13"/>
      <c r="N81" s="13"/>
    </row>
    <row r="82" spans="1:14">
      <c r="A82" s="137" t="s">
        <v>89</v>
      </c>
      <c r="B82" s="136">
        <f t="shared" si="4"/>
        <v>32646.7</v>
      </c>
      <c r="C82" s="136">
        <v>61504</v>
      </c>
      <c r="D82" s="136">
        <v>137900</v>
      </c>
      <c r="E82" s="136">
        <v>10164</v>
      </c>
      <c r="F82" s="136">
        <v>6852</v>
      </c>
      <c r="G82" s="136">
        <v>14168</v>
      </c>
      <c r="H82" s="136">
        <v>15897</v>
      </c>
      <c r="I82" s="136">
        <v>15999</v>
      </c>
      <c r="J82" s="136">
        <v>2755</v>
      </c>
      <c r="K82" s="136">
        <v>42044</v>
      </c>
      <c r="L82" s="136">
        <v>19184</v>
      </c>
    </row>
    <row r="83" spans="1:14">
      <c r="A83" s="137" t="s">
        <v>90</v>
      </c>
      <c r="B83" s="136">
        <f t="shared" si="4"/>
        <v>51912.3</v>
      </c>
      <c r="C83" s="136">
        <v>87679</v>
      </c>
      <c r="D83" s="136">
        <v>216070</v>
      </c>
      <c r="E83" s="136">
        <v>20167</v>
      </c>
      <c r="F83" s="136">
        <v>9187</v>
      </c>
      <c r="G83" s="136">
        <v>51093</v>
      </c>
      <c r="H83" s="136">
        <v>18360</v>
      </c>
      <c r="I83" s="136">
        <v>32661</v>
      </c>
      <c r="J83" s="136">
        <v>4482</v>
      </c>
      <c r="K83" s="136">
        <v>57877</v>
      </c>
      <c r="L83" s="136">
        <v>21547</v>
      </c>
    </row>
    <row r="84" spans="1:14">
      <c r="A84" s="137" t="s">
        <v>91</v>
      </c>
      <c r="B84" s="136">
        <f t="shared" si="4"/>
        <v>3099.4</v>
      </c>
      <c r="C84" s="136">
        <v>6800</v>
      </c>
      <c r="D84" s="136">
        <v>20653</v>
      </c>
      <c r="E84" s="136">
        <v>990</v>
      </c>
      <c r="F84" s="136">
        <v>100</v>
      </c>
      <c r="G84" s="136">
        <v>100</v>
      </c>
      <c r="H84" s="136">
        <v>100</v>
      </c>
      <c r="I84" s="136">
        <v>400</v>
      </c>
      <c r="J84" s="136">
        <v>100</v>
      </c>
      <c r="K84" s="136">
        <v>521</v>
      </c>
      <c r="L84" s="136">
        <v>1230</v>
      </c>
    </row>
    <row r="85" spans="1:14">
      <c r="A85" s="137" t="s">
        <v>92</v>
      </c>
      <c r="B85" s="136">
        <f t="shared" si="4"/>
        <v>2072.6666666666665</v>
      </c>
      <c r="C85" s="137"/>
      <c r="D85" s="137"/>
      <c r="E85" s="136">
        <v>420</v>
      </c>
      <c r="F85" s="137"/>
      <c r="G85" s="137"/>
      <c r="H85" s="137"/>
      <c r="I85" s="137"/>
      <c r="J85" s="136">
        <v>4</v>
      </c>
      <c r="K85" s="136">
        <v>5794</v>
      </c>
      <c r="L85" s="137"/>
    </row>
    <row r="86" spans="1:14">
      <c r="A86" s="137" t="s">
        <v>93</v>
      </c>
      <c r="B86" s="136">
        <f t="shared" si="4"/>
        <v>3721.2</v>
      </c>
      <c r="C86" s="136">
        <v>6800</v>
      </c>
      <c r="D86" s="136">
        <v>20653</v>
      </c>
      <c r="E86" s="136">
        <v>1410</v>
      </c>
      <c r="F86" s="136">
        <v>100</v>
      </c>
      <c r="G86" s="136">
        <v>100</v>
      </c>
      <c r="H86" s="136">
        <v>100</v>
      </c>
      <c r="I86" s="136">
        <v>400</v>
      </c>
      <c r="J86" s="136">
        <v>104</v>
      </c>
      <c r="K86" s="136">
        <v>6315</v>
      </c>
      <c r="L86" s="136">
        <v>1230</v>
      </c>
    </row>
    <row r="87" spans="1:14">
      <c r="A87" s="137" t="s">
        <v>94</v>
      </c>
      <c r="B87" s="136">
        <f t="shared" si="4"/>
        <v>11467.1</v>
      </c>
      <c r="C87" s="136">
        <v>43383</v>
      </c>
      <c r="D87" s="136">
        <v>3619</v>
      </c>
      <c r="E87" s="136">
        <v>6650</v>
      </c>
      <c r="F87" s="136">
        <v>992</v>
      </c>
      <c r="G87" s="136">
        <v>13716</v>
      </c>
      <c r="H87" s="136">
        <v>8762</v>
      </c>
      <c r="I87" s="136">
        <v>24716</v>
      </c>
      <c r="J87" s="136">
        <v>2543</v>
      </c>
      <c r="K87" s="136">
        <v>4251</v>
      </c>
      <c r="L87" s="136">
        <v>6039</v>
      </c>
    </row>
    <row r="88" spans="1:14">
      <c r="A88" s="137" t="s">
        <v>95</v>
      </c>
      <c r="B88" s="136">
        <f t="shared" si="4"/>
        <v>11467.1</v>
      </c>
      <c r="C88" s="136">
        <v>43383</v>
      </c>
      <c r="D88" s="136">
        <v>3619</v>
      </c>
      <c r="E88" s="136">
        <v>6650</v>
      </c>
      <c r="F88" s="136">
        <v>992</v>
      </c>
      <c r="G88" s="136">
        <v>13716</v>
      </c>
      <c r="H88" s="136">
        <v>8762</v>
      </c>
      <c r="I88" s="136">
        <v>24716</v>
      </c>
      <c r="J88" s="136">
        <v>2543</v>
      </c>
      <c r="K88" s="136">
        <v>4251</v>
      </c>
      <c r="L88" s="136">
        <v>6039</v>
      </c>
    </row>
    <row r="89" spans="1:14">
      <c r="A89" s="137" t="s">
        <v>96</v>
      </c>
      <c r="B89" s="136">
        <f t="shared" si="4"/>
        <v>13452</v>
      </c>
      <c r="C89" s="137"/>
      <c r="D89" s="136">
        <v>13452</v>
      </c>
      <c r="E89" s="137"/>
      <c r="F89" s="137"/>
      <c r="G89" s="137"/>
      <c r="H89" s="137"/>
      <c r="I89" s="137"/>
      <c r="J89" s="137"/>
      <c r="K89" s="137"/>
      <c r="L89" s="137"/>
    </row>
    <row r="90" spans="1:14">
      <c r="A90" s="137" t="s">
        <v>97</v>
      </c>
      <c r="B90" s="136">
        <f t="shared" si="4"/>
        <v>16533.400000000001</v>
      </c>
      <c r="C90" s="136">
        <v>50183</v>
      </c>
      <c r="D90" s="136">
        <v>37724</v>
      </c>
      <c r="E90" s="136">
        <v>8060</v>
      </c>
      <c r="F90" s="136">
        <v>1092</v>
      </c>
      <c r="G90" s="136">
        <v>13816</v>
      </c>
      <c r="H90" s="136">
        <v>8862</v>
      </c>
      <c r="I90" s="136">
        <v>25116</v>
      </c>
      <c r="J90" s="136">
        <v>2647</v>
      </c>
      <c r="K90" s="136">
        <v>10565</v>
      </c>
      <c r="L90" s="136">
        <v>7269</v>
      </c>
    </row>
    <row r="91" spans="1:14">
      <c r="A91" s="137" t="s">
        <v>98</v>
      </c>
      <c r="B91" s="136">
        <f t="shared" si="4"/>
        <v>805.28571428571433</v>
      </c>
      <c r="C91" s="136">
        <v>2414</v>
      </c>
      <c r="D91" s="136">
        <v>387</v>
      </c>
      <c r="E91" s="136">
        <v>911</v>
      </c>
      <c r="F91" s="137"/>
      <c r="G91" s="136">
        <v>1493</v>
      </c>
      <c r="H91" s="137"/>
      <c r="I91" s="136">
        <v>314</v>
      </c>
      <c r="J91" s="136">
        <v>118</v>
      </c>
      <c r="K91" s="137"/>
      <c r="L91" s="136">
        <v>0</v>
      </c>
    </row>
    <row r="92" spans="1:14">
      <c r="A92" s="137" t="s">
        <v>99</v>
      </c>
      <c r="B92" s="136">
        <f t="shared" si="4"/>
        <v>563.70000000000005</v>
      </c>
      <c r="C92" s="136">
        <v>2414</v>
      </c>
      <c r="D92" s="136">
        <v>387</v>
      </c>
      <c r="E92" s="136">
        <v>911</v>
      </c>
      <c r="F92" s="136">
        <v>0</v>
      </c>
      <c r="G92" s="136">
        <v>1493</v>
      </c>
      <c r="H92" s="136">
        <v>0</v>
      </c>
      <c r="I92" s="136">
        <v>314</v>
      </c>
      <c r="J92" s="136">
        <v>118</v>
      </c>
      <c r="K92" s="136">
        <v>0</v>
      </c>
      <c r="L92" s="136">
        <v>0</v>
      </c>
    </row>
    <row r="93" spans="1:14">
      <c r="A93" s="137" t="s">
        <v>100</v>
      </c>
      <c r="B93" s="136">
        <f t="shared" si="4"/>
        <v>14183.857142857143</v>
      </c>
      <c r="C93" s="137"/>
      <c r="D93" s="136">
        <v>51051</v>
      </c>
      <c r="E93" s="136">
        <v>6124</v>
      </c>
      <c r="F93" s="136">
        <v>862</v>
      </c>
      <c r="G93" s="136">
        <v>25027</v>
      </c>
      <c r="H93" s="136">
        <v>1059</v>
      </c>
      <c r="I93" s="137"/>
      <c r="J93" s="137"/>
      <c r="K93" s="136">
        <v>14468</v>
      </c>
      <c r="L93" s="136">
        <v>696</v>
      </c>
    </row>
    <row r="94" spans="1:14">
      <c r="A94" s="137" t="s">
        <v>101</v>
      </c>
      <c r="B94" s="136">
        <f t="shared" ref="B94:B125" si="5">AVERAGE(C94:L94)</f>
        <v>562.25</v>
      </c>
      <c r="C94" s="136">
        <v>1796</v>
      </c>
      <c r="D94" s="137"/>
      <c r="E94" s="136">
        <v>0</v>
      </c>
      <c r="F94" s="137"/>
      <c r="G94" s="136">
        <v>453</v>
      </c>
      <c r="H94" s="137"/>
      <c r="I94" s="137"/>
      <c r="J94" s="137"/>
      <c r="K94" s="137"/>
      <c r="L94" s="136">
        <v>0</v>
      </c>
    </row>
    <row r="95" spans="1:14">
      <c r="A95" s="137" t="s">
        <v>102</v>
      </c>
      <c r="B95" s="136">
        <f t="shared" si="5"/>
        <v>224.9</v>
      </c>
      <c r="C95" s="136">
        <v>1796</v>
      </c>
      <c r="D95" s="136">
        <v>0</v>
      </c>
      <c r="E95" s="136">
        <v>0</v>
      </c>
      <c r="F95" s="136">
        <v>0</v>
      </c>
      <c r="G95" s="136">
        <v>453</v>
      </c>
      <c r="H95" s="136">
        <v>0</v>
      </c>
      <c r="I95" s="136">
        <v>0</v>
      </c>
      <c r="J95" s="136">
        <v>0</v>
      </c>
      <c r="K95" s="136">
        <v>0</v>
      </c>
      <c r="L95" s="136">
        <v>0</v>
      </c>
    </row>
    <row r="96" spans="1:14">
      <c r="A96" s="137" t="s">
        <v>103</v>
      </c>
      <c r="B96" s="136">
        <f t="shared" si="5"/>
        <v>10717.3</v>
      </c>
      <c r="C96" s="136">
        <v>4210</v>
      </c>
      <c r="D96" s="136">
        <v>51438</v>
      </c>
      <c r="E96" s="136">
        <v>7035</v>
      </c>
      <c r="F96" s="136">
        <v>862</v>
      </c>
      <c r="G96" s="136">
        <v>26973</v>
      </c>
      <c r="H96" s="136">
        <v>1059</v>
      </c>
      <c r="I96" s="136">
        <v>314</v>
      </c>
      <c r="J96" s="136">
        <v>118</v>
      </c>
      <c r="K96" s="136">
        <v>14468</v>
      </c>
      <c r="L96" s="136">
        <v>696</v>
      </c>
    </row>
    <row r="97" spans="1:12">
      <c r="A97" s="137" t="s">
        <v>104</v>
      </c>
      <c r="B97" s="136">
        <f t="shared" si="5"/>
        <v>4482.5</v>
      </c>
      <c r="C97" s="137"/>
      <c r="D97" s="136">
        <v>8965</v>
      </c>
      <c r="E97" s="137"/>
      <c r="F97" s="137"/>
      <c r="G97" s="137"/>
      <c r="H97" s="137"/>
      <c r="I97" s="137"/>
      <c r="J97" s="137"/>
      <c r="K97" s="136">
        <v>0</v>
      </c>
      <c r="L97" s="137"/>
    </row>
    <row r="98" spans="1:12">
      <c r="A98" s="137" t="s">
        <v>105</v>
      </c>
      <c r="B98" s="136">
        <f t="shared" si="5"/>
        <v>10215.200000000001</v>
      </c>
      <c r="C98" s="136">
        <v>14487</v>
      </c>
      <c r="D98" s="136">
        <v>59271</v>
      </c>
      <c r="E98" s="136">
        <v>2441</v>
      </c>
      <c r="F98" s="136">
        <v>3129</v>
      </c>
      <c r="G98" s="136">
        <v>4726</v>
      </c>
      <c r="H98" s="136">
        <v>729</v>
      </c>
      <c r="I98" s="136">
        <v>122</v>
      </c>
      <c r="J98" s="136">
        <v>1045</v>
      </c>
      <c r="K98" s="136">
        <v>8125</v>
      </c>
      <c r="L98" s="136">
        <v>8077</v>
      </c>
    </row>
    <row r="99" spans="1:12">
      <c r="A99" s="137" t="s">
        <v>106</v>
      </c>
      <c r="B99" s="136">
        <f t="shared" si="5"/>
        <v>881.88888888888891</v>
      </c>
      <c r="C99" s="136">
        <v>1621</v>
      </c>
      <c r="D99" s="136">
        <v>842</v>
      </c>
      <c r="E99" s="136">
        <v>933</v>
      </c>
      <c r="F99" s="136">
        <v>39</v>
      </c>
      <c r="G99" s="137"/>
      <c r="H99" s="136">
        <v>705</v>
      </c>
      <c r="I99" s="136">
        <v>1590</v>
      </c>
      <c r="J99" s="136">
        <v>136</v>
      </c>
      <c r="K99" s="136">
        <v>2071</v>
      </c>
      <c r="L99" s="136">
        <v>0</v>
      </c>
    </row>
    <row r="100" spans="1:12">
      <c r="A100" s="137" t="s">
        <v>107</v>
      </c>
      <c r="B100" s="136">
        <f t="shared" si="5"/>
        <v>3461.3</v>
      </c>
      <c r="C100" s="136">
        <v>5816</v>
      </c>
      <c r="D100" s="136">
        <v>9467</v>
      </c>
      <c r="E100" s="136">
        <v>1030</v>
      </c>
      <c r="F100" s="136">
        <v>2228</v>
      </c>
      <c r="G100" s="136">
        <v>2853</v>
      </c>
      <c r="H100" s="136">
        <v>2292</v>
      </c>
      <c r="I100" s="136">
        <v>1714</v>
      </c>
      <c r="J100" s="136">
        <v>305</v>
      </c>
      <c r="K100" s="136">
        <v>6472</v>
      </c>
      <c r="L100" s="136">
        <v>2436</v>
      </c>
    </row>
    <row r="101" spans="1:12">
      <c r="A101" s="137" t="s">
        <v>108</v>
      </c>
      <c r="B101" s="136">
        <f t="shared" si="5"/>
        <v>2386</v>
      </c>
      <c r="C101" s="136">
        <v>5252</v>
      </c>
      <c r="D101" s="137"/>
      <c r="E101" s="137"/>
      <c r="F101" s="136">
        <v>100</v>
      </c>
      <c r="G101" s="136">
        <v>200</v>
      </c>
      <c r="H101" s="136">
        <v>750</v>
      </c>
      <c r="I101" s="136">
        <v>2400</v>
      </c>
      <c r="J101" s="137"/>
      <c r="K101" s="136">
        <v>8000</v>
      </c>
      <c r="L101" s="136">
        <v>0</v>
      </c>
    </row>
    <row r="102" spans="1:12">
      <c r="A102" s="137" t="s">
        <v>109</v>
      </c>
      <c r="B102" s="136">
        <f t="shared" si="5"/>
        <v>853</v>
      </c>
      <c r="C102" s="137"/>
      <c r="D102" s="137"/>
      <c r="E102" s="137"/>
      <c r="F102" s="137"/>
      <c r="G102" s="136">
        <v>500</v>
      </c>
      <c r="H102" s="137"/>
      <c r="I102" s="137"/>
      <c r="J102" s="137"/>
      <c r="K102" s="136">
        <v>1206</v>
      </c>
      <c r="L102" s="137"/>
    </row>
    <row r="103" spans="1:12">
      <c r="A103" s="137" t="s">
        <v>110</v>
      </c>
      <c r="B103" s="136">
        <f t="shared" si="5"/>
        <v>7453.6</v>
      </c>
      <c r="C103" s="136">
        <v>6109</v>
      </c>
      <c r="D103" s="136">
        <v>48363</v>
      </c>
      <c r="E103" s="136">
        <v>667</v>
      </c>
      <c r="F103" s="136">
        <v>1737</v>
      </c>
      <c r="G103" s="136">
        <v>2025</v>
      </c>
      <c r="H103" s="136">
        <v>3963</v>
      </c>
      <c r="I103" s="136">
        <v>1404</v>
      </c>
      <c r="J103" s="136">
        <v>230</v>
      </c>
      <c r="K103" s="136">
        <v>6970</v>
      </c>
      <c r="L103" s="136">
        <v>3068</v>
      </c>
    </row>
    <row r="104" spans="1:12">
      <c r="A104" s="137" t="s">
        <v>111</v>
      </c>
      <c r="B104" s="136">
        <f t="shared" si="5"/>
        <v>24661.599999999999</v>
      </c>
      <c r="C104" s="136">
        <v>33286</v>
      </c>
      <c r="D104" s="136">
        <v>126909</v>
      </c>
      <c r="E104" s="136">
        <v>5072</v>
      </c>
      <c r="F104" s="136">
        <v>7233</v>
      </c>
      <c r="G104" s="136">
        <v>10305</v>
      </c>
      <c r="H104" s="136">
        <v>8438</v>
      </c>
      <c r="I104" s="136">
        <v>7230</v>
      </c>
      <c r="J104" s="136">
        <v>1717</v>
      </c>
      <c r="K104" s="136">
        <v>32844</v>
      </c>
      <c r="L104" s="136">
        <v>13582</v>
      </c>
    </row>
    <row r="105" spans="1:12">
      <c r="A105" s="137" t="s">
        <v>112</v>
      </c>
      <c r="B105" s="136">
        <f t="shared" si="5"/>
        <v>35378.9</v>
      </c>
      <c r="C105" s="136">
        <v>37496</v>
      </c>
      <c r="D105" s="136">
        <v>178347</v>
      </c>
      <c r="E105" s="136">
        <v>12107</v>
      </c>
      <c r="F105" s="136">
        <v>8095</v>
      </c>
      <c r="G105" s="136">
        <v>37277</v>
      </c>
      <c r="H105" s="136">
        <v>9498</v>
      </c>
      <c r="I105" s="136">
        <v>7544</v>
      </c>
      <c r="J105" s="136">
        <v>1835</v>
      </c>
      <c r="K105" s="136">
        <v>47312</v>
      </c>
      <c r="L105" s="136">
        <v>14278</v>
      </c>
    </row>
    <row r="106" spans="1:12">
      <c r="A106" s="137" t="s">
        <v>113</v>
      </c>
      <c r="B106" s="136">
        <f t="shared" si="5"/>
        <v>51912.3</v>
      </c>
      <c r="C106" s="136">
        <v>87679</v>
      </c>
      <c r="D106" s="136">
        <v>216070</v>
      </c>
      <c r="E106" s="136">
        <v>20167</v>
      </c>
      <c r="F106" s="136">
        <v>9187</v>
      </c>
      <c r="G106" s="136">
        <v>51093</v>
      </c>
      <c r="H106" s="136">
        <v>18360</v>
      </c>
      <c r="I106" s="136">
        <v>32661</v>
      </c>
      <c r="J106" s="136">
        <v>4482</v>
      </c>
      <c r="K106" s="136">
        <v>57877</v>
      </c>
      <c r="L106" s="136">
        <v>21547</v>
      </c>
    </row>
    <row r="107" spans="1:12">
      <c r="A107" s="144"/>
      <c r="B107" s="145"/>
      <c r="C107" s="145"/>
      <c r="D107" s="145"/>
      <c r="E107" s="145"/>
      <c r="F107" s="145"/>
      <c r="G107" s="145"/>
      <c r="H107" s="145"/>
      <c r="I107" s="145"/>
      <c r="J107" s="145"/>
      <c r="K107" s="145"/>
      <c r="L107" s="145"/>
    </row>
    <row r="108" spans="1:12">
      <c r="A108" s="146" t="s">
        <v>114</v>
      </c>
      <c r="B108" s="147"/>
      <c r="C108" s="148" t="s">
        <v>191</v>
      </c>
      <c r="D108" s="148" t="s">
        <v>29</v>
      </c>
      <c r="E108" s="148" t="s">
        <v>30</v>
      </c>
      <c r="F108" s="148" t="s">
        <v>187</v>
      </c>
      <c r="G108" s="148" t="s">
        <v>31</v>
      </c>
      <c r="H108" s="148" t="s">
        <v>188</v>
      </c>
      <c r="I108" s="148" t="s">
        <v>32</v>
      </c>
      <c r="J108" s="148" t="s">
        <v>33</v>
      </c>
      <c r="K108" s="148" t="s">
        <v>192</v>
      </c>
      <c r="L108" s="148" t="s">
        <v>34</v>
      </c>
    </row>
    <row r="109" spans="1:12">
      <c r="A109" s="149" t="s">
        <v>115</v>
      </c>
      <c r="B109" s="147">
        <f>AVERAGE(D109:L109)</f>
        <v>31.866666666666667</v>
      </c>
      <c r="C109" s="149"/>
      <c r="D109" s="150">
        <v>60</v>
      </c>
      <c r="E109" s="150">
        <v>12</v>
      </c>
      <c r="F109" s="150">
        <v>30</v>
      </c>
      <c r="G109" s="150">
        <v>25</v>
      </c>
      <c r="H109" s="150">
        <v>50</v>
      </c>
      <c r="I109" s="150">
        <v>9</v>
      </c>
      <c r="J109" s="150">
        <v>4</v>
      </c>
      <c r="K109" s="150">
        <v>53.8</v>
      </c>
      <c r="L109" s="150">
        <v>43</v>
      </c>
    </row>
    <row r="110" spans="1:12">
      <c r="A110" s="149" t="s">
        <v>301</v>
      </c>
      <c r="B110" s="269">
        <f>AVERAGE(C110,D110,E110,F110,G110,H110,I110,K110,L110)</f>
        <v>547191.28384868836</v>
      </c>
      <c r="C110" s="149"/>
      <c r="D110" s="151">
        <f>(D30/D109)*1000</f>
        <v>635733.33333333337</v>
      </c>
      <c r="E110" s="151">
        <f t="shared" ref="E110:L110" si="6">(E30/E109)*1000</f>
        <v>442833.33333333331</v>
      </c>
      <c r="F110" s="151">
        <f t="shared" si="6"/>
        <v>523900</v>
      </c>
      <c r="G110" s="151">
        <f t="shared" si="6"/>
        <v>546400</v>
      </c>
      <c r="H110" s="151">
        <f t="shared" si="6"/>
        <v>366060</v>
      </c>
      <c r="I110" s="151">
        <f t="shared" si="6"/>
        <v>807444.4444444445</v>
      </c>
      <c r="J110" s="151">
        <f t="shared" si="6"/>
        <v>341750</v>
      </c>
      <c r="K110" s="151">
        <f t="shared" si="6"/>
        <v>628903.34572490712</v>
      </c>
      <c r="L110" s="151">
        <f t="shared" si="6"/>
        <v>426255.81395348837</v>
      </c>
    </row>
    <row r="111" spans="1:12">
      <c r="A111" s="149"/>
      <c r="B111" s="147"/>
      <c r="C111" s="149"/>
      <c r="D111" s="150"/>
      <c r="E111" s="150"/>
      <c r="F111" s="150"/>
      <c r="G111" s="150"/>
      <c r="H111" s="150"/>
      <c r="I111" s="150"/>
      <c r="J111" s="150"/>
      <c r="K111" s="150"/>
      <c r="L111" s="150"/>
    </row>
    <row r="112" spans="1:12">
      <c r="A112" s="146" t="s">
        <v>116</v>
      </c>
      <c r="B112" s="147"/>
      <c r="C112" s="148" t="s">
        <v>191</v>
      </c>
      <c r="D112" s="148" t="s">
        <v>29</v>
      </c>
      <c r="E112" s="148" t="s">
        <v>30</v>
      </c>
      <c r="F112" s="148" t="s">
        <v>187</v>
      </c>
      <c r="G112" s="148" t="s">
        <v>31</v>
      </c>
      <c r="H112" s="148" t="s">
        <v>188</v>
      </c>
      <c r="I112" s="148" t="s">
        <v>32</v>
      </c>
      <c r="J112" s="148" t="s">
        <v>33</v>
      </c>
      <c r="K112" s="148" t="s">
        <v>192</v>
      </c>
      <c r="L112" s="148" t="s">
        <v>34</v>
      </c>
    </row>
    <row r="113" spans="1:12">
      <c r="A113" s="149" t="s">
        <v>117</v>
      </c>
      <c r="B113" s="147">
        <f t="shared" si="5"/>
        <v>9.2810000000000006</v>
      </c>
      <c r="C113" s="152">
        <v>7.52</v>
      </c>
      <c r="D113" s="152">
        <v>1.32</v>
      </c>
      <c r="E113" s="152">
        <v>30.04</v>
      </c>
      <c r="F113" s="152">
        <v>2.4300000000000002</v>
      </c>
      <c r="G113" s="152">
        <v>5.87</v>
      </c>
      <c r="H113" s="152">
        <v>15.98</v>
      </c>
      <c r="I113" s="152">
        <v>21.24</v>
      </c>
      <c r="J113" s="152">
        <v>4.83</v>
      </c>
      <c r="K113" s="152">
        <v>14.76</v>
      </c>
      <c r="L113" s="152">
        <v>-11.18</v>
      </c>
    </row>
    <row r="114" spans="1:12">
      <c r="A114" s="149" t="s">
        <v>118</v>
      </c>
      <c r="B114" s="147">
        <f t="shared" si="5"/>
        <v>6.1839999999999993</v>
      </c>
      <c r="C114" s="152">
        <v>4.34</v>
      </c>
      <c r="D114" s="152">
        <v>0.28999999999999998</v>
      </c>
      <c r="E114" s="152">
        <v>14.42</v>
      </c>
      <c r="F114" s="152">
        <v>0.64</v>
      </c>
      <c r="G114" s="152">
        <v>3.27</v>
      </c>
      <c r="H114" s="152">
        <v>7.08</v>
      </c>
      <c r="I114" s="152">
        <v>26.5</v>
      </c>
      <c r="J114" s="152">
        <v>2.2599999999999998</v>
      </c>
      <c r="K114" s="152">
        <v>6.44</v>
      </c>
      <c r="L114" s="152">
        <v>-3.4</v>
      </c>
    </row>
    <row r="115" spans="1:12">
      <c r="A115" s="149" t="s">
        <v>119</v>
      </c>
      <c r="B115" s="147">
        <f t="shared" si="5"/>
        <v>2.3330000000000002</v>
      </c>
      <c r="C115" s="153">
        <v>1.65</v>
      </c>
      <c r="D115" s="153">
        <v>3.95</v>
      </c>
      <c r="E115" s="153">
        <v>2.06</v>
      </c>
      <c r="F115" s="153">
        <v>3.4</v>
      </c>
      <c r="G115" s="153">
        <v>1.3</v>
      </c>
      <c r="H115" s="153">
        <v>2.25</v>
      </c>
      <c r="I115" s="153">
        <v>0.8</v>
      </c>
      <c r="J115" s="153">
        <v>2.13</v>
      </c>
      <c r="K115" s="153">
        <v>2.27</v>
      </c>
      <c r="L115" s="153">
        <v>3.52</v>
      </c>
    </row>
    <row r="116" spans="1:12">
      <c r="A116" s="149"/>
      <c r="B116" s="147"/>
      <c r="C116" s="153"/>
      <c r="D116" s="153"/>
      <c r="E116" s="153"/>
      <c r="F116" s="153"/>
      <c r="G116" s="153"/>
      <c r="H116" s="153"/>
      <c r="I116" s="153"/>
      <c r="J116" s="153"/>
      <c r="K116" s="153"/>
      <c r="L116" s="153"/>
    </row>
    <row r="117" spans="1:12">
      <c r="A117" s="146" t="s">
        <v>120</v>
      </c>
      <c r="B117" s="147"/>
      <c r="C117" s="148" t="s">
        <v>191</v>
      </c>
      <c r="D117" s="148" t="s">
        <v>29</v>
      </c>
      <c r="E117" s="148" t="s">
        <v>30</v>
      </c>
      <c r="F117" s="148" t="s">
        <v>187</v>
      </c>
      <c r="G117" s="148" t="s">
        <v>31</v>
      </c>
      <c r="H117" s="148" t="s">
        <v>188</v>
      </c>
      <c r="I117" s="148" t="s">
        <v>32</v>
      </c>
      <c r="J117" s="148" t="s">
        <v>33</v>
      </c>
      <c r="K117" s="148" t="s">
        <v>192</v>
      </c>
      <c r="L117" s="148" t="s">
        <v>34</v>
      </c>
    </row>
    <row r="118" spans="1:12">
      <c r="A118" s="149" t="s">
        <v>121</v>
      </c>
      <c r="B118" s="147">
        <f t="shared" si="5"/>
        <v>38.981000000000002</v>
      </c>
      <c r="C118" s="152">
        <v>57.23</v>
      </c>
      <c r="D118" s="152">
        <v>17.46</v>
      </c>
      <c r="E118" s="152">
        <v>39.97</v>
      </c>
      <c r="F118" s="152">
        <v>11.89</v>
      </c>
      <c r="G118" s="152">
        <v>27.04</v>
      </c>
      <c r="H118" s="152">
        <v>48.27</v>
      </c>
      <c r="I118" s="152">
        <v>76.900000000000006</v>
      </c>
      <c r="J118" s="152">
        <v>59.06</v>
      </c>
      <c r="K118" s="152">
        <v>18.25</v>
      </c>
      <c r="L118" s="152">
        <v>33.74</v>
      </c>
    </row>
    <row r="119" spans="1:12">
      <c r="A119" s="149" t="s">
        <v>122</v>
      </c>
      <c r="B119" s="147">
        <f t="shared" si="5"/>
        <v>26</v>
      </c>
      <c r="C119" s="149">
        <v>33.42</v>
      </c>
      <c r="D119" s="149">
        <v>4.57</v>
      </c>
      <c r="E119" s="149">
        <v>21.69</v>
      </c>
      <c r="F119" s="149">
        <v>3.15</v>
      </c>
      <c r="G119" s="149">
        <v>28.88</v>
      </c>
      <c r="H119" s="149">
        <v>21.42</v>
      </c>
      <c r="I119" s="149">
        <v>101.8</v>
      </c>
      <c r="J119" s="149">
        <v>28.78</v>
      </c>
      <c r="K119" s="149">
        <v>7.81</v>
      </c>
      <c r="L119" s="149">
        <v>8.48</v>
      </c>
    </row>
    <row r="120" spans="1:12">
      <c r="A120" s="149" t="s">
        <v>123</v>
      </c>
      <c r="B120" s="147">
        <f t="shared" si="5"/>
        <v>34.973333333333329</v>
      </c>
      <c r="C120" s="152">
        <v>200.71</v>
      </c>
      <c r="D120" s="152">
        <v>1.34</v>
      </c>
      <c r="E120" s="152">
        <v>21.57</v>
      </c>
      <c r="F120" s="152">
        <v>2.64</v>
      </c>
      <c r="G120" s="152">
        <v>3.24</v>
      </c>
      <c r="H120" s="152">
        <v>42.64</v>
      </c>
      <c r="I120" s="149"/>
      <c r="J120" s="152">
        <v>52.25</v>
      </c>
      <c r="K120" s="152">
        <v>12.3</v>
      </c>
      <c r="L120" s="152">
        <v>-21.93</v>
      </c>
    </row>
    <row r="121" spans="1:12">
      <c r="A121" s="149" t="s">
        <v>124</v>
      </c>
      <c r="B121" s="147">
        <f t="shared" si="5"/>
        <v>0.65800000000000003</v>
      </c>
      <c r="C121" s="152">
        <v>0.48</v>
      </c>
      <c r="D121" s="152">
        <v>0.88</v>
      </c>
      <c r="E121" s="152">
        <v>0.66</v>
      </c>
      <c r="F121" s="152">
        <v>1.19</v>
      </c>
      <c r="G121" s="152">
        <v>0.91</v>
      </c>
      <c r="H121" s="152">
        <v>0.25</v>
      </c>
      <c r="I121" s="152">
        <v>0.66</v>
      </c>
      <c r="J121" s="152">
        <v>0.62</v>
      </c>
      <c r="K121" s="152">
        <v>0.63</v>
      </c>
      <c r="L121" s="152">
        <v>0.3</v>
      </c>
    </row>
    <row r="122" spans="1:12">
      <c r="A122" s="149" t="s">
        <v>125</v>
      </c>
      <c r="B122" s="147">
        <f t="shared" si="5"/>
        <v>5329.7</v>
      </c>
      <c r="C122" s="149">
        <v>12826.36</v>
      </c>
      <c r="D122" s="149">
        <v>4163.6400000000003</v>
      </c>
      <c r="E122" s="149">
        <v>3585.92</v>
      </c>
      <c r="F122" s="149"/>
      <c r="G122" s="149">
        <v>742.88</v>
      </c>
      <c r="H122" s="149"/>
      <c r="I122" s="149"/>
      <c r="J122" s="149"/>
      <c r="K122" s="149"/>
      <c r="L122" s="149"/>
    </row>
    <row r="123" spans="1:12">
      <c r="A123" s="149" t="s">
        <v>126</v>
      </c>
      <c r="B123" s="147">
        <f t="shared" si="5"/>
        <v>2.5590000000000002</v>
      </c>
      <c r="C123" s="152">
        <v>0.75</v>
      </c>
      <c r="D123" s="152">
        <v>4.7300000000000004</v>
      </c>
      <c r="E123" s="152">
        <v>1.5</v>
      </c>
      <c r="F123" s="152">
        <v>7.41</v>
      </c>
      <c r="G123" s="152">
        <v>2.7</v>
      </c>
      <c r="H123" s="152">
        <v>1.07</v>
      </c>
      <c r="I123" s="152">
        <v>0.3</v>
      </c>
      <c r="J123" s="152">
        <v>0.69</v>
      </c>
      <c r="K123" s="152">
        <v>4.4800000000000004</v>
      </c>
      <c r="L123" s="152">
        <v>1.96</v>
      </c>
    </row>
    <row r="124" spans="1:12">
      <c r="A124" s="149" t="s">
        <v>127</v>
      </c>
      <c r="B124" s="147">
        <f t="shared" si="5"/>
        <v>44.693999999999996</v>
      </c>
      <c r="C124" s="149">
        <v>37.96</v>
      </c>
      <c r="D124" s="149">
        <v>58.74</v>
      </c>
      <c r="E124" s="149">
        <v>25.15</v>
      </c>
      <c r="F124" s="149">
        <v>78.73</v>
      </c>
      <c r="G124" s="149">
        <v>20.170000000000002</v>
      </c>
      <c r="H124" s="149">
        <v>45.96</v>
      </c>
      <c r="I124" s="149">
        <v>22.14</v>
      </c>
      <c r="J124" s="149">
        <v>38.31</v>
      </c>
      <c r="K124" s="149">
        <v>56.75</v>
      </c>
      <c r="L124" s="149">
        <v>63.03</v>
      </c>
    </row>
    <row r="125" spans="1:12">
      <c r="A125" s="149" t="s">
        <v>128</v>
      </c>
      <c r="B125" s="147">
        <f t="shared" si="5"/>
        <v>16.324999999999999</v>
      </c>
      <c r="C125" s="152">
        <v>4.8</v>
      </c>
      <c r="D125" s="152">
        <v>23.81</v>
      </c>
      <c r="E125" s="152">
        <v>34.880000000000003</v>
      </c>
      <c r="F125" s="152">
        <v>9.3800000000000008</v>
      </c>
      <c r="G125" s="152">
        <v>52.79</v>
      </c>
      <c r="H125" s="152">
        <v>5.77</v>
      </c>
      <c r="I125" s="152">
        <v>0.96</v>
      </c>
      <c r="J125" s="152">
        <v>2.63</v>
      </c>
      <c r="K125" s="152">
        <v>25</v>
      </c>
      <c r="L125" s="152">
        <v>3.23</v>
      </c>
    </row>
    <row r="127" spans="1:12">
      <c r="A127" s="10" t="s">
        <v>371</v>
      </c>
    </row>
  </sheetData>
  <mergeCells count="1">
    <mergeCell ref="C3:H3"/>
  </mergeCell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4"/>
  <sheetViews>
    <sheetView topLeftCell="A2" zoomScale="85" zoomScaleNormal="78" workbookViewId="0">
      <selection activeCell="B39" sqref="B39"/>
    </sheetView>
  </sheetViews>
  <sheetFormatPr defaultColWidth="11.42578125" defaultRowHeight="15"/>
  <cols>
    <col min="2" max="2" width="6.85546875" customWidth="1"/>
    <col min="6" max="6" width="6.85546875" customWidth="1"/>
    <col min="10" max="10" width="6.85546875" customWidth="1"/>
    <col min="14" max="14" width="6.85546875" customWidth="1"/>
    <col min="18" max="18" width="6.85546875" customWidth="1"/>
    <col min="23" max="23" width="6.85546875" customWidth="1"/>
    <col min="27" max="27" width="6.85546875" customWidth="1"/>
    <col min="31" max="31" width="6.85546875" customWidth="1"/>
    <col min="35" max="35" width="6.85546875" customWidth="1"/>
    <col min="39" max="39" width="6.85546875" customWidth="1"/>
  </cols>
  <sheetData>
    <row r="1" spans="2:41" ht="15.75" thickBot="1"/>
    <row r="2" spans="2:41">
      <c r="B2" s="593" t="s">
        <v>272</v>
      </c>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5"/>
    </row>
    <row r="3" spans="2:41" ht="15.75" thickBot="1">
      <c r="B3" s="596"/>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8"/>
    </row>
    <row r="6" spans="2:41">
      <c r="M6" s="588" t="s">
        <v>400</v>
      </c>
      <c r="N6" s="589"/>
      <c r="O6" s="589"/>
      <c r="P6" s="589"/>
      <c r="Q6" s="589"/>
      <c r="R6" s="589"/>
      <c r="S6" s="216"/>
      <c r="X6" s="590" t="s">
        <v>401</v>
      </c>
      <c r="Y6" s="591"/>
      <c r="Z6" s="591"/>
      <c r="AA6" s="591"/>
      <c r="AB6" s="591"/>
      <c r="AC6" s="592"/>
    </row>
    <row r="9" spans="2:41">
      <c r="B9" s="600" t="s">
        <v>402</v>
      </c>
      <c r="C9" s="600"/>
      <c r="D9" s="600"/>
      <c r="E9" s="600"/>
      <c r="F9" s="600"/>
      <c r="G9" s="600"/>
      <c r="H9" s="600"/>
      <c r="I9" s="600"/>
      <c r="J9" s="600"/>
      <c r="K9" s="600"/>
      <c r="L9" s="600"/>
      <c r="M9" s="600"/>
      <c r="N9" s="600"/>
      <c r="O9" s="600"/>
      <c r="P9" s="600"/>
      <c r="Q9" s="600"/>
      <c r="R9" s="600"/>
      <c r="S9" s="600"/>
      <c r="T9" s="600"/>
      <c r="W9" s="600" t="s">
        <v>403</v>
      </c>
      <c r="X9" s="600"/>
      <c r="Y9" s="600"/>
      <c r="Z9" s="600"/>
      <c r="AA9" s="600"/>
      <c r="AB9" s="600"/>
      <c r="AC9" s="600"/>
      <c r="AD9" s="600"/>
      <c r="AE9" s="600"/>
      <c r="AF9" s="600"/>
      <c r="AG9" s="600"/>
      <c r="AH9" s="600"/>
      <c r="AI9" s="600"/>
      <c r="AJ9" s="600"/>
      <c r="AK9" s="600"/>
      <c r="AL9" s="600"/>
      <c r="AM9" s="600"/>
      <c r="AN9" s="600"/>
      <c r="AO9" s="600"/>
    </row>
    <row r="10" spans="2:41">
      <c r="S10" s="4"/>
    </row>
    <row r="11" spans="2:41" ht="15.75" thickBot="1">
      <c r="B11" s="4"/>
      <c r="C11" s="599" t="s">
        <v>260</v>
      </c>
      <c r="D11" s="599"/>
      <c r="F11" s="4"/>
      <c r="G11" s="599" t="s">
        <v>261</v>
      </c>
      <c r="H11" s="599"/>
      <c r="J11" s="4"/>
      <c r="K11" s="599" t="s">
        <v>262</v>
      </c>
      <c r="L11" s="599"/>
      <c r="N11" s="4"/>
      <c r="O11" s="599" t="s">
        <v>263</v>
      </c>
      <c r="P11" s="599"/>
      <c r="R11" s="4"/>
      <c r="S11" s="599" t="s">
        <v>259</v>
      </c>
      <c r="T11" s="599"/>
      <c r="W11" s="4"/>
      <c r="X11" s="599" t="s">
        <v>260</v>
      </c>
      <c r="Y11" s="599"/>
      <c r="AA11" s="4"/>
      <c r="AB11" s="599" t="s">
        <v>261</v>
      </c>
      <c r="AC11" s="599"/>
      <c r="AE11" s="4"/>
      <c r="AF11" s="599" t="s">
        <v>262</v>
      </c>
      <c r="AG11" s="599"/>
      <c r="AI11" s="4"/>
      <c r="AJ11" s="599" t="s">
        <v>263</v>
      </c>
      <c r="AK11" s="599"/>
      <c r="AM11" s="4"/>
      <c r="AN11" s="599" t="s">
        <v>259</v>
      </c>
      <c r="AO11" s="599"/>
    </row>
    <row r="12" spans="2:41" ht="15.75" thickBot="1">
      <c r="B12" s="9"/>
      <c r="C12" s="110" t="s">
        <v>264</v>
      </c>
      <c r="D12" s="111" t="s">
        <v>265</v>
      </c>
      <c r="F12" s="9"/>
      <c r="G12" s="110" t="s">
        <v>264</v>
      </c>
      <c r="H12" s="111" t="s">
        <v>265</v>
      </c>
      <c r="J12" s="9"/>
      <c r="K12" s="110" t="s">
        <v>264</v>
      </c>
      <c r="L12" s="111" t="s">
        <v>265</v>
      </c>
      <c r="N12" s="9"/>
      <c r="O12" s="110" t="s">
        <v>264</v>
      </c>
      <c r="P12" s="111" t="s">
        <v>265</v>
      </c>
      <c r="R12" s="9"/>
      <c r="S12" s="110" t="s">
        <v>264</v>
      </c>
      <c r="T12" s="111" t="s">
        <v>265</v>
      </c>
      <c r="W12" s="9"/>
      <c r="X12" s="110" t="s">
        <v>264</v>
      </c>
      <c r="Y12" s="111" t="s">
        <v>265</v>
      </c>
      <c r="AA12" s="9"/>
      <c r="AB12" s="110" t="s">
        <v>264</v>
      </c>
      <c r="AC12" s="111" t="s">
        <v>265</v>
      </c>
      <c r="AE12" s="9"/>
      <c r="AF12" s="110" t="s">
        <v>264</v>
      </c>
      <c r="AG12" s="111" t="s">
        <v>265</v>
      </c>
      <c r="AI12" s="9"/>
      <c r="AJ12" s="110" t="s">
        <v>264</v>
      </c>
      <c r="AK12" s="111" t="s">
        <v>265</v>
      </c>
      <c r="AM12" s="9"/>
      <c r="AN12" s="110" t="s">
        <v>264</v>
      </c>
      <c r="AO12" s="111" t="s">
        <v>265</v>
      </c>
    </row>
    <row r="13" spans="2:41">
      <c r="B13" s="103">
        <v>0</v>
      </c>
      <c r="C13" s="101">
        <v>45</v>
      </c>
      <c r="D13" s="102">
        <v>45</v>
      </c>
      <c r="F13" s="103">
        <v>0</v>
      </c>
      <c r="G13" s="101">
        <v>45</v>
      </c>
      <c r="H13" s="102">
        <v>45</v>
      </c>
      <c r="J13" s="103">
        <v>0</v>
      </c>
      <c r="K13" s="101">
        <v>45</v>
      </c>
      <c r="L13" s="102">
        <v>45</v>
      </c>
      <c r="N13" s="103">
        <v>0</v>
      </c>
      <c r="O13" s="101">
        <v>45</v>
      </c>
      <c r="P13" s="102">
        <v>45</v>
      </c>
      <c r="R13" s="103">
        <v>0</v>
      </c>
      <c r="S13" s="101">
        <v>45</v>
      </c>
      <c r="T13" s="102">
        <v>45</v>
      </c>
      <c r="W13" s="103">
        <v>0</v>
      </c>
      <c r="X13" s="101">
        <v>40</v>
      </c>
      <c r="Y13" s="102">
        <v>40</v>
      </c>
      <c r="AA13" s="103">
        <v>0</v>
      </c>
      <c r="AB13" s="101">
        <v>40</v>
      </c>
      <c r="AC13" s="102">
        <v>40</v>
      </c>
      <c r="AE13" s="103">
        <v>0</v>
      </c>
      <c r="AF13" s="101">
        <v>40</v>
      </c>
      <c r="AG13" s="102">
        <v>40</v>
      </c>
      <c r="AI13" s="103">
        <v>0</v>
      </c>
      <c r="AJ13" s="101">
        <v>40</v>
      </c>
      <c r="AK13" s="102">
        <v>40</v>
      </c>
      <c r="AM13" s="103">
        <v>0</v>
      </c>
      <c r="AN13" s="101">
        <v>40</v>
      </c>
      <c r="AO13" s="102">
        <v>40</v>
      </c>
    </row>
    <row r="14" spans="2:41">
      <c r="B14" s="104">
        <v>4.1666666666666664E-2</v>
      </c>
      <c r="C14" s="96">
        <v>45</v>
      </c>
      <c r="D14" s="97">
        <v>45</v>
      </c>
      <c r="F14" s="104">
        <v>4.1666666666666664E-2</v>
      </c>
      <c r="G14" s="96">
        <v>45</v>
      </c>
      <c r="H14" s="97">
        <v>45</v>
      </c>
      <c r="J14" s="104">
        <v>4.1666666666666664E-2</v>
      </c>
      <c r="K14" s="96">
        <v>45</v>
      </c>
      <c r="L14" s="97">
        <v>45</v>
      </c>
      <c r="N14" s="104">
        <v>4.1666666666666664E-2</v>
      </c>
      <c r="O14" s="96">
        <v>45</v>
      </c>
      <c r="P14" s="97">
        <v>45</v>
      </c>
      <c r="R14" s="104">
        <v>4.1666666666666664E-2</v>
      </c>
      <c r="S14" s="96">
        <v>45</v>
      </c>
      <c r="T14" s="97">
        <v>45</v>
      </c>
      <c r="W14" s="104">
        <v>4.1666666666666664E-2</v>
      </c>
      <c r="X14" s="96">
        <v>40</v>
      </c>
      <c r="Y14" s="97">
        <v>40</v>
      </c>
      <c r="AA14" s="104">
        <v>4.1666666666666664E-2</v>
      </c>
      <c r="AB14" s="96">
        <v>40</v>
      </c>
      <c r="AC14" s="97">
        <v>40</v>
      </c>
      <c r="AE14" s="104">
        <v>4.1666666666666664E-2</v>
      </c>
      <c r="AF14" s="96">
        <v>45</v>
      </c>
      <c r="AG14" s="97">
        <v>45</v>
      </c>
      <c r="AI14" s="104">
        <v>4.1666666666666664E-2</v>
      </c>
      <c r="AJ14" s="96">
        <v>40</v>
      </c>
      <c r="AK14" s="97">
        <v>40</v>
      </c>
      <c r="AM14" s="104">
        <v>4.1666666666666664E-2</v>
      </c>
      <c r="AN14" s="96">
        <v>40</v>
      </c>
      <c r="AO14" s="97">
        <v>40</v>
      </c>
    </row>
    <row r="15" spans="2:41">
      <c r="B15" s="104">
        <v>8.3333333333333301E-2</v>
      </c>
      <c r="C15" s="96">
        <v>45</v>
      </c>
      <c r="D15" s="97">
        <v>45</v>
      </c>
      <c r="F15" s="104">
        <v>8.3333333333333301E-2</v>
      </c>
      <c r="G15" s="96">
        <v>45</v>
      </c>
      <c r="H15" s="97">
        <v>45</v>
      </c>
      <c r="J15" s="104">
        <v>8.3333333333333301E-2</v>
      </c>
      <c r="K15" s="96">
        <v>45</v>
      </c>
      <c r="L15" s="97">
        <v>45</v>
      </c>
      <c r="N15" s="104">
        <v>8.3333333333333301E-2</v>
      </c>
      <c r="O15" s="96">
        <v>45</v>
      </c>
      <c r="P15" s="97">
        <v>45</v>
      </c>
      <c r="R15" s="104">
        <v>8.3333333333333301E-2</v>
      </c>
      <c r="S15" s="96">
        <v>45</v>
      </c>
      <c r="T15" s="97">
        <v>45</v>
      </c>
      <c r="W15" s="104">
        <v>8.3333333333333301E-2</v>
      </c>
      <c r="X15" s="96">
        <v>40</v>
      </c>
      <c r="Y15" s="97">
        <v>40</v>
      </c>
      <c r="AA15" s="104">
        <v>8.3333333333333301E-2</v>
      </c>
      <c r="AB15" s="96">
        <v>40</v>
      </c>
      <c r="AC15" s="97">
        <v>40</v>
      </c>
      <c r="AE15" s="104">
        <v>8.3333333333333301E-2</v>
      </c>
      <c r="AF15" s="96">
        <v>45</v>
      </c>
      <c r="AG15" s="97">
        <v>45</v>
      </c>
      <c r="AI15" s="104">
        <v>8.3333333333333301E-2</v>
      </c>
      <c r="AJ15" s="96">
        <v>40</v>
      </c>
      <c r="AK15" s="97">
        <v>40</v>
      </c>
      <c r="AM15" s="104">
        <v>8.3333333333333301E-2</v>
      </c>
      <c r="AN15" s="96">
        <v>45</v>
      </c>
      <c r="AO15" s="97">
        <v>45</v>
      </c>
    </row>
    <row r="16" spans="2:41">
      <c r="B16" s="104">
        <v>0.125</v>
      </c>
      <c r="C16" s="96">
        <v>45</v>
      </c>
      <c r="D16" s="97">
        <v>45</v>
      </c>
      <c r="F16" s="104">
        <v>0.125</v>
      </c>
      <c r="G16" s="96">
        <v>45</v>
      </c>
      <c r="H16" s="97">
        <v>45</v>
      </c>
      <c r="J16" s="104">
        <v>0.125</v>
      </c>
      <c r="K16" s="96">
        <v>45</v>
      </c>
      <c r="L16" s="97">
        <v>45</v>
      </c>
      <c r="N16" s="104">
        <v>0.125</v>
      </c>
      <c r="O16" s="96">
        <v>45</v>
      </c>
      <c r="P16" s="97">
        <v>45</v>
      </c>
      <c r="R16" s="104">
        <v>0.125</v>
      </c>
      <c r="S16" s="96">
        <v>45</v>
      </c>
      <c r="T16" s="97">
        <v>45</v>
      </c>
      <c r="W16" s="104">
        <v>0.125</v>
      </c>
      <c r="X16" s="96">
        <v>40</v>
      </c>
      <c r="Y16" s="97">
        <v>40</v>
      </c>
      <c r="AA16" s="104">
        <v>0.125</v>
      </c>
      <c r="AB16" s="96">
        <v>40</v>
      </c>
      <c r="AC16" s="97">
        <v>40</v>
      </c>
      <c r="AE16" s="104">
        <v>0.125</v>
      </c>
      <c r="AF16" s="96">
        <v>40</v>
      </c>
      <c r="AG16" s="97">
        <v>40</v>
      </c>
      <c r="AI16" s="104">
        <v>0.125</v>
      </c>
      <c r="AJ16" s="96">
        <v>40</v>
      </c>
      <c r="AK16" s="97">
        <v>40</v>
      </c>
      <c r="AM16" s="104">
        <v>0.125</v>
      </c>
      <c r="AN16" s="96">
        <v>40</v>
      </c>
      <c r="AO16" s="97">
        <v>40</v>
      </c>
    </row>
    <row r="17" spans="2:41">
      <c r="B17" s="104">
        <v>0.16666666666666699</v>
      </c>
      <c r="C17" s="96">
        <v>45</v>
      </c>
      <c r="D17" s="97">
        <v>45</v>
      </c>
      <c r="F17" s="104">
        <v>0.16666666666666699</v>
      </c>
      <c r="G17" s="96">
        <v>45</v>
      </c>
      <c r="H17" s="97">
        <v>45</v>
      </c>
      <c r="J17" s="104">
        <v>0.16666666666666699</v>
      </c>
      <c r="K17" s="96">
        <v>45</v>
      </c>
      <c r="L17" s="97">
        <v>45</v>
      </c>
      <c r="N17" s="104">
        <v>0.16666666666666699</v>
      </c>
      <c r="O17" s="96">
        <v>45</v>
      </c>
      <c r="P17" s="97">
        <v>45</v>
      </c>
      <c r="R17" s="104">
        <v>0.16666666666666699</v>
      </c>
      <c r="S17" s="96">
        <v>45</v>
      </c>
      <c r="T17" s="97">
        <v>45</v>
      </c>
      <c r="W17" s="104">
        <v>0.16666666666666699</v>
      </c>
      <c r="X17" s="96">
        <v>40</v>
      </c>
      <c r="Y17" s="97">
        <v>40</v>
      </c>
      <c r="AA17" s="104">
        <v>0.16666666666666699</v>
      </c>
      <c r="AB17" s="96">
        <v>40</v>
      </c>
      <c r="AC17" s="97">
        <v>40</v>
      </c>
      <c r="AE17" s="104">
        <v>0.16666666666666699</v>
      </c>
      <c r="AF17" s="96">
        <v>40</v>
      </c>
      <c r="AG17" s="97">
        <v>40</v>
      </c>
      <c r="AI17" s="104">
        <v>0.16666666666666699</v>
      </c>
      <c r="AJ17" s="96">
        <v>45</v>
      </c>
      <c r="AK17" s="97">
        <v>45</v>
      </c>
      <c r="AM17" s="104">
        <v>0.16666666666666699</v>
      </c>
      <c r="AN17" s="96">
        <v>40</v>
      </c>
      <c r="AO17" s="97">
        <v>40</v>
      </c>
    </row>
    <row r="18" spans="2:41">
      <c r="B18" s="104">
        <v>0.20833333333333301</v>
      </c>
      <c r="C18" s="96">
        <v>45</v>
      </c>
      <c r="D18" s="97">
        <v>45</v>
      </c>
      <c r="F18" s="104">
        <v>0.20833333333333301</v>
      </c>
      <c r="G18" s="96">
        <v>40</v>
      </c>
      <c r="H18" s="97">
        <v>45</v>
      </c>
      <c r="J18" s="104">
        <v>0.20833333333333301</v>
      </c>
      <c r="K18" s="96">
        <v>45</v>
      </c>
      <c r="L18" s="97">
        <v>45</v>
      </c>
      <c r="N18" s="104">
        <v>0.20833333333333301</v>
      </c>
      <c r="O18" s="96">
        <v>45</v>
      </c>
      <c r="P18" s="97">
        <v>45</v>
      </c>
      <c r="R18" s="104">
        <v>0.20833333333333301</v>
      </c>
      <c r="S18" s="96">
        <v>40</v>
      </c>
      <c r="T18" s="97">
        <v>45</v>
      </c>
      <c r="W18" s="104">
        <v>0.20833333333333301</v>
      </c>
      <c r="X18" s="96">
        <v>35</v>
      </c>
      <c r="Y18" s="97">
        <v>45</v>
      </c>
      <c r="AA18" s="104">
        <v>0.20833333333333301</v>
      </c>
      <c r="AB18" s="96">
        <v>35</v>
      </c>
      <c r="AC18" s="97">
        <v>45</v>
      </c>
      <c r="AE18" s="104">
        <v>0.20833333333333301</v>
      </c>
      <c r="AF18" s="96">
        <v>35</v>
      </c>
      <c r="AG18" s="97">
        <v>45</v>
      </c>
      <c r="AI18" s="104">
        <v>0.20833333333333301</v>
      </c>
      <c r="AJ18" s="96">
        <v>35</v>
      </c>
      <c r="AK18" s="97">
        <v>45</v>
      </c>
      <c r="AM18" s="104">
        <v>0.20833333333333301</v>
      </c>
      <c r="AN18" s="96">
        <v>35</v>
      </c>
      <c r="AO18" s="97">
        <v>45</v>
      </c>
    </row>
    <row r="19" spans="2:41">
      <c r="B19" s="104">
        <v>0.25</v>
      </c>
      <c r="C19" s="96">
        <v>40</v>
      </c>
      <c r="D19" s="97">
        <v>50</v>
      </c>
      <c r="F19" s="104">
        <v>0.25</v>
      </c>
      <c r="G19" s="96">
        <v>40</v>
      </c>
      <c r="H19" s="97">
        <v>50</v>
      </c>
      <c r="J19" s="104">
        <v>0.25</v>
      </c>
      <c r="K19" s="96">
        <v>40</v>
      </c>
      <c r="L19" s="97">
        <v>50</v>
      </c>
      <c r="N19" s="104">
        <v>0.25</v>
      </c>
      <c r="O19" s="96">
        <v>40</v>
      </c>
      <c r="P19" s="97">
        <v>50</v>
      </c>
      <c r="R19" s="104">
        <v>0.25</v>
      </c>
      <c r="S19" s="96">
        <v>40</v>
      </c>
      <c r="T19" s="97">
        <v>50</v>
      </c>
      <c r="W19" s="104">
        <v>0.25</v>
      </c>
      <c r="X19" s="96">
        <v>40</v>
      </c>
      <c r="Y19" s="97">
        <v>60</v>
      </c>
      <c r="AA19" s="104">
        <v>0.25</v>
      </c>
      <c r="AB19" s="96">
        <v>40</v>
      </c>
      <c r="AC19" s="97">
        <v>60</v>
      </c>
      <c r="AE19" s="104">
        <v>0.25</v>
      </c>
      <c r="AF19" s="96">
        <v>40</v>
      </c>
      <c r="AG19" s="97">
        <v>55</v>
      </c>
      <c r="AI19" s="104">
        <v>0.25</v>
      </c>
      <c r="AJ19" s="96">
        <v>40</v>
      </c>
      <c r="AK19" s="97">
        <v>55</v>
      </c>
      <c r="AM19" s="104">
        <v>0.25</v>
      </c>
      <c r="AN19" s="96">
        <v>35</v>
      </c>
      <c r="AO19" s="97">
        <v>50</v>
      </c>
    </row>
    <row r="20" spans="2:41">
      <c r="B20" s="104">
        <v>0.29166666666666702</v>
      </c>
      <c r="C20" s="96">
        <v>40</v>
      </c>
      <c r="D20" s="97">
        <v>50</v>
      </c>
      <c r="F20" s="104">
        <v>0.29166666666666702</v>
      </c>
      <c r="G20" s="96">
        <v>40</v>
      </c>
      <c r="H20" s="97">
        <v>50</v>
      </c>
      <c r="J20" s="104">
        <v>0.29166666666666702</v>
      </c>
      <c r="K20" s="96">
        <v>40</v>
      </c>
      <c r="L20" s="97">
        <v>50</v>
      </c>
      <c r="N20" s="104">
        <v>0.29166666666666702</v>
      </c>
      <c r="O20" s="96">
        <v>40</v>
      </c>
      <c r="P20" s="97">
        <v>50</v>
      </c>
      <c r="R20" s="104">
        <v>0.29166666666666702</v>
      </c>
      <c r="S20" s="96">
        <v>40</v>
      </c>
      <c r="T20" s="97">
        <v>50</v>
      </c>
      <c r="W20" s="104">
        <v>0.29166666666666702</v>
      </c>
      <c r="X20" s="96">
        <v>45</v>
      </c>
      <c r="Y20" s="97">
        <v>100</v>
      </c>
      <c r="AA20" s="104">
        <v>0.29166666666666702</v>
      </c>
      <c r="AB20" s="96">
        <v>45</v>
      </c>
      <c r="AC20" s="97">
        <v>85</v>
      </c>
      <c r="AE20" s="104">
        <v>0.29166666666666702</v>
      </c>
      <c r="AF20" s="96">
        <v>45</v>
      </c>
      <c r="AG20" s="97">
        <v>80</v>
      </c>
      <c r="AI20" s="104">
        <v>0.29166666666666702</v>
      </c>
      <c r="AJ20" s="96">
        <v>45</v>
      </c>
      <c r="AK20" s="97">
        <v>75</v>
      </c>
      <c r="AM20" s="104">
        <v>0.29166666666666702</v>
      </c>
      <c r="AN20" s="96">
        <v>40</v>
      </c>
      <c r="AO20" s="97">
        <v>50</v>
      </c>
    </row>
    <row r="21" spans="2:41">
      <c r="B21" s="104">
        <v>0.33333333333333298</v>
      </c>
      <c r="C21" s="96">
        <v>40</v>
      </c>
      <c r="D21" s="97">
        <v>50</v>
      </c>
      <c r="F21" s="104">
        <v>0.33333333333333298</v>
      </c>
      <c r="G21" s="96">
        <v>40</v>
      </c>
      <c r="H21" s="97">
        <v>55</v>
      </c>
      <c r="J21" s="104">
        <v>0.33333333333333298</v>
      </c>
      <c r="K21" s="96">
        <v>40</v>
      </c>
      <c r="L21" s="97">
        <v>55</v>
      </c>
      <c r="N21" s="104">
        <v>0.33333333333333298</v>
      </c>
      <c r="O21" s="96">
        <v>40</v>
      </c>
      <c r="P21" s="97">
        <v>55</v>
      </c>
      <c r="R21" s="104">
        <v>0.33333333333333298</v>
      </c>
      <c r="S21" s="96">
        <v>40</v>
      </c>
      <c r="T21" s="97">
        <v>50</v>
      </c>
      <c r="W21" s="104">
        <v>0.33333333333333298</v>
      </c>
      <c r="X21" s="96">
        <v>55</v>
      </c>
      <c r="Y21" s="97">
        <v>100</v>
      </c>
      <c r="AA21" s="104">
        <v>0.33333333333333298</v>
      </c>
      <c r="AB21" s="96">
        <v>55</v>
      </c>
      <c r="AC21" s="97">
        <v>100</v>
      </c>
      <c r="AE21" s="104">
        <v>0.33333333333333298</v>
      </c>
      <c r="AF21" s="96">
        <v>50</v>
      </c>
      <c r="AG21" s="97">
        <v>100</v>
      </c>
      <c r="AI21" s="104">
        <v>0.33333333333333298</v>
      </c>
      <c r="AJ21" s="96">
        <v>50</v>
      </c>
      <c r="AK21" s="97">
        <v>90</v>
      </c>
      <c r="AM21" s="104">
        <v>0.33333333333333298</v>
      </c>
      <c r="AN21" s="96">
        <v>45</v>
      </c>
      <c r="AO21" s="97">
        <v>70</v>
      </c>
    </row>
    <row r="22" spans="2:41">
      <c r="B22" s="104">
        <v>0.375</v>
      </c>
      <c r="C22" s="96">
        <v>40</v>
      </c>
      <c r="D22" s="97">
        <v>55</v>
      </c>
      <c r="F22" s="104">
        <v>0.375</v>
      </c>
      <c r="G22" s="96">
        <v>40</v>
      </c>
      <c r="H22" s="97">
        <v>55</v>
      </c>
      <c r="J22" s="104">
        <v>0.375</v>
      </c>
      <c r="K22" s="96">
        <v>40</v>
      </c>
      <c r="L22" s="97">
        <v>55</v>
      </c>
      <c r="N22" s="104">
        <v>0.375</v>
      </c>
      <c r="O22" s="96">
        <v>40</v>
      </c>
      <c r="P22" s="97">
        <v>55</v>
      </c>
      <c r="R22" s="104">
        <v>0.375</v>
      </c>
      <c r="S22" s="96">
        <v>40</v>
      </c>
      <c r="T22" s="97">
        <v>50</v>
      </c>
      <c r="W22" s="104">
        <v>0.375</v>
      </c>
      <c r="X22" s="96">
        <v>40</v>
      </c>
      <c r="Y22" s="97">
        <v>60</v>
      </c>
      <c r="AA22" s="104">
        <v>0.375</v>
      </c>
      <c r="AB22" s="96">
        <v>40</v>
      </c>
      <c r="AC22" s="97">
        <v>60</v>
      </c>
      <c r="AE22" s="104">
        <v>0.375</v>
      </c>
      <c r="AF22" s="96">
        <v>40</v>
      </c>
      <c r="AG22" s="97">
        <v>60</v>
      </c>
      <c r="AI22" s="104">
        <v>0.375</v>
      </c>
      <c r="AJ22" s="96">
        <v>40</v>
      </c>
      <c r="AK22" s="97">
        <v>60</v>
      </c>
      <c r="AM22" s="104">
        <v>0.375</v>
      </c>
      <c r="AN22" s="96">
        <v>35</v>
      </c>
      <c r="AO22" s="97">
        <v>50</v>
      </c>
    </row>
    <row r="23" spans="2:41">
      <c r="B23" s="104">
        <v>0.41666666666666702</v>
      </c>
      <c r="C23" s="96">
        <v>40</v>
      </c>
      <c r="D23" s="97">
        <v>50</v>
      </c>
      <c r="F23" s="104">
        <v>0.41666666666666702</v>
      </c>
      <c r="G23" s="96">
        <v>40</v>
      </c>
      <c r="H23" s="97">
        <v>50</v>
      </c>
      <c r="J23" s="104">
        <v>0.41666666666666702</v>
      </c>
      <c r="K23" s="96">
        <v>40</v>
      </c>
      <c r="L23" s="97">
        <v>50</v>
      </c>
      <c r="N23" s="104">
        <v>0.41666666666666702</v>
      </c>
      <c r="O23" s="96">
        <v>40</v>
      </c>
      <c r="P23" s="97">
        <v>50</v>
      </c>
      <c r="R23" s="104">
        <v>0.41666666666666702</v>
      </c>
      <c r="S23" s="96">
        <v>40</v>
      </c>
      <c r="T23" s="97">
        <v>50</v>
      </c>
      <c r="W23" s="104">
        <v>0.41666666666666702</v>
      </c>
      <c r="X23" s="96">
        <v>40</v>
      </c>
      <c r="Y23" s="97">
        <v>50</v>
      </c>
      <c r="AA23" s="104">
        <v>0.41666666666666702</v>
      </c>
      <c r="AB23" s="96">
        <v>40</v>
      </c>
      <c r="AC23" s="97">
        <v>50</v>
      </c>
      <c r="AE23" s="104">
        <v>0.41666666666666702</v>
      </c>
      <c r="AF23" s="96">
        <v>40</v>
      </c>
      <c r="AG23" s="97">
        <v>50</v>
      </c>
      <c r="AI23" s="104">
        <v>0.41666666666666702</v>
      </c>
      <c r="AJ23" s="96">
        <v>40</v>
      </c>
      <c r="AK23" s="97">
        <v>50</v>
      </c>
      <c r="AM23" s="104">
        <v>0.41666666666666702</v>
      </c>
      <c r="AN23" s="96">
        <v>40</v>
      </c>
      <c r="AO23" s="97">
        <v>50</v>
      </c>
    </row>
    <row r="24" spans="2:41">
      <c r="B24" s="104">
        <v>0.45833333333333298</v>
      </c>
      <c r="C24" s="96">
        <v>40</v>
      </c>
      <c r="D24" s="97">
        <v>50</v>
      </c>
      <c r="F24" s="104">
        <v>0.45833333333333298</v>
      </c>
      <c r="G24" s="96">
        <v>40</v>
      </c>
      <c r="H24" s="97">
        <v>50</v>
      </c>
      <c r="J24" s="104">
        <v>0.45833333333333298</v>
      </c>
      <c r="K24" s="96">
        <v>40</v>
      </c>
      <c r="L24" s="97">
        <v>50</v>
      </c>
      <c r="N24" s="104">
        <v>0.45833333333333298</v>
      </c>
      <c r="O24" s="96">
        <v>40</v>
      </c>
      <c r="P24" s="97">
        <v>50</v>
      </c>
      <c r="R24" s="104">
        <v>0.45833333333333298</v>
      </c>
      <c r="S24" s="96">
        <v>40</v>
      </c>
      <c r="T24" s="97">
        <v>50</v>
      </c>
      <c r="W24" s="104">
        <v>0.45833333333333298</v>
      </c>
      <c r="X24" s="96">
        <v>40</v>
      </c>
      <c r="Y24" s="97">
        <v>50</v>
      </c>
      <c r="AA24" s="104">
        <v>0.45833333333333298</v>
      </c>
      <c r="AB24" s="96">
        <v>40</v>
      </c>
      <c r="AC24" s="97">
        <v>50</v>
      </c>
      <c r="AE24" s="104">
        <v>0.45833333333333298</v>
      </c>
      <c r="AF24" s="96">
        <v>40</v>
      </c>
      <c r="AG24" s="97">
        <v>50</v>
      </c>
      <c r="AI24" s="104">
        <v>0.45833333333333298</v>
      </c>
      <c r="AJ24" s="96">
        <v>40</v>
      </c>
      <c r="AK24" s="97">
        <v>50</v>
      </c>
      <c r="AM24" s="104">
        <v>0.45833333333333298</v>
      </c>
      <c r="AN24" s="96">
        <v>40</v>
      </c>
      <c r="AO24" s="97">
        <v>50</v>
      </c>
    </row>
    <row r="25" spans="2:41">
      <c r="B25" s="104">
        <v>0.5</v>
      </c>
      <c r="C25" s="96">
        <v>40</v>
      </c>
      <c r="D25" s="97">
        <v>50</v>
      </c>
      <c r="F25" s="104">
        <v>0.5</v>
      </c>
      <c r="G25" s="96">
        <v>40</v>
      </c>
      <c r="H25" s="97">
        <v>50</v>
      </c>
      <c r="J25" s="104">
        <v>0.5</v>
      </c>
      <c r="K25" s="96">
        <v>40</v>
      </c>
      <c r="L25" s="97">
        <v>50</v>
      </c>
      <c r="N25" s="104">
        <v>0.5</v>
      </c>
      <c r="O25" s="96">
        <v>40</v>
      </c>
      <c r="P25" s="97">
        <v>50</v>
      </c>
      <c r="R25" s="104">
        <v>0.5</v>
      </c>
      <c r="S25" s="96">
        <v>40</v>
      </c>
      <c r="T25" s="97">
        <v>50</v>
      </c>
      <c r="W25" s="104">
        <v>0.5</v>
      </c>
      <c r="X25" s="96">
        <v>40</v>
      </c>
      <c r="Y25" s="97">
        <v>50</v>
      </c>
      <c r="AA25" s="104">
        <v>0.5</v>
      </c>
      <c r="AB25" s="96">
        <v>40</v>
      </c>
      <c r="AC25" s="97">
        <v>50</v>
      </c>
      <c r="AE25" s="104">
        <v>0.5</v>
      </c>
      <c r="AF25" s="96">
        <v>40</v>
      </c>
      <c r="AG25" s="97">
        <v>50</v>
      </c>
      <c r="AI25" s="104">
        <v>0.5</v>
      </c>
      <c r="AJ25" s="96">
        <v>35</v>
      </c>
      <c r="AK25" s="97">
        <v>50</v>
      </c>
      <c r="AM25" s="104">
        <v>0.5</v>
      </c>
      <c r="AN25" s="96">
        <v>35</v>
      </c>
      <c r="AO25" s="97">
        <v>50</v>
      </c>
    </row>
    <row r="26" spans="2:41">
      <c r="B26" s="104">
        <v>0.54166666666666696</v>
      </c>
      <c r="C26" s="96">
        <v>40</v>
      </c>
      <c r="D26" s="97">
        <v>50</v>
      </c>
      <c r="F26" s="104">
        <v>0.54166666666666696</v>
      </c>
      <c r="G26" s="96">
        <v>40</v>
      </c>
      <c r="H26" s="97">
        <v>50</v>
      </c>
      <c r="J26" s="104">
        <v>0.54166666666666696</v>
      </c>
      <c r="K26" s="96">
        <v>40</v>
      </c>
      <c r="L26" s="97">
        <v>55</v>
      </c>
      <c r="N26" s="104">
        <v>0.54166666666666696</v>
      </c>
      <c r="O26" s="96">
        <v>40</v>
      </c>
      <c r="P26" s="97">
        <v>50</v>
      </c>
      <c r="R26" s="104">
        <v>0.54166666666666696</v>
      </c>
      <c r="S26" s="96">
        <v>40</v>
      </c>
      <c r="T26" s="97">
        <v>55</v>
      </c>
      <c r="W26" s="104">
        <v>0.54166666666666696</v>
      </c>
      <c r="X26" s="96">
        <v>40</v>
      </c>
      <c r="Y26" s="97">
        <v>50</v>
      </c>
      <c r="AA26" s="104">
        <v>0.54166666666666696</v>
      </c>
      <c r="AB26" s="96">
        <v>35</v>
      </c>
      <c r="AC26" s="97">
        <v>50</v>
      </c>
      <c r="AE26" s="104">
        <v>0.54166666666666696</v>
      </c>
      <c r="AF26" s="96">
        <v>40</v>
      </c>
      <c r="AG26" s="97">
        <v>50</v>
      </c>
      <c r="AI26" s="104">
        <v>0.54166666666666696</v>
      </c>
      <c r="AJ26" s="96">
        <v>40</v>
      </c>
      <c r="AK26" s="97">
        <v>50</v>
      </c>
      <c r="AM26" s="104">
        <v>0.54166666666666696</v>
      </c>
      <c r="AN26" s="96">
        <v>35</v>
      </c>
      <c r="AO26" s="97">
        <v>50</v>
      </c>
    </row>
    <row r="27" spans="2:41">
      <c r="B27" s="104">
        <v>0.58333333333333304</v>
      </c>
      <c r="C27" s="96">
        <v>40</v>
      </c>
      <c r="D27" s="97">
        <v>50</v>
      </c>
      <c r="F27" s="104">
        <v>0.58333333333333304</v>
      </c>
      <c r="G27" s="96">
        <v>40</v>
      </c>
      <c r="H27" s="97">
        <v>50</v>
      </c>
      <c r="J27" s="104">
        <v>0.58333333333333304</v>
      </c>
      <c r="K27" s="96">
        <v>40</v>
      </c>
      <c r="L27" s="97">
        <v>50</v>
      </c>
      <c r="N27" s="104">
        <v>0.58333333333333304</v>
      </c>
      <c r="O27" s="96">
        <v>40</v>
      </c>
      <c r="P27" s="97">
        <v>55</v>
      </c>
      <c r="R27" s="104">
        <v>0.58333333333333304</v>
      </c>
      <c r="S27" s="96">
        <v>40</v>
      </c>
      <c r="T27" s="97">
        <v>60</v>
      </c>
      <c r="W27" s="104">
        <v>0.58333333333333304</v>
      </c>
      <c r="X27" s="96">
        <v>40</v>
      </c>
      <c r="Y27" s="97">
        <v>50</v>
      </c>
      <c r="AA27" s="104">
        <v>0.58333333333333304</v>
      </c>
      <c r="AB27" s="96">
        <v>40</v>
      </c>
      <c r="AC27" s="97">
        <v>50</v>
      </c>
      <c r="AE27" s="104">
        <v>0.58333333333333304</v>
      </c>
      <c r="AF27" s="96">
        <v>40</v>
      </c>
      <c r="AG27" s="97">
        <v>50</v>
      </c>
      <c r="AI27" s="104">
        <v>0.58333333333333304</v>
      </c>
      <c r="AJ27" s="96">
        <v>40</v>
      </c>
      <c r="AK27" s="97">
        <v>55</v>
      </c>
      <c r="AM27" s="104">
        <v>0.58333333333333304</v>
      </c>
      <c r="AN27" s="96">
        <v>40</v>
      </c>
      <c r="AO27" s="97">
        <v>50</v>
      </c>
    </row>
    <row r="28" spans="2:41">
      <c r="B28" s="104">
        <v>0.625</v>
      </c>
      <c r="C28" s="96">
        <v>45</v>
      </c>
      <c r="D28" s="97">
        <v>65</v>
      </c>
      <c r="F28" s="104">
        <v>0.625</v>
      </c>
      <c r="G28" s="96">
        <v>45</v>
      </c>
      <c r="H28" s="97">
        <v>65</v>
      </c>
      <c r="J28" s="104">
        <v>0.625</v>
      </c>
      <c r="K28" s="96">
        <v>45</v>
      </c>
      <c r="L28" s="97">
        <v>65</v>
      </c>
      <c r="N28" s="104">
        <v>0.625</v>
      </c>
      <c r="O28" s="96">
        <v>45</v>
      </c>
      <c r="P28" s="97">
        <v>80</v>
      </c>
      <c r="R28" s="104">
        <v>0.625</v>
      </c>
      <c r="S28" s="96">
        <v>55</v>
      </c>
      <c r="T28" s="97">
        <v>100</v>
      </c>
      <c r="W28" s="104">
        <v>0.625</v>
      </c>
      <c r="X28" s="96">
        <v>40</v>
      </c>
      <c r="Y28" s="97">
        <v>50</v>
      </c>
      <c r="AA28" s="104">
        <v>0.625</v>
      </c>
      <c r="AB28" s="96">
        <v>40</v>
      </c>
      <c r="AC28" s="97">
        <v>50</v>
      </c>
      <c r="AE28" s="104">
        <v>0.625</v>
      </c>
      <c r="AF28" s="96">
        <v>40</v>
      </c>
      <c r="AG28" s="97">
        <v>50</v>
      </c>
      <c r="AI28" s="104">
        <v>0.625</v>
      </c>
      <c r="AJ28" s="96">
        <v>40</v>
      </c>
      <c r="AK28" s="97">
        <v>55</v>
      </c>
      <c r="AM28" s="104">
        <v>0.625</v>
      </c>
      <c r="AN28" s="96">
        <v>35</v>
      </c>
      <c r="AO28" s="97">
        <v>50</v>
      </c>
    </row>
    <row r="29" spans="2:41">
      <c r="B29" s="104">
        <v>0.66666666666666696</v>
      </c>
      <c r="C29" s="96">
        <v>50</v>
      </c>
      <c r="D29" s="97">
        <v>70</v>
      </c>
      <c r="F29" s="104">
        <v>0.66666666666666696</v>
      </c>
      <c r="G29" s="96">
        <v>45</v>
      </c>
      <c r="H29" s="97">
        <v>70</v>
      </c>
      <c r="J29" s="104">
        <v>0.66666666666666696</v>
      </c>
      <c r="K29" s="96">
        <v>50</v>
      </c>
      <c r="L29" s="97">
        <v>75</v>
      </c>
      <c r="N29" s="104">
        <v>0.66666666666666696</v>
      </c>
      <c r="O29" s="96">
        <v>55</v>
      </c>
      <c r="P29" s="97">
        <v>85</v>
      </c>
      <c r="R29" s="104">
        <v>0.66666666666666696</v>
      </c>
      <c r="S29" s="96">
        <v>55</v>
      </c>
      <c r="T29" s="97">
        <v>85</v>
      </c>
      <c r="W29" s="104">
        <v>0.66666666666666696</v>
      </c>
      <c r="X29" s="96">
        <v>40</v>
      </c>
      <c r="Y29" s="97">
        <v>50</v>
      </c>
      <c r="AA29" s="104">
        <v>0.66666666666666696</v>
      </c>
      <c r="AB29" s="96">
        <v>40</v>
      </c>
      <c r="AC29" s="97">
        <v>50</v>
      </c>
      <c r="AE29" s="104">
        <v>0.66666666666666696</v>
      </c>
      <c r="AF29" s="96">
        <v>40</v>
      </c>
      <c r="AG29" s="97">
        <v>50</v>
      </c>
      <c r="AI29" s="104">
        <v>0.66666666666666696</v>
      </c>
      <c r="AJ29" s="96">
        <v>40</v>
      </c>
      <c r="AK29" s="97">
        <v>50</v>
      </c>
      <c r="AM29" s="104">
        <v>0.66666666666666696</v>
      </c>
      <c r="AN29" s="96">
        <v>35</v>
      </c>
      <c r="AO29" s="97">
        <v>50</v>
      </c>
    </row>
    <row r="30" spans="2:41">
      <c r="B30" s="104">
        <v>0.70833333333333304</v>
      </c>
      <c r="C30" s="96">
        <v>40</v>
      </c>
      <c r="D30" s="97">
        <v>55</v>
      </c>
      <c r="F30" s="104">
        <v>0.70833333333333304</v>
      </c>
      <c r="G30" s="96">
        <v>40</v>
      </c>
      <c r="H30" s="97">
        <v>55</v>
      </c>
      <c r="J30" s="104">
        <v>0.70833333333333304</v>
      </c>
      <c r="K30" s="96">
        <v>40</v>
      </c>
      <c r="L30" s="97">
        <v>60</v>
      </c>
      <c r="N30" s="104">
        <v>0.70833333333333304</v>
      </c>
      <c r="O30" s="96">
        <v>45</v>
      </c>
      <c r="P30" s="97">
        <v>65</v>
      </c>
      <c r="R30" s="104">
        <v>0.70833333333333304</v>
      </c>
      <c r="S30" s="96">
        <v>45</v>
      </c>
      <c r="T30" s="97">
        <v>60</v>
      </c>
      <c r="W30" s="104">
        <v>0.70833333333333304</v>
      </c>
      <c r="X30" s="96">
        <v>35</v>
      </c>
      <c r="Y30" s="97">
        <v>50</v>
      </c>
      <c r="AA30" s="104">
        <v>0.70833333333333304</v>
      </c>
      <c r="AB30" s="96">
        <v>40</v>
      </c>
      <c r="AC30" s="97">
        <v>50</v>
      </c>
      <c r="AE30" s="104">
        <v>0.70833333333333304</v>
      </c>
      <c r="AF30" s="96">
        <v>35</v>
      </c>
      <c r="AG30" s="97">
        <v>50</v>
      </c>
      <c r="AI30" s="104">
        <v>0.70833333333333304</v>
      </c>
      <c r="AJ30" s="96">
        <v>40</v>
      </c>
      <c r="AK30" s="97">
        <v>50</v>
      </c>
      <c r="AM30" s="104">
        <v>0.70833333333333304</v>
      </c>
      <c r="AN30" s="96">
        <v>35</v>
      </c>
      <c r="AO30" s="97">
        <v>50</v>
      </c>
    </row>
    <row r="31" spans="2:41">
      <c r="B31" s="104">
        <v>0.75</v>
      </c>
      <c r="C31" s="96">
        <v>40</v>
      </c>
      <c r="D31" s="97">
        <v>50</v>
      </c>
      <c r="F31" s="104">
        <v>0.75</v>
      </c>
      <c r="G31" s="96">
        <v>40</v>
      </c>
      <c r="H31" s="97">
        <v>50</v>
      </c>
      <c r="J31" s="104">
        <v>0.75</v>
      </c>
      <c r="K31" s="96">
        <v>40</v>
      </c>
      <c r="L31" s="97">
        <v>50</v>
      </c>
      <c r="N31" s="104">
        <v>0.75</v>
      </c>
      <c r="O31" s="96">
        <v>40</v>
      </c>
      <c r="P31" s="97">
        <v>55</v>
      </c>
      <c r="R31" s="104">
        <v>0.75</v>
      </c>
      <c r="S31" s="96">
        <v>40</v>
      </c>
      <c r="T31" s="97">
        <v>55</v>
      </c>
      <c r="W31" s="104">
        <v>0.75</v>
      </c>
      <c r="X31" s="96">
        <v>35</v>
      </c>
      <c r="Y31" s="97">
        <v>50</v>
      </c>
      <c r="AA31" s="104">
        <v>0.75</v>
      </c>
      <c r="AB31" s="96">
        <v>35</v>
      </c>
      <c r="AC31" s="97">
        <v>50</v>
      </c>
      <c r="AE31" s="104">
        <v>0.75</v>
      </c>
      <c r="AF31" s="96">
        <v>35</v>
      </c>
      <c r="AG31" s="97">
        <v>50</v>
      </c>
      <c r="AI31" s="104">
        <v>0.75</v>
      </c>
      <c r="AJ31" s="96">
        <v>40</v>
      </c>
      <c r="AK31" s="97">
        <v>50</v>
      </c>
      <c r="AM31" s="104">
        <v>0.75</v>
      </c>
      <c r="AN31" s="96">
        <v>35</v>
      </c>
      <c r="AO31" s="97">
        <v>50</v>
      </c>
    </row>
    <row r="32" spans="2:41">
      <c r="B32" s="104">
        <v>0.79166666666666696</v>
      </c>
      <c r="C32" s="96">
        <v>40</v>
      </c>
      <c r="D32" s="97">
        <v>50</v>
      </c>
      <c r="F32" s="104">
        <v>0.79166666666666696</v>
      </c>
      <c r="G32" s="96">
        <v>40</v>
      </c>
      <c r="H32" s="97">
        <v>50</v>
      </c>
      <c r="J32" s="104">
        <v>0.79166666666666696</v>
      </c>
      <c r="K32" s="96">
        <v>40</v>
      </c>
      <c r="L32" s="97">
        <v>50</v>
      </c>
      <c r="N32" s="104">
        <v>0.79166666666666696</v>
      </c>
      <c r="O32" s="96">
        <v>40</v>
      </c>
      <c r="P32" s="97">
        <v>50</v>
      </c>
      <c r="R32" s="104">
        <v>0.79166666666666696</v>
      </c>
      <c r="S32" s="96">
        <v>40</v>
      </c>
      <c r="T32" s="97">
        <v>50</v>
      </c>
      <c r="W32" s="104">
        <v>0.79166666666666696</v>
      </c>
      <c r="X32" s="96">
        <v>35</v>
      </c>
      <c r="Y32" s="97">
        <v>45</v>
      </c>
      <c r="AA32" s="104">
        <v>0.79166666666666696</v>
      </c>
      <c r="AB32" s="96">
        <v>35</v>
      </c>
      <c r="AC32" s="97">
        <v>50</v>
      </c>
      <c r="AE32" s="104">
        <v>0.79166666666666696</v>
      </c>
      <c r="AF32" s="96">
        <v>35</v>
      </c>
      <c r="AG32" s="97">
        <v>50</v>
      </c>
      <c r="AI32" s="104">
        <v>0.79166666666666696</v>
      </c>
      <c r="AJ32" s="96">
        <v>35</v>
      </c>
      <c r="AK32" s="97">
        <v>50</v>
      </c>
      <c r="AM32" s="104">
        <v>0.79166666666666696</v>
      </c>
      <c r="AN32" s="96">
        <v>35</v>
      </c>
      <c r="AO32" s="97">
        <v>45</v>
      </c>
    </row>
    <row r="33" spans="1:41">
      <c r="B33" s="104">
        <v>0.83333333333333304</v>
      </c>
      <c r="C33" s="96">
        <v>40</v>
      </c>
      <c r="D33" s="97">
        <v>50</v>
      </c>
      <c r="F33" s="104">
        <v>0.83333333333333304</v>
      </c>
      <c r="G33" s="96">
        <v>40</v>
      </c>
      <c r="H33" s="97">
        <v>50</v>
      </c>
      <c r="J33" s="104">
        <v>0.83333333333333304</v>
      </c>
      <c r="K33" s="96">
        <v>40</v>
      </c>
      <c r="L33" s="97">
        <v>50</v>
      </c>
      <c r="N33" s="104">
        <v>0.83333333333333304</v>
      </c>
      <c r="O33" s="96">
        <v>40</v>
      </c>
      <c r="P33" s="97">
        <v>50</v>
      </c>
      <c r="R33" s="104">
        <v>0.83333333333333304</v>
      </c>
      <c r="S33" s="96">
        <v>40</v>
      </c>
      <c r="T33" s="97">
        <v>50</v>
      </c>
      <c r="W33" s="104">
        <v>0.83333333333333304</v>
      </c>
      <c r="X33" s="96">
        <v>35</v>
      </c>
      <c r="Y33" s="97">
        <v>50</v>
      </c>
      <c r="AA33" s="104">
        <v>0.83333333333333304</v>
      </c>
      <c r="AB33" s="96">
        <v>35</v>
      </c>
      <c r="AC33" s="97">
        <v>50</v>
      </c>
      <c r="AE33" s="104">
        <v>0.83333333333333304</v>
      </c>
      <c r="AF33" s="96">
        <v>40</v>
      </c>
      <c r="AG33" s="97">
        <v>45</v>
      </c>
      <c r="AI33" s="104">
        <v>0.83333333333333304</v>
      </c>
      <c r="AJ33" s="96">
        <v>40</v>
      </c>
      <c r="AK33" s="97">
        <v>50</v>
      </c>
      <c r="AM33" s="104">
        <v>0.83333333333333304</v>
      </c>
      <c r="AN33" s="96">
        <v>35</v>
      </c>
      <c r="AO33" s="97">
        <v>45</v>
      </c>
    </row>
    <row r="34" spans="1:41">
      <c r="B34" s="104">
        <v>0.875</v>
      </c>
      <c r="C34" s="96">
        <v>40</v>
      </c>
      <c r="D34" s="97">
        <v>50</v>
      </c>
      <c r="F34" s="104">
        <v>0.875</v>
      </c>
      <c r="G34" s="96">
        <v>40</v>
      </c>
      <c r="H34" s="97">
        <v>50</v>
      </c>
      <c r="J34" s="104">
        <v>0.875</v>
      </c>
      <c r="K34" s="96">
        <v>40</v>
      </c>
      <c r="L34" s="97">
        <v>50</v>
      </c>
      <c r="N34" s="104">
        <v>0.875</v>
      </c>
      <c r="O34" s="96">
        <v>40</v>
      </c>
      <c r="P34" s="97">
        <v>50</v>
      </c>
      <c r="R34" s="104">
        <v>0.875</v>
      </c>
      <c r="S34" s="96">
        <v>40</v>
      </c>
      <c r="T34" s="97">
        <v>50</v>
      </c>
      <c r="W34" s="104">
        <v>0.875</v>
      </c>
      <c r="X34" s="96">
        <v>35</v>
      </c>
      <c r="Y34" s="97">
        <v>45</v>
      </c>
      <c r="AA34" s="104">
        <v>0.875</v>
      </c>
      <c r="AB34" s="96">
        <v>35</v>
      </c>
      <c r="AC34" s="97">
        <v>50</v>
      </c>
      <c r="AE34" s="104">
        <v>0.875</v>
      </c>
      <c r="AF34" s="96">
        <v>40</v>
      </c>
      <c r="AG34" s="97">
        <v>50</v>
      </c>
      <c r="AI34" s="104">
        <v>0.875</v>
      </c>
      <c r="AJ34" s="96">
        <v>40</v>
      </c>
      <c r="AK34" s="97">
        <v>50</v>
      </c>
      <c r="AM34" s="104">
        <v>0.875</v>
      </c>
      <c r="AN34" s="96">
        <v>35</v>
      </c>
      <c r="AO34" s="97">
        <v>45</v>
      </c>
    </row>
    <row r="35" spans="1:41">
      <c r="B35" s="104">
        <v>0.91666666666666696</v>
      </c>
      <c r="C35" s="96">
        <v>40</v>
      </c>
      <c r="D35" s="97">
        <v>50</v>
      </c>
      <c r="F35" s="104">
        <v>0.91666666666666696</v>
      </c>
      <c r="G35" s="96">
        <v>40</v>
      </c>
      <c r="H35" s="97">
        <v>50</v>
      </c>
      <c r="J35" s="104">
        <v>0.91666666666666696</v>
      </c>
      <c r="K35" s="96">
        <v>40</v>
      </c>
      <c r="L35" s="97">
        <v>50</v>
      </c>
      <c r="N35" s="104">
        <v>0.91666666666666696</v>
      </c>
      <c r="O35" s="96">
        <v>40</v>
      </c>
      <c r="P35" s="97">
        <v>50</v>
      </c>
      <c r="R35" s="104">
        <v>0.91666666666666696</v>
      </c>
      <c r="S35" s="96">
        <v>40</v>
      </c>
      <c r="T35" s="97">
        <v>45</v>
      </c>
      <c r="W35" s="104">
        <v>0.91666666666666696</v>
      </c>
      <c r="X35" s="96">
        <v>35</v>
      </c>
      <c r="Y35" s="97">
        <v>45</v>
      </c>
      <c r="AA35" s="104">
        <v>0.91666666666666696</v>
      </c>
      <c r="AB35" s="96">
        <v>35</v>
      </c>
      <c r="AC35" s="97">
        <v>45</v>
      </c>
      <c r="AE35" s="104">
        <v>0.91666666666666696</v>
      </c>
      <c r="AF35" s="96">
        <v>40</v>
      </c>
      <c r="AG35" s="97">
        <v>45</v>
      </c>
      <c r="AI35" s="104">
        <v>0.91666666666666696</v>
      </c>
      <c r="AJ35" s="96">
        <v>35</v>
      </c>
      <c r="AK35" s="97">
        <v>45</v>
      </c>
      <c r="AM35" s="104">
        <v>0.91666666666666696</v>
      </c>
      <c r="AN35" s="96">
        <v>35</v>
      </c>
      <c r="AO35" s="97">
        <v>45</v>
      </c>
    </row>
    <row r="36" spans="1:41" ht="15.75" thickBot="1">
      <c r="B36" s="106">
        <v>0.95833333333333304</v>
      </c>
      <c r="C36" s="98">
        <v>45</v>
      </c>
      <c r="D36" s="99">
        <v>45</v>
      </c>
      <c r="F36" s="106">
        <v>0.95833333333333304</v>
      </c>
      <c r="G36" s="98">
        <v>45</v>
      </c>
      <c r="H36" s="99">
        <v>45</v>
      </c>
      <c r="J36" s="106">
        <v>0.95833333333333304</v>
      </c>
      <c r="K36" s="96">
        <v>45</v>
      </c>
      <c r="L36" s="97">
        <v>45</v>
      </c>
      <c r="N36" s="106">
        <v>0.95833333333333304</v>
      </c>
      <c r="O36" s="98">
        <v>40</v>
      </c>
      <c r="P36" s="99">
        <v>45</v>
      </c>
      <c r="R36" s="106">
        <v>0.95833333333333304</v>
      </c>
      <c r="S36" s="98">
        <v>45</v>
      </c>
      <c r="T36" s="99">
        <v>45</v>
      </c>
      <c r="W36" s="106">
        <v>0.95833333333333304</v>
      </c>
      <c r="X36" s="98">
        <v>40</v>
      </c>
      <c r="Y36" s="99">
        <v>40</v>
      </c>
      <c r="AA36" s="106">
        <v>0.95833333333333304</v>
      </c>
      <c r="AB36" s="98">
        <v>40</v>
      </c>
      <c r="AC36" s="99">
        <v>40</v>
      </c>
      <c r="AE36" s="106">
        <v>0.95833333333333304</v>
      </c>
      <c r="AF36" s="96">
        <v>40</v>
      </c>
      <c r="AG36" s="97">
        <v>40</v>
      </c>
      <c r="AI36" s="106">
        <v>0.95833333333333304</v>
      </c>
      <c r="AJ36" s="98">
        <v>40</v>
      </c>
      <c r="AK36" s="99">
        <v>40</v>
      </c>
      <c r="AM36" s="106">
        <v>0.95833333333333304</v>
      </c>
      <c r="AN36" s="98">
        <v>40</v>
      </c>
      <c r="AO36" s="99">
        <v>40</v>
      </c>
    </row>
    <row r="37" spans="1:41">
      <c r="B37" s="105"/>
      <c r="C37" s="96"/>
      <c r="D37" s="96"/>
      <c r="F37" s="105"/>
      <c r="G37" s="96"/>
      <c r="H37" s="96"/>
      <c r="I37" s="7"/>
      <c r="J37" s="105"/>
      <c r="K37" s="96"/>
      <c r="L37" s="96"/>
      <c r="M37" s="7"/>
      <c r="N37" s="105"/>
      <c r="O37" s="96"/>
      <c r="P37" s="96"/>
      <c r="Q37" s="7"/>
      <c r="R37" s="105"/>
      <c r="S37" s="96"/>
      <c r="T37" s="96"/>
    </row>
    <row r="38" spans="1:41">
      <c r="A38" s="587" t="s">
        <v>398</v>
      </c>
      <c r="B38" s="190" t="s">
        <v>395</v>
      </c>
      <c r="C38" s="191">
        <f>AVERAGE(C19:C27)+AVERAGE(X19:X27)</f>
        <v>82.222222222222229</v>
      </c>
      <c r="D38" s="191">
        <f>AVERAGE(D19:D27)+AVERAGE(Y19:Y27)</f>
        <v>113.88888888888889</v>
      </c>
      <c r="E38" s="191"/>
      <c r="F38" s="191"/>
      <c r="G38" s="191">
        <f t="shared" ref="G38:P38" si="0">AVERAGE(G19:G27)+AVERAGE(AB19:AB27)</f>
        <v>81.666666666666657</v>
      </c>
      <c r="H38" s="191">
        <f t="shared" si="0"/>
        <v>112.77777777777777</v>
      </c>
      <c r="I38" s="191"/>
      <c r="J38" s="191"/>
      <c r="K38" s="191">
        <f t="shared" si="0"/>
        <v>81.666666666666657</v>
      </c>
      <c r="L38" s="191">
        <f t="shared" si="0"/>
        <v>112.22222222222223</v>
      </c>
      <c r="M38" s="191"/>
      <c r="N38" s="191"/>
      <c r="O38" s="191">
        <f t="shared" si="0"/>
        <v>81.111111111111114</v>
      </c>
      <c r="P38" s="191">
        <f t="shared" si="0"/>
        <v>111.11111111111111</v>
      </c>
      <c r="Q38" s="191"/>
      <c r="R38" s="191"/>
      <c r="S38" s="191">
        <f>AVERAGE(S19:S27)+AVERAGE(AN19:AN27)</f>
        <v>78.333333333333343</v>
      </c>
      <c r="T38" s="191">
        <f>AVERAGE(T19:T27)+AVERAGE(AO19:AO27)</f>
        <v>103.88888888888889</v>
      </c>
      <c r="W38" s="113" t="s">
        <v>270</v>
      </c>
    </row>
    <row r="39" spans="1:41">
      <c r="A39" s="587"/>
      <c r="B39" s="190" t="s">
        <v>396</v>
      </c>
      <c r="C39" s="191">
        <f>AVERAGE(C35:C36,G13:G19)+AVERAGE(X35:X36,AB13:AB19)</f>
        <v>82.222222222222229</v>
      </c>
      <c r="D39" s="191">
        <f>AVERAGE(D35:D36,H13:H19)+AVERAGE(Y35:Y36,AC13:AC19)</f>
        <v>89.444444444444457</v>
      </c>
      <c r="E39" s="191"/>
      <c r="F39" s="191"/>
      <c r="G39" s="191">
        <f t="shared" ref="G39:P39" si="1">AVERAGE(G35:G36,K13:K19)+AVERAGE(AB35:AB36,AF13:AF19)</f>
        <v>83.888888888888886</v>
      </c>
      <c r="H39" s="191">
        <f t="shared" si="1"/>
        <v>90</v>
      </c>
      <c r="I39" s="191"/>
      <c r="J39" s="191"/>
      <c r="K39" s="191">
        <f>AVERAGE(K35:K36,O13:O19)+AVERAGE(AF35:AF36,AJ13:AJ19)</f>
        <v>83.888888888888886</v>
      </c>
      <c r="L39" s="191">
        <f t="shared" si="1"/>
        <v>89.444444444444457</v>
      </c>
      <c r="M39" s="191"/>
      <c r="N39" s="191"/>
      <c r="O39" s="191">
        <f>AVERAGE(O35:O36,S13:S19)+AVERAGE(AJ35:AJ36,AN13:AN19)</f>
        <v>81.666666666666657</v>
      </c>
      <c r="P39" s="191">
        <f t="shared" si="1"/>
        <v>88.888888888888886</v>
      </c>
      <c r="Q39" s="191"/>
      <c r="R39" s="191"/>
      <c r="S39" s="191">
        <f>AVERAGE(C39,G39,K39,O39)</f>
        <v>82.916666666666657</v>
      </c>
      <c r="T39" s="191">
        <f>AVERAGE(D39,H39,L39,P39)</f>
        <v>89.444444444444457</v>
      </c>
    </row>
    <row r="40" spans="1:41">
      <c r="B40" s="105"/>
      <c r="C40" s="96"/>
      <c r="D40" s="96"/>
      <c r="F40" s="105"/>
      <c r="G40" s="96"/>
      <c r="H40" s="96"/>
      <c r="I40" s="161"/>
      <c r="J40" s="105"/>
      <c r="K40" s="96"/>
      <c r="L40" s="96"/>
      <c r="M40" s="161"/>
      <c r="N40" s="105"/>
      <c r="O40" s="96"/>
      <c r="P40" s="96"/>
      <c r="Q40" s="161"/>
      <c r="R40" s="105"/>
      <c r="T40" s="96"/>
    </row>
    <row r="41" spans="1:41">
      <c r="B41" s="113" t="s">
        <v>397</v>
      </c>
      <c r="S41" t="s">
        <v>399</v>
      </c>
      <c r="W41" s="113"/>
    </row>
    <row r="42" spans="1:41">
      <c r="W42" s="537"/>
      <c r="X42" s="537"/>
      <c r="Y42" s="537"/>
      <c r="Z42" s="537"/>
      <c r="AA42" s="537"/>
    </row>
    <row r="44" spans="1:41">
      <c r="B44" s="600" t="s">
        <v>404</v>
      </c>
      <c r="C44" s="600"/>
      <c r="D44" s="600"/>
      <c r="E44" s="600"/>
      <c r="F44" s="600"/>
      <c r="G44" s="600"/>
      <c r="H44" s="600"/>
      <c r="I44" s="600"/>
      <c r="J44" s="600"/>
      <c r="K44" s="600"/>
      <c r="L44" s="600"/>
      <c r="M44" s="600"/>
      <c r="N44" s="600"/>
      <c r="O44" s="600"/>
      <c r="P44" s="600"/>
      <c r="Q44" s="600"/>
      <c r="R44" s="600"/>
      <c r="S44" s="600"/>
      <c r="T44" s="600"/>
      <c r="W44" s="600" t="s">
        <v>405</v>
      </c>
      <c r="X44" s="600"/>
      <c r="Y44" s="600"/>
      <c r="Z44" s="600"/>
      <c r="AA44" s="600"/>
      <c r="AB44" s="600"/>
      <c r="AC44" s="600"/>
      <c r="AD44" s="600"/>
      <c r="AE44" s="600"/>
      <c r="AF44" s="600"/>
      <c r="AG44" s="600"/>
      <c r="AH44" s="600"/>
      <c r="AI44" s="600"/>
      <c r="AJ44" s="600"/>
      <c r="AK44" s="600"/>
      <c r="AL44" s="600"/>
      <c r="AM44" s="600"/>
      <c r="AN44" s="600"/>
      <c r="AO44" s="600"/>
    </row>
    <row r="46" spans="1:41" ht="15.75" thickBot="1">
      <c r="B46" s="4"/>
      <c r="C46" s="599" t="s">
        <v>260</v>
      </c>
      <c r="D46" s="599"/>
      <c r="G46" s="599" t="s">
        <v>261</v>
      </c>
      <c r="H46" s="599"/>
      <c r="K46" s="599" t="s">
        <v>262</v>
      </c>
      <c r="L46" s="599"/>
      <c r="O46" s="599" t="s">
        <v>263</v>
      </c>
      <c r="P46" s="599"/>
      <c r="S46" s="599" t="s">
        <v>259</v>
      </c>
      <c r="T46" s="599"/>
      <c r="W46" s="4"/>
      <c r="X46" s="599" t="s">
        <v>260</v>
      </c>
      <c r="Y46" s="599"/>
      <c r="AB46" s="599" t="s">
        <v>261</v>
      </c>
      <c r="AC46" s="599"/>
      <c r="AF46" s="599" t="s">
        <v>262</v>
      </c>
      <c r="AG46" s="599"/>
      <c r="AJ46" s="599" t="s">
        <v>263</v>
      </c>
      <c r="AK46" s="599"/>
      <c r="AN46" s="599" t="s">
        <v>259</v>
      </c>
      <c r="AO46" s="599"/>
    </row>
    <row r="47" spans="1:41" ht="15.75" thickBot="1">
      <c r="B47" s="9"/>
      <c r="C47" s="110" t="s">
        <v>264</v>
      </c>
      <c r="D47" s="111" t="s">
        <v>265</v>
      </c>
      <c r="F47" s="9"/>
      <c r="G47" s="110" t="s">
        <v>264</v>
      </c>
      <c r="H47" s="111" t="s">
        <v>265</v>
      </c>
      <c r="J47" s="9"/>
      <c r="K47" s="110" t="s">
        <v>264</v>
      </c>
      <c r="L47" s="111" t="s">
        <v>265</v>
      </c>
      <c r="N47" s="9"/>
      <c r="O47" s="110" t="s">
        <v>264</v>
      </c>
      <c r="P47" s="111" t="s">
        <v>265</v>
      </c>
      <c r="R47" s="9"/>
      <c r="S47" s="110" t="s">
        <v>264</v>
      </c>
      <c r="T47" s="111" t="s">
        <v>265</v>
      </c>
      <c r="W47" s="9"/>
      <c r="X47" s="110" t="s">
        <v>264</v>
      </c>
      <c r="Y47" s="111" t="s">
        <v>265</v>
      </c>
      <c r="AA47" s="9"/>
      <c r="AB47" s="110" t="s">
        <v>264</v>
      </c>
      <c r="AC47" s="111" t="s">
        <v>265</v>
      </c>
      <c r="AE47" s="9"/>
      <c r="AF47" s="110" t="s">
        <v>264</v>
      </c>
      <c r="AG47" s="111" t="s">
        <v>265</v>
      </c>
      <c r="AI47" s="9"/>
      <c r="AJ47" s="110" t="s">
        <v>264</v>
      </c>
      <c r="AK47" s="111" t="s">
        <v>265</v>
      </c>
      <c r="AM47" s="9"/>
      <c r="AN47" s="110" t="s">
        <v>264</v>
      </c>
      <c r="AO47" s="111" t="s">
        <v>265</v>
      </c>
    </row>
    <row r="48" spans="1:41">
      <c r="B48" s="100">
        <v>0</v>
      </c>
      <c r="C48" s="107">
        <v>24</v>
      </c>
      <c r="D48" s="102">
        <v>28</v>
      </c>
      <c r="F48" s="103">
        <v>0</v>
      </c>
      <c r="G48" s="101">
        <v>24</v>
      </c>
      <c r="H48" s="102">
        <v>26</v>
      </c>
      <c r="J48" s="103">
        <v>0</v>
      </c>
      <c r="K48" s="101">
        <v>24</v>
      </c>
      <c r="L48" s="102">
        <v>28</v>
      </c>
      <c r="N48" s="103">
        <v>0</v>
      </c>
      <c r="O48" s="101">
        <v>24</v>
      </c>
      <c r="P48" s="102">
        <v>28</v>
      </c>
      <c r="R48" s="103">
        <v>0</v>
      </c>
      <c r="S48" s="101">
        <v>24</v>
      </c>
      <c r="T48" s="102">
        <v>28</v>
      </c>
      <c r="W48" s="100">
        <v>0</v>
      </c>
      <c r="X48" s="107">
        <v>26</v>
      </c>
      <c r="Y48" s="102">
        <v>30</v>
      </c>
      <c r="AA48" s="103">
        <v>0</v>
      </c>
      <c r="AB48" s="101">
        <v>26</v>
      </c>
      <c r="AC48" s="102">
        <v>30</v>
      </c>
      <c r="AE48" s="103">
        <v>0</v>
      </c>
      <c r="AF48" s="101">
        <v>26</v>
      </c>
      <c r="AG48" s="102">
        <v>30</v>
      </c>
      <c r="AI48" s="103">
        <v>0</v>
      </c>
      <c r="AJ48" s="101">
        <v>26</v>
      </c>
      <c r="AK48" s="102">
        <v>30</v>
      </c>
      <c r="AM48" s="103">
        <v>0</v>
      </c>
      <c r="AN48" s="101">
        <v>26</v>
      </c>
      <c r="AO48" s="102">
        <v>30</v>
      </c>
    </row>
    <row r="49" spans="2:41">
      <c r="B49" s="94">
        <v>4.1666666666666664E-2</v>
      </c>
      <c r="C49" s="108">
        <v>24</v>
      </c>
      <c r="D49" s="97">
        <v>26</v>
      </c>
      <c r="F49" s="104">
        <v>4.1666666666666664E-2</v>
      </c>
      <c r="G49" s="96">
        <v>24</v>
      </c>
      <c r="H49" s="97">
        <v>26</v>
      </c>
      <c r="J49" s="104">
        <v>4.1666666666666664E-2</v>
      </c>
      <c r="K49" s="96">
        <v>24</v>
      </c>
      <c r="L49" s="97">
        <v>28</v>
      </c>
      <c r="N49" s="104">
        <v>4.1666666666666664E-2</v>
      </c>
      <c r="O49" s="96">
        <v>26</v>
      </c>
      <c r="P49" s="97">
        <v>26</v>
      </c>
      <c r="R49" s="104">
        <v>4.1666666666666664E-2</v>
      </c>
      <c r="S49" s="96">
        <v>26</v>
      </c>
      <c r="T49" s="97">
        <v>26</v>
      </c>
      <c r="W49" s="94">
        <v>4.1666666666666664E-2</v>
      </c>
      <c r="X49" s="108">
        <v>26</v>
      </c>
      <c r="Y49" s="97">
        <v>30</v>
      </c>
      <c r="AA49" s="104">
        <v>4.1666666666666664E-2</v>
      </c>
      <c r="AB49" s="96">
        <v>26</v>
      </c>
      <c r="AC49" s="97">
        <v>30</v>
      </c>
      <c r="AE49" s="104">
        <v>4.1666666666666664E-2</v>
      </c>
      <c r="AF49" s="96">
        <v>28</v>
      </c>
      <c r="AG49" s="97">
        <v>30</v>
      </c>
      <c r="AI49" s="104">
        <v>4.1666666666666664E-2</v>
      </c>
      <c r="AJ49" s="96">
        <v>26</v>
      </c>
      <c r="AK49" s="97">
        <v>30</v>
      </c>
      <c r="AM49" s="104">
        <v>4.1666666666666664E-2</v>
      </c>
      <c r="AN49" s="96">
        <v>26</v>
      </c>
      <c r="AO49" s="97">
        <v>30</v>
      </c>
    </row>
    <row r="50" spans="2:41">
      <c r="B50" s="94">
        <v>8.3333333333333301E-2</v>
      </c>
      <c r="C50" s="108">
        <v>26</v>
      </c>
      <c r="D50" s="97">
        <v>26</v>
      </c>
      <c r="F50" s="104">
        <v>8.3333333333333301E-2</v>
      </c>
      <c r="G50" s="96">
        <v>24</v>
      </c>
      <c r="H50" s="97">
        <v>28</v>
      </c>
      <c r="J50" s="104">
        <v>8.3333333333333301E-2</v>
      </c>
      <c r="K50" s="96">
        <v>24</v>
      </c>
      <c r="L50" s="97">
        <v>28</v>
      </c>
      <c r="N50" s="104">
        <v>8.3333333333333301E-2</v>
      </c>
      <c r="O50" s="96">
        <v>26</v>
      </c>
      <c r="P50" s="97">
        <v>26</v>
      </c>
      <c r="R50" s="104">
        <v>8.3333333333333301E-2</v>
      </c>
      <c r="S50" s="96">
        <v>24</v>
      </c>
      <c r="T50" s="97">
        <v>28</v>
      </c>
      <c r="W50" s="94">
        <v>8.3333333333333301E-2</v>
      </c>
      <c r="X50" s="108">
        <v>28</v>
      </c>
      <c r="Y50" s="97">
        <v>28</v>
      </c>
      <c r="AA50" s="104">
        <v>8.3333333333333301E-2</v>
      </c>
      <c r="AB50" s="96">
        <v>28</v>
      </c>
      <c r="AC50" s="97">
        <v>28</v>
      </c>
      <c r="AE50" s="104">
        <v>8.3333333333333301E-2</v>
      </c>
      <c r="AF50" s="96">
        <v>28</v>
      </c>
      <c r="AG50" s="97">
        <v>28</v>
      </c>
      <c r="AI50" s="104">
        <v>8.3333333333333301E-2</v>
      </c>
      <c r="AJ50" s="96">
        <v>28</v>
      </c>
      <c r="AK50" s="97">
        <v>28</v>
      </c>
      <c r="AM50" s="104">
        <v>8.3333333333333301E-2</v>
      </c>
      <c r="AN50" s="96">
        <v>28</v>
      </c>
      <c r="AO50" s="97">
        <v>30</v>
      </c>
    </row>
    <row r="51" spans="2:41">
      <c r="B51" s="94">
        <v>0.125</v>
      </c>
      <c r="C51" s="108">
        <v>24</v>
      </c>
      <c r="D51" s="97">
        <v>26</v>
      </c>
      <c r="F51" s="104">
        <v>0.125</v>
      </c>
      <c r="G51" s="96">
        <v>24</v>
      </c>
      <c r="H51" s="97">
        <v>28</v>
      </c>
      <c r="J51" s="104">
        <v>0.125</v>
      </c>
      <c r="K51" s="96">
        <v>24</v>
      </c>
      <c r="L51" s="97">
        <v>26</v>
      </c>
      <c r="N51" s="104">
        <v>0.125</v>
      </c>
      <c r="O51" s="96">
        <v>24</v>
      </c>
      <c r="P51" s="97">
        <v>26</v>
      </c>
      <c r="R51" s="104">
        <v>0.125</v>
      </c>
      <c r="S51" s="96">
        <v>24</v>
      </c>
      <c r="T51" s="97">
        <v>28</v>
      </c>
      <c r="W51" s="94">
        <v>0.125</v>
      </c>
      <c r="X51" s="108">
        <v>28</v>
      </c>
      <c r="Y51" s="97">
        <v>28</v>
      </c>
      <c r="AA51" s="104">
        <v>0.125</v>
      </c>
      <c r="AB51" s="96">
        <v>28</v>
      </c>
      <c r="AC51" s="97">
        <v>28</v>
      </c>
      <c r="AE51" s="104">
        <v>0.125</v>
      </c>
      <c r="AF51" s="96">
        <v>28</v>
      </c>
      <c r="AG51" s="97">
        <v>30</v>
      </c>
      <c r="AI51" s="104">
        <v>0.125</v>
      </c>
      <c r="AJ51" s="96">
        <v>28</v>
      </c>
      <c r="AK51" s="97">
        <v>28</v>
      </c>
      <c r="AM51" s="104">
        <v>0.125</v>
      </c>
      <c r="AN51" s="96">
        <v>28</v>
      </c>
      <c r="AO51" s="97">
        <v>28</v>
      </c>
    </row>
    <row r="52" spans="2:41">
      <c r="B52" s="94">
        <v>0.16666666666666699</v>
      </c>
      <c r="C52" s="108">
        <v>22</v>
      </c>
      <c r="D52" s="97">
        <v>28</v>
      </c>
      <c r="F52" s="104">
        <v>0.16666666666666699</v>
      </c>
      <c r="G52" s="96">
        <v>22</v>
      </c>
      <c r="H52" s="97">
        <v>26</v>
      </c>
      <c r="J52" s="104">
        <v>0.16666666666666699</v>
      </c>
      <c r="K52" s="96">
        <v>22</v>
      </c>
      <c r="L52" s="97">
        <v>26</v>
      </c>
      <c r="N52" s="104">
        <v>0.16666666666666699</v>
      </c>
      <c r="O52" s="96">
        <v>22</v>
      </c>
      <c r="P52" s="97">
        <v>26</v>
      </c>
      <c r="R52" s="104">
        <v>0.16666666666666699</v>
      </c>
      <c r="S52" s="96">
        <v>22</v>
      </c>
      <c r="T52" s="97">
        <v>26</v>
      </c>
      <c r="W52" s="94">
        <v>0.16666666666666699</v>
      </c>
      <c r="X52" s="108">
        <v>26</v>
      </c>
      <c r="Y52" s="97">
        <v>30</v>
      </c>
      <c r="AA52" s="104">
        <v>0.16666666666666699</v>
      </c>
      <c r="AB52" s="96">
        <v>26</v>
      </c>
      <c r="AC52" s="97">
        <v>30</v>
      </c>
      <c r="AE52" s="104">
        <v>0.16666666666666699</v>
      </c>
      <c r="AF52" s="96">
        <v>28</v>
      </c>
      <c r="AG52" s="97">
        <v>28</v>
      </c>
      <c r="AI52" s="104">
        <v>0.16666666666666699</v>
      </c>
      <c r="AJ52" s="96">
        <v>26</v>
      </c>
      <c r="AK52" s="97">
        <v>30</v>
      </c>
      <c r="AM52" s="104">
        <v>0.16666666666666699</v>
      </c>
      <c r="AN52" s="96">
        <v>26</v>
      </c>
      <c r="AO52" s="97">
        <v>30</v>
      </c>
    </row>
    <row r="53" spans="2:41">
      <c r="B53" s="94">
        <v>0.20833333333333301</v>
      </c>
      <c r="C53" s="108">
        <v>22</v>
      </c>
      <c r="D53" s="97">
        <v>26</v>
      </c>
      <c r="F53" s="104">
        <v>0.20833333333333301</v>
      </c>
      <c r="G53" s="96">
        <v>22</v>
      </c>
      <c r="H53" s="97">
        <v>26</v>
      </c>
      <c r="J53" s="104">
        <v>0.20833333333333301</v>
      </c>
      <c r="K53" s="96">
        <v>22</v>
      </c>
      <c r="L53" s="97">
        <v>28</v>
      </c>
      <c r="N53" s="104">
        <v>0.20833333333333301</v>
      </c>
      <c r="O53" s="96">
        <v>22</v>
      </c>
      <c r="P53" s="97">
        <v>28</v>
      </c>
      <c r="R53" s="104">
        <v>0.20833333333333301</v>
      </c>
      <c r="S53" s="96">
        <v>22</v>
      </c>
      <c r="T53" s="97">
        <v>28</v>
      </c>
      <c r="W53" s="94">
        <v>0.20833333333333301</v>
      </c>
      <c r="X53" s="108">
        <v>26</v>
      </c>
      <c r="Y53" s="97">
        <v>30</v>
      </c>
      <c r="AA53" s="104">
        <v>0.20833333333333301</v>
      </c>
      <c r="AB53" s="96">
        <v>28</v>
      </c>
      <c r="AC53" s="97">
        <v>28</v>
      </c>
      <c r="AE53" s="104">
        <v>0.20833333333333301</v>
      </c>
      <c r="AF53" s="96">
        <v>30</v>
      </c>
      <c r="AG53" s="97">
        <v>30</v>
      </c>
      <c r="AI53" s="104">
        <v>0.20833333333333301</v>
      </c>
      <c r="AJ53" s="96">
        <v>26</v>
      </c>
      <c r="AK53" s="97">
        <v>30</v>
      </c>
      <c r="AM53" s="104">
        <v>0.20833333333333301</v>
      </c>
      <c r="AN53" s="96">
        <v>26</v>
      </c>
      <c r="AO53" s="97">
        <v>35</v>
      </c>
    </row>
    <row r="54" spans="2:41">
      <c r="B54" s="94">
        <v>0.25</v>
      </c>
      <c r="C54" s="108">
        <v>20</v>
      </c>
      <c r="D54" s="97">
        <v>24</v>
      </c>
      <c r="F54" s="104">
        <v>0.25</v>
      </c>
      <c r="G54" s="96">
        <v>20</v>
      </c>
      <c r="H54" s="97">
        <v>24</v>
      </c>
      <c r="J54" s="104">
        <v>0.25</v>
      </c>
      <c r="K54" s="96">
        <v>20</v>
      </c>
      <c r="L54" s="97">
        <v>26</v>
      </c>
      <c r="N54" s="104">
        <v>0.25</v>
      </c>
      <c r="O54" s="96">
        <v>20</v>
      </c>
      <c r="P54" s="97">
        <v>26</v>
      </c>
      <c r="R54" s="104">
        <v>0.25</v>
      </c>
      <c r="S54" s="96">
        <v>20</v>
      </c>
      <c r="T54" s="97">
        <v>26</v>
      </c>
      <c r="W54" s="94">
        <v>0.25</v>
      </c>
      <c r="X54" s="108">
        <v>24</v>
      </c>
      <c r="Y54" s="97">
        <v>30</v>
      </c>
      <c r="AA54" s="104">
        <v>0.25</v>
      </c>
      <c r="AB54" s="96">
        <v>24</v>
      </c>
      <c r="AC54" s="97">
        <v>30</v>
      </c>
      <c r="AE54" s="104">
        <v>0.25</v>
      </c>
      <c r="AF54" s="96">
        <v>24</v>
      </c>
      <c r="AG54" s="97">
        <v>30</v>
      </c>
      <c r="AI54" s="104">
        <v>0.25</v>
      </c>
      <c r="AJ54" s="96">
        <v>24</v>
      </c>
      <c r="AK54" s="97">
        <v>30</v>
      </c>
      <c r="AM54" s="104">
        <v>0.25</v>
      </c>
      <c r="AN54" s="96">
        <v>24</v>
      </c>
      <c r="AO54" s="97">
        <v>30</v>
      </c>
    </row>
    <row r="55" spans="2:41">
      <c r="B55" s="94">
        <v>0.29166666666666702</v>
      </c>
      <c r="C55" s="108">
        <v>20</v>
      </c>
      <c r="D55" s="97">
        <v>26</v>
      </c>
      <c r="F55" s="104">
        <v>0.29166666666666702</v>
      </c>
      <c r="G55" s="96">
        <v>20</v>
      </c>
      <c r="H55" s="97">
        <v>26</v>
      </c>
      <c r="J55" s="104">
        <v>0.29166666666666702</v>
      </c>
      <c r="K55" s="96">
        <v>20</v>
      </c>
      <c r="L55" s="97">
        <v>26</v>
      </c>
      <c r="N55" s="104">
        <v>0.29166666666666702</v>
      </c>
      <c r="O55" s="96">
        <v>20</v>
      </c>
      <c r="P55" s="97">
        <v>26</v>
      </c>
      <c r="R55" s="104">
        <v>0.29166666666666702</v>
      </c>
      <c r="S55" s="96">
        <v>20</v>
      </c>
      <c r="T55" s="97">
        <v>26</v>
      </c>
      <c r="W55" s="94">
        <v>0.29166666666666702</v>
      </c>
      <c r="X55" s="108">
        <v>28</v>
      </c>
      <c r="Y55" s="97">
        <v>40</v>
      </c>
      <c r="AA55" s="104">
        <v>0.29166666666666702</v>
      </c>
      <c r="AB55" s="96">
        <v>26</v>
      </c>
      <c r="AC55" s="97">
        <v>40</v>
      </c>
      <c r="AE55" s="104">
        <v>0.29166666666666702</v>
      </c>
      <c r="AF55" s="96">
        <v>26</v>
      </c>
      <c r="AG55" s="97">
        <v>40</v>
      </c>
      <c r="AI55" s="104">
        <v>0.29166666666666702</v>
      </c>
      <c r="AJ55" s="96">
        <v>28</v>
      </c>
      <c r="AK55" s="97">
        <v>40</v>
      </c>
      <c r="AM55" s="104">
        <v>0.29166666666666702</v>
      </c>
      <c r="AN55" s="96">
        <v>24</v>
      </c>
      <c r="AO55" s="97">
        <v>35</v>
      </c>
    </row>
    <row r="56" spans="2:41">
      <c r="B56" s="94">
        <v>0.33333333333333298</v>
      </c>
      <c r="C56" s="108">
        <v>20</v>
      </c>
      <c r="D56" s="97">
        <v>26</v>
      </c>
      <c r="F56" s="104">
        <v>0.33333333333333298</v>
      </c>
      <c r="G56" s="96">
        <v>20</v>
      </c>
      <c r="H56" s="97">
        <v>26</v>
      </c>
      <c r="J56" s="104">
        <v>0.33333333333333298</v>
      </c>
      <c r="K56" s="96">
        <v>20</v>
      </c>
      <c r="L56" s="97">
        <v>26</v>
      </c>
      <c r="N56" s="104">
        <v>0.33333333333333298</v>
      </c>
      <c r="O56" s="96">
        <v>20</v>
      </c>
      <c r="P56" s="97">
        <v>26</v>
      </c>
      <c r="R56" s="104">
        <v>0.33333333333333298</v>
      </c>
      <c r="S56" s="96">
        <v>20</v>
      </c>
      <c r="T56" s="97">
        <v>26</v>
      </c>
      <c r="W56" s="94">
        <v>0.33333333333333298</v>
      </c>
      <c r="X56" s="108">
        <v>30</v>
      </c>
      <c r="Y56" s="97">
        <v>55</v>
      </c>
      <c r="AA56" s="104">
        <v>0.33333333333333298</v>
      </c>
      <c r="AB56" s="96">
        <v>30</v>
      </c>
      <c r="AC56" s="97">
        <v>55</v>
      </c>
      <c r="AE56" s="104">
        <v>0.33333333333333298</v>
      </c>
      <c r="AF56" s="96">
        <v>30</v>
      </c>
      <c r="AG56" s="97">
        <v>50</v>
      </c>
      <c r="AI56" s="104">
        <v>0.33333333333333298</v>
      </c>
      <c r="AJ56" s="96">
        <v>30</v>
      </c>
      <c r="AK56" s="97">
        <v>55</v>
      </c>
      <c r="AM56" s="104">
        <v>0.33333333333333298</v>
      </c>
      <c r="AN56" s="96">
        <v>26</v>
      </c>
      <c r="AO56" s="97">
        <v>40</v>
      </c>
    </row>
    <row r="57" spans="2:41">
      <c r="B57" s="94">
        <v>0.375</v>
      </c>
      <c r="C57" s="108">
        <v>20</v>
      </c>
      <c r="D57" s="97">
        <v>26</v>
      </c>
      <c r="F57" s="104">
        <v>0.375</v>
      </c>
      <c r="G57" s="96">
        <v>20</v>
      </c>
      <c r="H57" s="97">
        <v>26</v>
      </c>
      <c r="J57" s="104">
        <v>0.375</v>
      </c>
      <c r="K57" s="96">
        <v>20</v>
      </c>
      <c r="L57" s="97">
        <v>26</v>
      </c>
      <c r="N57" s="104">
        <v>0.375</v>
      </c>
      <c r="O57" s="96">
        <v>20</v>
      </c>
      <c r="P57" s="97">
        <v>26</v>
      </c>
      <c r="R57" s="104">
        <v>0.375</v>
      </c>
      <c r="S57" s="96">
        <v>20</v>
      </c>
      <c r="T57" s="97">
        <v>26</v>
      </c>
      <c r="W57" s="94">
        <v>0.375</v>
      </c>
      <c r="X57" s="108">
        <v>26</v>
      </c>
      <c r="Y57" s="97">
        <v>40</v>
      </c>
      <c r="AA57" s="104">
        <v>0.375</v>
      </c>
      <c r="AB57" s="96">
        <v>26</v>
      </c>
      <c r="AC57" s="97">
        <v>40</v>
      </c>
      <c r="AE57" s="104">
        <v>0.375</v>
      </c>
      <c r="AF57" s="96">
        <v>26</v>
      </c>
      <c r="AG57" s="97">
        <v>35</v>
      </c>
      <c r="AI57" s="104">
        <v>0.375</v>
      </c>
      <c r="AJ57" s="96">
        <v>24</v>
      </c>
      <c r="AK57" s="97">
        <v>35</v>
      </c>
      <c r="AM57" s="104">
        <v>0.375</v>
      </c>
      <c r="AN57" s="96">
        <v>24</v>
      </c>
      <c r="AO57" s="97">
        <v>30</v>
      </c>
    </row>
    <row r="58" spans="2:41">
      <c r="B58" s="94">
        <v>0.41666666666666702</v>
      </c>
      <c r="C58" s="108">
        <v>20</v>
      </c>
      <c r="D58" s="97">
        <v>26</v>
      </c>
      <c r="F58" s="104">
        <v>0.41666666666666702</v>
      </c>
      <c r="G58" s="96">
        <v>20</v>
      </c>
      <c r="H58" s="97">
        <v>26</v>
      </c>
      <c r="J58" s="104">
        <v>0.41666666666666702</v>
      </c>
      <c r="K58" s="96">
        <v>20</v>
      </c>
      <c r="L58" s="97">
        <v>26</v>
      </c>
      <c r="N58" s="104">
        <v>0.41666666666666702</v>
      </c>
      <c r="O58" s="96">
        <v>20</v>
      </c>
      <c r="P58" s="97">
        <v>26</v>
      </c>
      <c r="R58" s="104">
        <v>0.41666666666666702</v>
      </c>
      <c r="S58" s="96">
        <v>20</v>
      </c>
      <c r="T58" s="97">
        <v>26</v>
      </c>
      <c r="W58" s="94">
        <v>0.41666666666666702</v>
      </c>
      <c r="X58" s="108">
        <v>24</v>
      </c>
      <c r="Y58" s="97">
        <v>30</v>
      </c>
      <c r="AA58" s="104">
        <v>0.41666666666666702</v>
      </c>
      <c r="AB58" s="96">
        <v>24</v>
      </c>
      <c r="AC58" s="97">
        <v>30</v>
      </c>
      <c r="AE58" s="104">
        <v>0.41666666666666702</v>
      </c>
      <c r="AF58" s="96">
        <v>22</v>
      </c>
      <c r="AG58" s="97">
        <v>30</v>
      </c>
      <c r="AI58" s="104">
        <v>0.41666666666666702</v>
      </c>
      <c r="AJ58" s="96">
        <v>22</v>
      </c>
      <c r="AK58" s="97">
        <v>30</v>
      </c>
      <c r="AM58" s="104">
        <v>0.41666666666666702</v>
      </c>
      <c r="AN58" s="96">
        <v>22</v>
      </c>
      <c r="AO58" s="97">
        <v>30</v>
      </c>
    </row>
    <row r="59" spans="2:41">
      <c r="B59" s="94">
        <v>0.45833333333333298</v>
      </c>
      <c r="C59" s="108">
        <v>20</v>
      </c>
      <c r="D59" s="97">
        <v>26</v>
      </c>
      <c r="F59" s="104">
        <v>0.45833333333333298</v>
      </c>
      <c r="G59" s="96">
        <v>20</v>
      </c>
      <c r="H59" s="97">
        <v>26</v>
      </c>
      <c r="J59" s="104">
        <v>0.45833333333333298</v>
      </c>
      <c r="K59" s="96">
        <v>20</v>
      </c>
      <c r="L59" s="97">
        <v>26</v>
      </c>
      <c r="N59" s="104">
        <v>0.45833333333333298</v>
      </c>
      <c r="O59" s="96">
        <v>20</v>
      </c>
      <c r="P59" s="97">
        <v>26</v>
      </c>
      <c r="R59" s="104">
        <v>0.45833333333333298</v>
      </c>
      <c r="S59" s="96">
        <v>20</v>
      </c>
      <c r="T59" s="97">
        <v>26</v>
      </c>
      <c r="W59" s="94">
        <v>0.45833333333333298</v>
      </c>
      <c r="X59" s="108">
        <v>24</v>
      </c>
      <c r="Y59" s="97">
        <v>30</v>
      </c>
      <c r="AA59" s="104">
        <v>0.45833333333333298</v>
      </c>
      <c r="AB59" s="96">
        <v>24</v>
      </c>
      <c r="AC59" s="97">
        <v>30</v>
      </c>
      <c r="AE59" s="104">
        <v>0.45833333333333298</v>
      </c>
      <c r="AF59" s="96">
        <v>24</v>
      </c>
      <c r="AG59" s="97">
        <v>30</v>
      </c>
      <c r="AI59" s="104">
        <v>0.45833333333333298</v>
      </c>
      <c r="AJ59" s="96">
        <v>24</v>
      </c>
      <c r="AK59" s="97">
        <v>30</v>
      </c>
      <c r="AM59" s="104">
        <v>0.45833333333333298</v>
      </c>
      <c r="AN59" s="96">
        <v>24</v>
      </c>
      <c r="AO59" s="97">
        <v>30</v>
      </c>
    </row>
    <row r="60" spans="2:41">
      <c r="B60" s="94">
        <v>0.5</v>
      </c>
      <c r="C60" s="108">
        <v>20</v>
      </c>
      <c r="D60" s="97">
        <v>26</v>
      </c>
      <c r="F60" s="104">
        <v>0.5</v>
      </c>
      <c r="G60" s="96">
        <v>20</v>
      </c>
      <c r="H60" s="97">
        <v>26</v>
      </c>
      <c r="J60" s="104">
        <v>0.5</v>
      </c>
      <c r="K60" s="96">
        <v>20</v>
      </c>
      <c r="L60" s="97">
        <v>26</v>
      </c>
      <c r="N60" s="104">
        <v>0.5</v>
      </c>
      <c r="O60" s="96">
        <v>20</v>
      </c>
      <c r="P60" s="97">
        <v>26</v>
      </c>
      <c r="R60" s="104">
        <v>0.5</v>
      </c>
      <c r="S60" s="96">
        <v>20</v>
      </c>
      <c r="T60" s="97">
        <v>26</v>
      </c>
      <c r="W60" s="94">
        <v>0.5</v>
      </c>
      <c r="X60" s="108">
        <v>24</v>
      </c>
      <c r="Y60" s="97">
        <v>30</v>
      </c>
      <c r="AA60" s="104">
        <v>0.5</v>
      </c>
      <c r="AB60" s="96">
        <v>24</v>
      </c>
      <c r="AC60" s="97">
        <v>30</v>
      </c>
      <c r="AE60" s="104">
        <v>0.5</v>
      </c>
      <c r="AF60" s="96">
        <v>24</v>
      </c>
      <c r="AG60" s="97">
        <v>30</v>
      </c>
      <c r="AI60" s="104">
        <v>0.5</v>
      </c>
      <c r="AJ60" s="96">
        <v>24</v>
      </c>
      <c r="AK60" s="97">
        <v>30</v>
      </c>
      <c r="AM60" s="104">
        <v>0.5</v>
      </c>
      <c r="AN60" s="96">
        <v>24</v>
      </c>
      <c r="AO60" s="97">
        <v>30</v>
      </c>
    </row>
    <row r="61" spans="2:41">
      <c r="B61" s="94">
        <v>0.54166666666666696</v>
      </c>
      <c r="C61" s="108">
        <v>20</v>
      </c>
      <c r="D61" s="97">
        <v>26</v>
      </c>
      <c r="F61" s="104">
        <v>0.54166666666666696</v>
      </c>
      <c r="G61" s="96">
        <v>20</v>
      </c>
      <c r="H61" s="97">
        <v>26</v>
      </c>
      <c r="J61" s="104">
        <v>0.54166666666666696</v>
      </c>
      <c r="K61" s="96">
        <v>20</v>
      </c>
      <c r="L61" s="97">
        <v>26</v>
      </c>
      <c r="N61" s="104">
        <v>0.54166666666666696</v>
      </c>
      <c r="O61" s="96">
        <v>20</v>
      </c>
      <c r="P61" s="97">
        <v>26</v>
      </c>
      <c r="R61" s="104">
        <v>0.54166666666666696</v>
      </c>
      <c r="S61" s="96">
        <v>20</v>
      </c>
      <c r="T61" s="97">
        <v>26</v>
      </c>
      <c r="W61" s="94">
        <v>0.54166666666666696</v>
      </c>
      <c r="X61" s="108">
        <v>24</v>
      </c>
      <c r="Y61" s="97">
        <v>30</v>
      </c>
      <c r="AA61" s="104">
        <v>0.54166666666666696</v>
      </c>
      <c r="AB61" s="96">
        <v>24</v>
      </c>
      <c r="AC61" s="97">
        <v>30</v>
      </c>
      <c r="AE61" s="104">
        <v>0.54166666666666696</v>
      </c>
      <c r="AF61" s="96">
        <v>24</v>
      </c>
      <c r="AG61" s="97">
        <v>30</v>
      </c>
      <c r="AI61" s="104">
        <v>0.54166666666666696</v>
      </c>
      <c r="AJ61" s="96">
        <v>24</v>
      </c>
      <c r="AK61" s="97">
        <v>30</v>
      </c>
      <c r="AM61" s="104">
        <v>0.54166666666666696</v>
      </c>
      <c r="AN61" s="96">
        <v>24</v>
      </c>
      <c r="AO61" s="97">
        <v>30</v>
      </c>
    </row>
    <row r="62" spans="2:41">
      <c r="B62" s="94">
        <v>0.58333333333333304</v>
      </c>
      <c r="C62" s="108">
        <v>20</v>
      </c>
      <c r="D62" s="97">
        <v>26</v>
      </c>
      <c r="F62" s="104">
        <v>0.58333333333333304</v>
      </c>
      <c r="G62" s="96">
        <v>20</v>
      </c>
      <c r="H62" s="97">
        <v>26</v>
      </c>
      <c r="J62" s="104">
        <v>0.58333333333333304</v>
      </c>
      <c r="K62" s="96">
        <v>20</v>
      </c>
      <c r="L62" s="97">
        <v>26</v>
      </c>
      <c r="N62" s="104">
        <v>0.58333333333333304</v>
      </c>
      <c r="O62" s="96">
        <v>20</v>
      </c>
      <c r="P62" s="97">
        <v>26</v>
      </c>
      <c r="R62" s="104">
        <v>0.58333333333333304</v>
      </c>
      <c r="S62" s="96">
        <v>24</v>
      </c>
      <c r="T62" s="97">
        <v>45</v>
      </c>
      <c r="W62" s="94">
        <v>0.58333333333333304</v>
      </c>
      <c r="X62" s="108">
        <v>24</v>
      </c>
      <c r="Y62" s="97">
        <v>30</v>
      </c>
      <c r="AA62" s="104">
        <v>0.58333333333333304</v>
      </c>
      <c r="AB62" s="96">
        <v>24</v>
      </c>
      <c r="AC62" s="97">
        <v>30</v>
      </c>
      <c r="AE62" s="104">
        <v>0.58333333333333304</v>
      </c>
      <c r="AF62" s="96">
        <v>24</v>
      </c>
      <c r="AG62" s="97">
        <v>30</v>
      </c>
      <c r="AI62" s="104">
        <v>0.58333333333333304</v>
      </c>
      <c r="AJ62" s="96">
        <v>24</v>
      </c>
      <c r="AK62" s="97">
        <v>30</v>
      </c>
      <c r="AM62" s="104">
        <v>0.58333333333333304</v>
      </c>
      <c r="AN62" s="96">
        <v>24</v>
      </c>
      <c r="AO62" s="97">
        <v>30</v>
      </c>
    </row>
    <row r="63" spans="2:41">
      <c r="B63" s="94">
        <v>0.625</v>
      </c>
      <c r="C63" s="108">
        <v>22</v>
      </c>
      <c r="D63" s="97">
        <v>35</v>
      </c>
      <c r="F63" s="104">
        <v>0.625</v>
      </c>
      <c r="G63" s="96">
        <v>22</v>
      </c>
      <c r="H63" s="97">
        <v>35</v>
      </c>
      <c r="J63" s="104">
        <v>0.625</v>
      </c>
      <c r="K63" s="96">
        <v>24</v>
      </c>
      <c r="L63" s="97">
        <v>40</v>
      </c>
      <c r="N63" s="104">
        <v>0.625</v>
      </c>
      <c r="O63" s="96">
        <v>26</v>
      </c>
      <c r="P63" s="97">
        <v>45</v>
      </c>
      <c r="R63" s="104">
        <v>0.625</v>
      </c>
      <c r="S63" s="96">
        <v>35</v>
      </c>
      <c r="T63" s="97">
        <v>80</v>
      </c>
      <c r="W63" s="94">
        <v>0.625</v>
      </c>
      <c r="X63" s="108">
        <v>24</v>
      </c>
      <c r="Y63" s="97">
        <v>30</v>
      </c>
      <c r="AA63" s="104">
        <v>0.625</v>
      </c>
      <c r="AB63" s="96">
        <v>24</v>
      </c>
      <c r="AC63" s="97">
        <v>35</v>
      </c>
      <c r="AE63" s="104">
        <v>0.625</v>
      </c>
      <c r="AF63" s="96">
        <v>24</v>
      </c>
      <c r="AG63" s="97">
        <v>30</v>
      </c>
      <c r="AI63" s="104">
        <v>0.625</v>
      </c>
      <c r="AJ63" s="96">
        <v>24</v>
      </c>
      <c r="AK63" s="97">
        <v>35</v>
      </c>
      <c r="AM63" s="104">
        <v>0.625</v>
      </c>
      <c r="AN63" s="96">
        <v>24</v>
      </c>
      <c r="AO63" s="97">
        <v>35</v>
      </c>
    </row>
    <row r="64" spans="2:41">
      <c r="B64" s="94">
        <v>0.66666666666666696</v>
      </c>
      <c r="C64" s="108">
        <v>28</v>
      </c>
      <c r="D64" s="97">
        <v>45</v>
      </c>
      <c r="F64" s="104">
        <v>0.66666666666666696</v>
      </c>
      <c r="G64" s="96">
        <v>28</v>
      </c>
      <c r="H64" s="97">
        <v>50</v>
      </c>
      <c r="J64" s="104">
        <v>0.66666666666666696</v>
      </c>
      <c r="K64" s="96">
        <v>30</v>
      </c>
      <c r="L64" s="97">
        <v>55</v>
      </c>
      <c r="N64" s="104">
        <v>0.66666666666666696</v>
      </c>
      <c r="O64" s="96">
        <v>35</v>
      </c>
      <c r="P64" s="97">
        <v>65</v>
      </c>
      <c r="R64" s="104">
        <v>0.66666666666666696</v>
      </c>
      <c r="S64" s="96">
        <v>35</v>
      </c>
      <c r="T64" s="97">
        <v>70</v>
      </c>
      <c r="W64" s="94">
        <v>0.66666666666666696</v>
      </c>
      <c r="X64" s="108">
        <v>24</v>
      </c>
      <c r="Y64" s="97">
        <v>35</v>
      </c>
      <c r="AA64" s="104">
        <v>0.66666666666666696</v>
      </c>
      <c r="AB64" s="96">
        <v>24</v>
      </c>
      <c r="AC64" s="97">
        <v>30</v>
      </c>
      <c r="AE64" s="104">
        <v>0.66666666666666696</v>
      </c>
      <c r="AF64" s="96">
        <v>24</v>
      </c>
      <c r="AG64" s="97">
        <v>30</v>
      </c>
      <c r="AI64" s="104">
        <v>0.66666666666666696</v>
      </c>
      <c r="AJ64" s="96">
        <v>24</v>
      </c>
      <c r="AK64" s="97">
        <v>35</v>
      </c>
      <c r="AM64" s="104">
        <v>0.66666666666666696</v>
      </c>
      <c r="AN64" s="96">
        <v>24</v>
      </c>
      <c r="AO64" s="97">
        <v>30</v>
      </c>
    </row>
    <row r="65" spans="1:41">
      <c r="B65" s="94">
        <v>0.70833333333333304</v>
      </c>
      <c r="C65" s="108">
        <v>20</v>
      </c>
      <c r="D65" s="97">
        <v>28</v>
      </c>
      <c r="F65" s="104">
        <v>0.70833333333333304</v>
      </c>
      <c r="G65" s="96">
        <v>20</v>
      </c>
      <c r="H65" s="97">
        <v>28</v>
      </c>
      <c r="J65" s="104">
        <v>0.70833333333333304</v>
      </c>
      <c r="K65" s="96">
        <v>22</v>
      </c>
      <c r="L65" s="97">
        <v>45</v>
      </c>
      <c r="N65" s="104">
        <v>0.70833333333333304</v>
      </c>
      <c r="O65" s="96">
        <v>24</v>
      </c>
      <c r="P65" s="97">
        <v>40</v>
      </c>
      <c r="R65" s="104">
        <v>0.70833333333333304</v>
      </c>
      <c r="S65" s="96">
        <v>24</v>
      </c>
      <c r="T65" s="97">
        <v>45</v>
      </c>
      <c r="W65" s="94">
        <v>0.70833333333333304</v>
      </c>
      <c r="X65" s="108">
        <v>24</v>
      </c>
      <c r="Y65" s="97">
        <v>30</v>
      </c>
      <c r="AA65" s="104">
        <v>0.70833333333333304</v>
      </c>
      <c r="AB65" s="96">
        <v>24</v>
      </c>
      <c r="AC65" s="97">
        <v>30</v>
      </c>
      <c r="AE65" s="104">
        <v>0.70833333333333304</v>
      </c>
      <c r="AF65" s="96">
        <v>24</v>
      </c>
      <c r="AG65" s="97">
        <v>30</v>
      </c>
      <c r="AI65" s="104">
        <v>0.70833333333333304</v>
      </c>
      <c r="AJ65" s="96">
        <v>24</v>
      </c>
      <c r="AK65" s="97">
        <v>30</v>
      </c>
      <c r="AM65" s="104">
        <v>0.70833333333333304</v>
      </c>
      <c r="AN65" s="96">
        <v>22</v>
      </c>
      <c r="AO65" s="97">
        <v>30</v>
      </c>
    </row>
    <row r="66" spans="1:41">
      <c r="B66" s="94">
        <v>0.75</v>
      </c>
      <c r="C66" s="108">
        <v>20</v>
      </c>
      <c r="D66" s="97">
        <v>26</v>
      </c>
      <c r="F66" s="104">
        <v>0.75</v>
      </c>
      <c r="G66" s="96">
        <v>20</v>
      </c>
      <c r="H66" s="97">
        <v>26</v>
      </c>
      <c r="J66" s="104">
        <v>0.75</v>
      </c>
      <c r="K66" s="96">
        <v>20</v>
      </c>
      <c r="L66" s="97">
        <v>26</v>
      </c>
      <c r="N66" s="104">
        <v>0.75</v>
      </c>
      <c r="O66" s="96">
        <v>20</v>
      </c>
      <c r="P66" s="97">
        <v>26</v>
      </c>
      <c r="R66" s="104">
        <v>0.75</v>
      </c>
      <c r="S66" s="96">
        <v>20</v>
      </c>
      <c r="T66" s="97">
        <v>28</v>
      </c>
      <c r="W66" s="94">
        <v>0.75</v>
      </c>
      <c r="X66" s="108">
        <v>22</v>
      </c>
      <c r="Y66" s="97">
        <v>28</v>
      </c>
      <c r="AA66" s="104">
        <v>0.75</v>
      </c>
      <c r="AB66" s="96">
        <v>24</v>
      </c>
      <c r="AC66" s="97">
        <v>30</v>
      </c>
      <c r="AE66" s="104">
        <v>0.75</v>
      </c>
      <c r="AF66" s="96">
        <v>24</v>
      </c>
      <c r="AG66" s="97">
        <v>30</v>
      </c>
      <c r="AI66" s="104">
        <v>0.75</v>
      </c>
      <c r="AJ66" s="96">
        <v>24</v>
      </c>
      <c r="AK66" s="97">
        <v>30</v>
      </c>
      <c r="AM66" s="104">
        <v>0.75</v>
      </c>
      <c r="AN66" s="96">
        <v>22</v>
      </c>
      <c r="AO66" s="97">
        <v>30</v>
      </c>
    </row>
    <row r="67" spans="1:41">
      <c r="B67" s="94">
        <v>0.79166666666666696</v>
      </c>
      <c r="C67" s="108">
        <v>20</v>
      </c>
      <c r="D67" s="97">
        <v>26</v>
      </c>
      <c r="F67" s="104">
        <v>0.79166666666666696</v>
      </c>
      <c r="G67" s="96">
        <v>20</v>
      </c>
      <c r="H67" s="97">
        <v>26</v>
      </c>
      <c r="J67" s="104">
        <v>0.79166666666666696</v>
      </c>
      <c r="K67" s="96">
        <v>20</v>
      </c>
      <c r="L67" s="97">
        <v>26</v>
      </c>
      <c r="N67" s="104">
        <v>0.79166666666666696</v>
      </c>
      <c r="O67" s="96">
        <v>20</v>
      </c>
      <c r="P67" s="97">
        <v>26</v>
      </c>
      <c r="R67" s="104">
        <v>0.79166666666666696</v>
      </c>
      <c r="S67" s="96">
        <v>20</v>
      </c>
      <c r="T67" s="97">
        <v>26</v>
      </c>
      <c r="W67" s="94">
        <v>0.79166666666666696</v>
      </c>
      <c r="X67" s="108">
        <v>24</v>
      </c>
      <c r="Y67" s="97">
        <v>28</v>
      </c>
      <c r="AA67" s="104">
        <v>0.79166666666666696</v>
      </c>
      <c r="AB67" s="96">
        <v>22</v>
      </c>
      <c r="AC67" s="97">
        <v>28</v>
      </c>
      <c r="AE67" s="104">
        <v>0.79166666666666696</v>
      </c>
      <c r="AF67" s="96">
        <v>24</v>
      </c>
      <c r="AG67" s="97">
        <v>28</v>
      </c>
      <c r="AI67" s="104">
        <v>0.79166666666666696</v>
      </c>
      <c r="AJ67" s="96">
        <v>22</v>
      </c>
      <c r="AK67" s="97">
        <v>30</v>
      </c>
      <c r="AM67" s="104">
        <v>0.79166666666666696</v>
      </c>
      <c r="AN67" s="96">
        <v>22</v>
      </c>
      <c r="AO67" s="97">
        <v>28</v>
      </c>
    </row>
    <row r="68" spans="1:41">
      <c r="B68" s="94">
        <v>0.83333333333333304</v>
      </c>
      <c r="C68" s="108">
        <v>20</v>
      </c>
      <c r="D68" s="97">
        <v>26</v>
      </c>
      <c r="F68" s="104">
        <v>0.83333333333333304</v>
      </c>
      <c r="G68" s="96">
        <v>20</v>
      </c>
      <c r="H68" s="97">
        <v>26</v>
      </c>
      <c r="J68" s="104">
        <v>0.83333333333333304</v>
      </c>
      <c r="K68" s="96">
        <v>20</v>
      </c>
      <c r="L68" s="97">
        <v>26</v>
      </c>
      <c r="N68" s="104">
        <v>0.83333333333333304</v>
      </c>
      <c r="O68" s="96">
        <v>20</v>
      </c>
      <c r="P68" s="97">
        <v>26</v>
      </c>
      <c r="R68" s="104">
        <v>0.83333333333333304</v>
      </c>
      <c r="S68" s="96">
        <v>20</v>
      </c>
      <c r="T68" s="97">
        <v>26</v>
      </c>
      <c r="W68" s="94">
        <v>0.83333333333333304</v>
      </c>
      <c r="X68" s="108">
        <v>24</v>
      </c>
      <c r="Y68" s="97">
        <v>30</v>
      </c>
      <c r="AA68" s="104">
        <v>0.83333333333333304</v>
      </c>
      <c r="AB68" s="96">
        <v>24</v>
      </c>
      <c r="AC68" s="97">
        <v>30</v>
      </c>
      <c r="AE68" s="104">
        <v>0.83333333333333304</v>
      </c>
      <c r="AF68" s="96">
        <v>24</v>
      </c>
      <c r="AG68" s="97">
        <v>28</v>
      </c>
      <c r="AI68" s="104">
        <v>0.83333333333333304</v>
      </c>
      <c r="AJ68" s="96">
        <v>22</v>
      </c>
      <c r="AK68" s="97">
        <v>28</v>
      </c>
      <c r="AM68" s="104">
        <v>0.83333333333333304</v>
      </c>
      <c r="AN68" s="96">
        <v>22</v>
      </c>
      <c r="AO68" s="97">
        <v>28</v>
      </c>
    </row>
    <row r="69" spans="1:41">
      <c r="B69" s="94">
        <v>0.875</v>
      </c>
      <c r="C69" s="108">
        <v>20</v>
      </c>
      <c r="D69" s="97">
        <v>26</v>
      </c>
      <c r="F69" s="104">
        <v>0.875</v>
      </c>
      <c r="G69" s="96">
        <v>22</v>
      </c>
      <c r="H69" s="97">
        <v>26</v>
      </c>
      <c r="J69" s="104">
        <v>0.875</v>
      </c>
      <c r="K69" s="96">
        <v>20</v>
      </c>
      <c r="L69" s="97">
        <v>26</v>
      </c>
      <c r="N69" s="104">
        <v>0.875</v>
      </c>
      <c r="O69" s="96">
        <v>20</v>
      </c>
      <c r="P69" s="97">
        <v>26</v>
      </c>
      <c r="R69" s="104">
        <v>0.875</v>
      </c>
      <c r="S69" s="96">
        <v>20</v>
      </c>
      <c r="T69" s="97">
        <v>26</v>
      </c>
      <c r="W69" s="94">
        <v>0.875</v>
      </c>
      <c r="X69" s="108">
        <v>22</v>
      </c>
      <c r="Y69" s="97">
        <v>28</v>
      </c>
      <c r="AA69" s="104">
        <v>0.875</v>
      </c>
      <c r="AB69" s="96">
        <v>22</v>
      </c>
      <c r="AC69" s="97">
        <v>28</v>
      </c>
      <c r="AE69" s="104">
        <v>0.875</v>
      </c>
      <c r="AF69" s="96">
        <v>24</v>
      </c>
      <c r="AG69" s="97">
        <v>28</v>
      </c>
      <c r="AI69" s="104">
        <v>0.875</v>
      </c>
      <c r="AJ69" s="96">
        <v>22</v>
      </c>
      <c r="AK69" s="97">
        <v>28</v>
      </c>
      <c r="AM69" s="104">
        <v>0.875</v>
      </c>
      <c r="AN69" s="96">
        <v>22</v>
      </c>
      <c r="AO69" s="97">
        <v>28</v>
      </c>
    </row>
    <row r="70" spans="1:41">
      <c r="B70" s="94">
        <v>0.91666666666666696</v>
      </c>
      <c r="C70" s="108">
        <v>24</v>
      </c>
      <c r="D70" s="97">
        <v>28</v>
      </c>
      <c r="F70" s="104">
        <v>0.91666666666666696</v>
      </c>
      <c r="G70" s="96">
        <v>24</v>
      </c>
      <c r="H70" s="97">
        <v>28</v>
      </c>
      <c r="J70" s="104">
        <v>0.91666666666666696</v>
      </c>
      <c r="K70" s="96">
        <v>24</v>
      </c>
      <c r="L70" s="97">
        <v>28</v>
      </c>
      <c r="N70" s="104">
        <v>0.91666666666666696</v>
      </c>
      <c r="O70" s="96">
        <v>24</v>
      </c>
      <c r="P70" s="97">
        <v>28</v>
      </c>
      <c r="R70" s="104">
        <v>0.91666666666666696</v>
      </c>
      <c r="S70" s="96">
        <v>22</v>
      </c>
      <c r="T70" s="97">
        <v>28</v>
      </c>
      <c r="W70" s="94">
        <v>0.91666666666666696</v>
      </c>
      <c r="X70" s="108">
        <v>26</v>
      </c>
      <c r="Y70" s="97">
        <v>30</v>
      </c>
      <c r="AA70" s="104">
        <v>0.91666666666666696</v>
      </c>
      <c r="AB70" s="96">
        <v>28</v>
      </c>
      <c r="AC70" s="97">
        <v>28</v>
      </c>
      <c r="AE70" s="104">
        <v>0.91666666666666696</v>
      </c>
      <c r="AF70" s="96">
        <v>26</v>
      </c>
      <c r="AG70" s="97">
        <v>35</v>
      </c>
      <c r="AI70" s="104">
        <v>0.91666666666666696</v>
      </c>
      <c r="AJ70" s="96">
        <v>28</v>
      </c>
      <c r="AK70" s="97">
        <v>28</v>
      </c>
      <c r="AM70" s="104">
        <v>0.91666666666666696</v>
      </c>
      <c r="AN70" s="96">
        <v>26</v>
      </c>
      <c r="AO70" s="97">
        <v>35</v>
      </c>
    </row>
    <row r="71" spans="1:41" ht="15.75" thickBot="1">
      <c r="B71" s="95">
        <v>0.95833333333333304</v>
      </c>
      <c r="C71" s="109">
        <v>24</v>
      </c>
      <c r="D71" s="99">
        <v>28</v>
      </c>
      <c r="F71" s="106">
        <v>0.95833333333333304</v>
      </c>
      <c r="G71" s="98">
        <v>24</v>
      </c>
      <c r="H71" s="99">
        <v>28</v>
      </c>
      <c r="J71" s="106">
        <v>0.95833333333333304</v>
      </c>
      <c r="K71" s="96">
        <v>24</v>
      </c>
      <c r="L71" s="97">
        <v>28</v>
      </c>
      <c r="N71" s="106">
        <v>0.95833333333333304</v>
      </c>
      <c r="O71" s="98">
        <v>24</v>
      </c>
      <c r="P71" s="99">
        <v>28</v>
      </c>
      <c r="R71" s="106">
        <v>0.95833333333333304</v>
      </c>
      <c r="S71" s="98">
        <v>24</v>
      </c>
      <c r="T71" s="99">
        <v>28</v>
      </c>
      <c r="W71" s="95">
        <v>0.95833333333333304</v>
      </c>
      <c r="X71" s="109">
        <v>26</v>
      </c>
      <c r="Y71" s="99">
        <v>30</v>
      </c>
      <c r="AA71" s="106">
        <v>0.95833333333333304</v>
      </c>
      <c r="AB71" s="98">
        <v>26</v>
      </c>
      <c r="AC71" s="99">
        <v>30</v>
      </c>
      <c r="AE71" s="106">
        <v>0.95833333333333304</v>
      </c>
      <c r="AF71" s="96">
        <v>26</v>
      </c>
      <c r="AG71" s="97">
        <v>30</v>
      </c>
      <c r="AI71" s="106">
        <v>0.95833333333333304</v>
      </c>
      <c r="AJ71" s="98">
        <v>28</v>
      </c>
      <c r="AK71" s="99">
        <v>28</v>
      </c>
      <c r="AM71" s="106">
        <v>0.95833333333333304</v>
      </c>
      <c r="AN71" s="98">
        <v>26</v>
      </c>
      <c r="AO71" s="99">
        <v>30</v>
      </c>
    </row>
    <row r="73" spans="1:41">
      <c r="A73" t="s">
        <v>398</v>
      </c>
      <c r="B73" s="16" t="s">
        <v>395</v>
      </c>
      <c r="C73" s="163">
        <f>AVERAGE(C54:C62)+AVERAGE(X54:X62)</f>
        <v>45.333333333333329</v>
      </c>
      <c r="D73" s="163">
        <f>AVERAGE(D54:D62)+AVERAGE(Y54:Y62)</f>
        <v>60.777777777777779</v>
      </c>
      <c r="E73" s="163"/>
      <c r="F73" s="163"/>
      <c r="G73" s="163">
        <f t="shared" ref="G73:T73" si="2">AVERAGE(G54:G62)+AVERAGE(AB54:AB62)</f>
        <v>45.111111111111114</v>
      </c>
      <c r="H73" s="163">
        <f t="shared" si="2"/>
        <v>60.777777777777779</v>
      </c>
      <c r="I73" s="163"/>
      <c r="J73" s="163"/>
      <c r="K73" s="163">
        <f t="shared" si="2"/>
        <v>44.888888888888886</v>
      </c>
      <c r="L73" s="163">
        <f t="shared" si="2"/>
        <v>59.888888888888886</v>
      </c>
      <c r="M73" s="163"/>
      <c r="N73" s="163"/>
      <c r="O73" s="163">
        <f t="shared" si="2"/>
        <v>44.888888888888886</v>
      </c>
      <c r="P73" s="163">
        <f t="shared" si="2"/>
        <v>60.444444444444443</v>
      </c>
      <c r="Q73" s="163"/>
      <c r="R73" s="163"/>
      <c r="S73" s="163">
        <f t="shared" si="2"/>
        <v>44.444444444444443</v>
      </c>
      <c r="T73" s="163">
        <f t="shared" si="2"/>
        <v>59.777777777777779</v>
      </c>
      <c r="U73">
        <f>AVERAGE((D73,H73,L73,P73,T73))</f>
        <v>60.333333333333336</v>
      </c>
      <c r="W73" s="113" t="s">
        <v>271</v>
      </c>
    </row>
    <row r="74" spans="1:41">
      <c r="B74" s="16" t="s">
        <v>396</v>
      </c>
      <c r="C74" s="163">
        <f>AVERAGE(C70:C71,G48:G54)+AVERAGE(X70:X71,AB48:AB54)</f>
        <v>49.555555555555557</v>
      </c>
      <c r="D74" s="163">
        <f>AVERAGE(D70:D71,H48:H54)+AVERAGE(Y70:Y71,AC48:AC54)</f>
        <v>56</v>
      </c>
      <c r="E74" s="163"/>
      <c r="F74" s="163"/>
      <c r="G74" s="163">
        <f t="shared" ref="G74:O74" si="3">AVERAGE(G70:G71,K48:K54)+AVERAGE(AB70:AB71,AF48:AF54)</f>
        <v>50.444444444444443</v>
      </c>
      <c r="H74" s="163">
        <f t="shared" si="3"/>
        <v>56.666666666666664</v>
      </c>
      <c r="I74" s="163"/>
      <c r="J74" s="163"/>
      <c r="K74" s="163">
        <f t="shared" si="3"/>
        <v>49.777777777777779</v>
      </c>
      <c r="L74" s="163">
        <f t="shared" si="3"/>
        <v>57</v>
      </c>
      <c r="M74" s="163"/>
      <c r="N74" s="163"/>
      <c r="O74" s="163">
        <f t="shared" si="3"/>
        <v>50</v>
      </c>
      <c r="P74" s="163">
        <f>AVERAGE(P70:P71,T48:T54)+AVERAGE(AK70:AK71,AO48:AO54)</f>
        <v>57.222222222222221</v>
      </c>
      <c r="Q74" s="163"/>
      <c r="R74" s="163"/>
      <c r="S74" s="163">
        <f>AVERAGE(C74,G74,K74,O74)</f>
        <v>49.944444444444443</v>
      </c>
      <c r="T74" s="191">
        <f>AVERAGE(D74,H74,L74,P74)</f>
        <v>56.722222222222221</v>
      </c>
    </row>
    <row r="76" spans="1:41">
      <c r="B76" s="113" t="s">
        <v>268</v>
      </c>
    </row>
    <row r="78" spans="1:41">
      <c r="B78" s="600" t="s">
        <v>406</v>
      </c>
      <c r="C78" s="600"/>
      <c r="D78" s="600"/>
      <c r="E78" s="600"/>
      <c r="F78" s="600"/>
      <c r="G78" s="600"/>
      <c r="H78" s="600"/>
      <c r="I78" s="600"/>
      <c r="J78" s="600"/>
      <c r="K78" s="600"/>
      <c r="L78" s="600"/>
      <c r="M78" s="600"/>
      <c r="N78" s="600"/>
      <c r="O78" s="600"/>
      <c r="P78" s="600"/>
      <c r="Q78" s="600"/>
      <c r="R78" s="600"/>
      <c r="S78" s="600"/>
      <c r="T78" s="600"/>
      <c r="W78" s="600" t="s">
        <v>407</v>
      </c>
      <c r="X78" s="600"/>
      <c r="Y78" s="600"/>
      <c r="Z78" s="600"/>
      <c r="AA78" s="600"/>
      <c r="AB78" s="600"/>
      <c r="AC78" s="600"/>
      <c r="AD78" s="600"/>
      <c r="AE78" s="600"/>
      <c r="AF78" s="600"/>
      <c r="AG78" s="600"/>
      <c r="AH78" s="600"/>
      <c r="AI78" s="600"/>
      <c r="AJ78" s="600"/>
      <c r="AK78" s="600"/>
      <c r="AL78" s="600"/>
      <c r="AM78" s="600"/>
      <c r="AN78" s="600"/>
      <c r="AO78" s="600"/>
    </row>
    <row r="80" spans="1:41" ht="15.75" thickBot="1">
      <c r="B80" s="4"/>
      <c r="C80" s="599" t="s">
        <v>260</v>
      </c>
      <c r="D80" s="599"/>
      <c r="F80" s="4"/>
      <c r="G80" s="599" t="s">
        <v>261</v>
      </c>
      <c r="H80" s="599"/>
      <c r="J80" s="4"/>
      <c r="K80" s="599" t="s">
        <v>262</v>
      </c>
      <c r="L80" s="599"/>
      <c r="N80" s="4"/>
      <c r="O80" s="599" t="s">
        <v>263</v>
      </c>
      <c r="P80" s="599"/>
      <c r="R80" s="4"/>
      <c r="S80" s="599" t="s">
        <v>259</v>
      </c>
      <c r="T80" s="599"/>
      <c r="W80" s="4"/>
      <c r="X80" s="599" t="s">
        <v>260</v>
      </c>
      <c r="Y80" s="599"/>
      <c r="AB80" s="599" t="s">
        <v>261</v>
      </c>
      <c r="AC80" s="599"/>
      <c r="AF80" s="599" t="s">
        <v>262</v>
      </c>
      <c r="AG80" s="599"/>
      <c r="AJ80" s="599" t="s">
        <v>263</v>
      </c>
      <c r="AK80" s="599"/>
      <c r="AN80" s="599" t="s">
        <v>259</v>
      </c>
      <c r="AO80" s="599"/>
    </row>
    <row r="81" spans="2:41" ht="15.75" thickBot="1">
      <c r="B81" s="9"/>
      <c r="C81" s="110" t="s">
        <v>264</v>
      </c>
      <c r="D81" s="111" t="s">
        <v>265</v>
      </c>
      <c r="F81" s="9"/>
      <c r="G81" s="110" t="s">
        <v>264</v>
      </c>
      <c r="H81" s="111" t="s">
        <v>265</v>
      </c>
      <c r="J81" s="9"/>
      <c r="K81" s="110" t="s">
        <v>264</v>
      </c>
      <c r="L81" s="111" t="s">
        <v>265</v>
      </c>
      <c r="N81" s="9"/>
      <c r="O81" s="110" t="s">
        <v>264</v>
      </c>
      <c r="P81" s="111" t="s">
        <v>265</v>
      </c>
      <c r="R81" s="9"/>
      <c r="S81" s="110" t="s">
        <v>264</v>
      </c>
      <c r="T81" s="111" t="s">
        <v>265</v>
      </c>
      <c r="W81" s="9"/>
      <c r="X81" s="110" t="s">
        <v>264</v>
      </c>
      <c r="Y81" s="111" t="s">
        <v>265</v>
      </c>
      <c r="AA81" s="9"/>
      <c r="AB81" s="110" t="s">
        <v>264</v>
      </c>
      <c r="AC81" s="111" t="s">
        <v>265</v>
      </c>
      <c r="AE81" s="9"/>
      <c r="AF81" s="110" t="s">
        <v>264</v>
      </c>
      <c r="AG81" s="111" t="s">
        <v>265</v>
      </c>
      <c r="AI81" s="9"/>
      <c r="AJ81" s="110" t="s">
        <v>264</v>
      </c>
      <c r="AK81" s="111" t="s">
        <v>265</v>
      </c>
      <c r="AM81" s="9"/>
      <c r="AN81" s="110" t="s">
        <v>264</v>
      </c>
      <c r="AO81" s="111" t="s">
        <v>265</v>
      </c>
    </row>
    <row r="82" spans="2:41">
      <c r="B82" s="100">
        <v>0</v>
      </c>
      <c r="C82" s="107">
        <v>45</v>
      </c>
      <c r="D82" s="102">
        <v>45</v>
      </c>
      <c r="F82" s="103">
        <v>0</v>
      </c>
      <c r="G82" s="101">
        <v>45</v>
      </c>
      <c r="H82" s="102">
        <v>45</v>
      </c>
      <c r="J82" s="103">
        <v>0</v>
      </c>
      <c r="K82" s="101">
        <v>45</v>
      </c>
      <c r="L82" s="102">
        <v>45</v>
      </c>
      <c r="N82" s="103">
        <v>0</v>
      </c>
      <c r="O82" s="101">
        <v>50</v>
      </c>
      <c r="P82" s="102">
        <v>50</v>
      </c>
      <c r="R82" s="103">
        <v>0</v>
      </c>
      <c r="S82" s="101">
        <v>45</v>
      </c>
      <c r="T82" s="102">
        <v>45</v>
      </c>
      <c r="W82" s="100">
        <v>0</v>
      </c>
      <c r="X82" s="107">
        <v>50</v>
      </c>
      <c r="Y82" s="102">
        <v>50</v>
      </c>
      <c r="AA82" s="103">
        <v>0</v>
      </c>
      <c r="AB82" s="101">
        <v>50</v>
      </c>
      <c r="AC82" s="102">
        <v>50</v>
      </c>
      <c r="AE82" s="103">
        <v>0</v>
      </c>
      <c r="AF82" s="101">
        <v>50</v>
      </c>
      <c r="AG82" s="102">
        <v>50</v>
      </c>
      <c r="AI82" s="103">
        <v>0</v>
      </c>
      <c r="AJ82" s="101">
        <v>50</v>
      </c>
      <c r="AK82" s="102">
        <v>50</v>
      </c>
      <c r="AM82" s="103">
        <v>0</v>
      </c>
      <c r="AN82" s="101">
        <v>50</v>
      </c>
      <c r="AO82" s="102">
        <v>50</v>
      </c>
    </row>
    <row r="83" spans="2:41">
      <c r="B83" s="94">
        <v>4.1666666666666664E-2</v>
      </c>
      <c r="C83" s="108">
        <v>45</v>
      </c>
      <c r="D83" s="97">
        <v>45</v>
      </c>
      <c r="F83" s="104">
        <v>4.1666666666666664E-2</v>
      </c>
      <c r="G83" s="96">
        <v>45</v>
      </c>
      <c r="H83" s="97">
        <v>45</v>
      </c>
      <c r="J83" s="104">
        <v>4.1666666666666664E-2</v>
      </c>
      <c r="K83" s="96">
        <v>50</v>
      </c>
      <c r="L83" s="97">
        <v>50</v>
      </c>
      <c r="N83" s="104">
        <v>4.1666666666666664E-2</v>
      </c>
      <c r="O83" s="96">
        <v>45</v>
      </c>
      <c r="P83" s="97">
        <v>45</v>
      </c>
      <c r="R83" s="104">
        <v>4.1666666666666664E-2</v>
      </c>
      <c r="S83" s="96">
        <v>45</v>
      </c>
      <c r="T83" s="97">
        <v>45</v>
      </c>
      <c r="W83" s="94">
        <v>4.1666666666666664E-2</v>
      </c>
      <c r="X83" s="108">
        <v>50</v>
      </c>
      <c r="Y83" s="97">
        <v>50</v>
      </c>
      <c r="AA83" s="104">
        <v>4.1666666666666664E-2</v>
      </c>
      <c r="AB83" s="96">
        <v>50</v>
      </c>
      <c r="AC83" s="97">
        <v>50</v>
      </c>
      <c r="AE83" s="104">
        <v>4.1666666666666664E-2</v>
      </c>
      <c r="AF83" s="96">
        <v>50</v>
      </c>
      <c r="AG83" s="97">
        <v>50</v>
      </c>
      <c r="AI83" s="104">
        <v>4.1666666666666664E-2</v>
      </c>
      <c r="AJ83" s="96">
        <v>50</v>
      </c>
      <c r="AK83" s="97">
        <v>50</v>
      </c>
      <c r="AM83" s="104">
        <v>4.1666666666666664E-2</v>
      </c>
      <c r="AN83" s="96">
        <v>50</v>
      </c>
      <c r="AO83" s="97">
        <v>50</v>
      </c>
    </row>
    <row r="84" spans="2:41">
      <c r="B84" s="94">
        <v>8.3333333333333301E-2</v>
      </c>
      <c r="C84" s="108">
        <v>45</v>
      </c>
      <c r="D84" s="97">
        <v>45</v>
      </c>
      <c r="F84" s="104">
        <v>8.3333333333333301E-2</v>
      </c>
      <c r="G84" s="96">
        <v>45</v>
      </c>
      <c r="H84" s="97">
        <v>45</v>
      </c>
      <c r="J84" s="104">
        <v>8.3333333333333301E-2</v>
      </c>
      <c r="K84" s="96">
        <v>50</v>
      </c>
      <c r="L84" s="97">
        <v>50</v>
      </c>
      <c r="N84" s="104">
        <v>8.3333333333333301E-2</v>
      </c>
      <c r="O84" s="96">
        <v>50</v>
      </c>
      <c r="P84" s="97">
        <v>50</v>
      </c>
      <c r="R84" s="104">
        <v>8.3333333333333301E-2</v>
      </c>
      <c r="S84" s="96">
        <v>45</v>
      </c>
      <c r="T84" s="97">
        <v>45</v>
      </c>
      <c r="W84" s="94">
        <v>8.3333333333333301E-2</v>
      </c>
      <c r="X84" s="108">
        <v>50</v>
      </c>
      <c r="Y84" s="97">
        <v>50</v>
      </c>
      <c r="AA84" s="104">
        <v>8.3333333333333301E-2</v>
      </c>
      <c r="AB84" s="96">
        <v>50</v>
      </c>
      <c r="AC84" s="97">
        <v>50</v>
      </c>
      <c r="AE84" s="104">
        <v>8.3333333333333301E-2</v>
      </c>
      <c r="AF84" s="96">
        <v>50</v>
      </c>
      <c r="AG84" s="97">
        <v>50</v>
      </c>
      <c r="AI84" s="104">
        <v>8.3333333333333301E-2</v>
      </c>
      <c r="AJ84" s="96">
        <v>50</v>
      </c>
      <c r="AK84" s="97">
        <v>50</v>
      </c>
      <c r="AM84" s="104">
        <v>8.3333333333333301E-2</v>
      </c>
      <c r="AN84" s="96">
        <v>50</v>
      </c>
      <c r="AO84" s="97">
        <v>50</v>
      </c>
    </row>
    <row r="85" spans="2:41">
      <c r="B85" s="94">
        <v>0.125</v>
      </c>
      <c r="C85" s="108">
        <v>45</v>
      </c>
      <c r="D85" s="97">
        <v>45</v>
      </c>
      <c r="F85" s="104">
        <v>0.125</v>
      </c>
      <c r="G85" s="96">
        <v>45</v>
      </c>
      <c r="H85" s="97">
        <v>45</v>
      </c>
      <c r="J85" s="104">
        <v>0.125</v>
      </c>
      <c r="K85" s="96">
        <v>45</v>
      </c>
      <c r="L85" s="97">
        <v>45</v>
      </c>
      <c r="N85" s="104">
        <v>0.125</v>
      </c>
      <c r="O85" s="96">
        <v>50</v>
      </c>
      <c r="P85" s="97">
        <v>50</v>
      </c>
      <c r="R85" s="104">
        <v>0.125</v>
      </c>
      <c r="S85" s="96">
        <v>45</v>
      </c>
      <c r="T85" s="97">
        <v>45</v>
      </c>
      <c r="W85" s="94">
        <v>0.125</v>
      </c>
      <c r="X85" s="108">
        <v>50</v>
      </c>
      <c r="Y85" s="97">
        <v>50</v>
      </c>
      <c r="AA85" s="104">
        <v>0.125</v>
      </c>
      <c r="AB85" s="96">
        <v>50</v>
      </c>
      <c r="AC85" s="97">
        <v>50</v>
      </c>
      <c r="AE85" s="104">
        <v>0.125</v>
      </c>
      <c r="AF85" s="96">
        <v>50</v>
      </c>
      <c r="AG85" s="97">
        <v>50</v>
      </c>
      <c r="AI85" s="104">
        <v>0.125</v>
      </c>
      <c r="AJ85" s="96">
        <v>50</v>
      </c>
      <c r="AK85" s="97">
        <v>50</v>
      </c>
      <c r="AM85" s="104">
        <v>0.125</v>
      </c>
      <c r="AN85" s="96">
        <v>50</v>
      </c>
      <c r="AO85" s="97">
        <v>50</v>
      </c>
    </row>
    <row r="86" spans="2:41">
      <c r="B86" s="94">
        <v>0.16666666666666699</v>
      </c>
      <c r="C86" s="108">
        <v>45</v>
      </c>
      <c r="D86" s="97">
        <v>45</v>
      </c>
      <c r="F86" s="104">
        <v>0.16666666666666699</v>
      </c>
      <c r="G86" s="96">
        <v>45</v>
      </c>
      <c r="H86" s="97">
        <v>45</v>
      </c>
      <c r="J86" s="104">
        <v>0.16666666666666699</v>
      </c>
      <c r="K86" s="96">
        <v>50</v>
      </c>
      <c r="L86" s="97">
        <v>50</v>
      </c>
      <c r="N86" s="104">
        <v>0.16666666666666699</v>
      </c>
      <c r="O86" s="96">
        <v>50</v>
      </c>
      <c r="P86" s="97">
        <v>50</v>
      </c>
      <c r="R86" s="104">
        <v>0.16666666666666699</v>
      </c>
      <c r="S86" s="96">
        <v>45</v>
      </c>
      <c r="T86" s="97">
        <v>45</v>
      </c>
      <c r="W86" s="94">
        <v>0.16666666666666699</v>
      </c>
      <c r="X86" s="108">
        <v>50</v>
      </c>
      <c r="Y86" s="97">
        <v>50</v>
      </c>
      <c r="AA86" s="104">
        <v>0.16666666666666699</v>
      </c>
      <c r="AB86" s="96">
        <v>50</v>
      </c>
      <c r="AC86" s="97">
        <v>50</v>
      </c>
      <c r="AE86" s="104">
        <v>0.16666666666666699</v>
      </c>
      <c r="AF86" s="96">
        <v>50</v>
      </c>
      <c r="AG86" s="97">
        <v>50</v>
      </c>
      <c r="AI86" s="104">
        <v>0.16666666666666699</v>
      </c>
      <c r="AJ86" s="96">
        <v>50</v>
      </c>
      <c r="AK86" s="97">
        <v>50</v>
      </c>
      <c r="AM86" s="104">
        <v>0.16666666666666699</v>
      </c>
      <c r="AN86" s="96">
        <v>50</v>
      </c>
      <c r="AO86" s="97">
        <v>50</v>
      </c>
    </row>
    <row r="87" spans="2:41">
      <c r="B87" s="94">
        <v>0.20833333333333301</v>
      </c>
      <c r="C87" s="108">
        <v>45</v>
      </c>
      <c r="D87" s="97">
        <v>45</v>
      </c>
      <c r="F87" s="104">
        <v>0.20833333333333301</v>
      </c>
      <c r="G87" s="96">
        <v>50</v>
      </c>
      <c r="H87" s="97">
        <v>50</v>
      </c>
      <c r="J87" s="104">
        <v>0.20833333333333301</v>
      </c>
      <c r="K87" s="96">
        <v>45</v>
      </c>
      <c r="L87" s="97">
        <v>45</v>
      </c>
      <c r="N87" s="104">
        <v>0.20833333333333301</v>
      </c>
      <c r="O87" s="96">
        <v>50</v>
      </c>
      <c r="P87" s="97">
        <v>50</v>
      </c>
      <c r="R87" s="104">
        <v>0.20833333333333301</v>
      </c>
      <c r="S87" s="96">
        <v>50</v>
      </c>
      <c r="T87" s="97">
        <v>50</v>
      </c>
      <c r="W87" s="94">
        <v>0.20833333333333301</v>
      </c>
      <c r="X87" s="108">
        <v>50</v>
      </c>
      <c r="Y87" s="97">
        <v>50</v>
      </c>
      <c r="AA87" s="104">
        <v>0.20833333333333301</v>
      </c>
      <c r="AB87" s="96">
        <v>50</v>
      </c>
      <c r="AC87" s="97">
        <v>50</v>
      </c>
      <c r="AE87" s="104">
        <v>0.20833333333333301</v>
      </c>
      <c r="AF87" s="96">
        <v>50</v>
      </c>
      <c r="AG87" s="97">
        <v>50</v>
      </c>
      <c r="AI87" s="104">
        <v>0.20833333333333301</v>
      </c>
      <c r="AJ87" s="96">
        <v>50</v>
      </c>
      <c r="AK87" s="97">
        <v>50</v>
      </c>
      <c r="AM87" s="104">
        <v>0.20833333333333301</v>
      </c>
      <c r="AN87" s="96">
        <v>50</v>
      </c>
      <c r="AO87" s="97">
        <v>50</v>
      </c>
    </row>
    <row r="88" spans="2:41">
      <c r="B88" s="94">
        <v>0.25</v>
      </c>
      <c r="C88" s="108">
        <v>45</v>
      </c>
      <c r="D88" s="97">
        <v>45</v>
      </c>
      <c r="F88" s="104">
        <v>0.25</v>
      </c>
      <c r="G88" s="96">
        <v>45</v>
      </c>
      <c r="H88" s="97">
        <v>45</v>
      </c>
      <c r="J88" s="104">
        <v>0.25</v>
      </c>
      <c r="K88" s="96">
        <v>45</v>
      </c>
      <c r="L88" s="97">
        <v>45</v>
      </c>
      <c r="N88" s="104">
        <v>0.25</v>
      </c>
      <c r="O88" s="96">
        <v>45</v>
      </c>
      <c r="P88" s="97">
        <v>45</v>
      </c>
      <c r="R88" s="104">
        <v>0.25</v>
      </c>
      <c r="S88" s="96">
        <v>45</v>
      </c>
      <c r="T88" s="97">
        <v>45</v>
      </c>
      <c r="W88" s="94">
        <v>0.25</v>
      </c>
      <c r="X88" s="108">
        <v>45</v>
      </c>
      <c r="Y88" s="97">
        <v>65</v>
      </c>
      <c r="AA88" s="104">
        <v>0.25</v>
      </c>
      <c r="AB88" s="96">
        <v>45</v>
      </c>
      <c r="AC88" s="97">
        <v>65</v>
      </c>
      <c r="AE88" s="104">
        <v>0.25</v>
      </c>
      <c r="AF88" s="96">
        <v>45</v>
      </c>
      <c r="AG88" s="97">
        <v>60</v>
      </c>
      <c r="AI88" s="104">
        <v>0.25</v>
      </c>
      <c r="AJ88" s="96">
        <v>45</v>
      </c>
      <c r="AK88" s="97">
        <v>60</v>
      </c>
      <c r="AM88" s="104">
        <v>0.25</v>
      </c>
      <c r="AN88" s="96">
        <v>45</v>
      </c>
      <c r="AO88" s="97">
        <v>60</v>
      </c>
    </row>
    <row r="89" spans="2:41">
      <c r="B89" s="94">
        <v>0.29166666666666702</v>
      </c>
      <c r="C89" s="108">
        <v>40</v>
      </c>
      <c r="D89" s="97">
        <v>50</v>
      </c>
      <c r="F89" s="104">
        <v>0.29166666666666702</v>
      </c>
      <c r="G89" s="96">
        <v>40</v>
      </c>
      <c r="H89" s="97">
        <v>50</v>
      </c>
      <c r="J89" s="104">
        <v>0.29166666666666702</v>
      </c>
      <c r="K89" s="96">
        <v>45</v>
      </c>
      <c r="L89" s="97">
        <v>50</v>
      </c>
      <c r="N89" s="104">
        <v>0.29166666666666702</v>
      </c>
      <c r="O89" s="96">
        <v>40</v>
      </c>
      <c r="P89" s="97">
        <v>50</v>
      </c>
      <c r="R89" s="104">
        <v>0.29166666666666702</v>
      </c>
      <c r="S89" s="96">
        <v>40</v>
      </c>
      <c r="T89" s="97">
        <v>50</v>
      </c>
      <c r="W89" s="94">
        <v>0.29166666666666702</v>
      </c>
      <c r="X89" s="108">
        <v>45</v>
      </c>
      <c r="Y89" s="97">
        <v>75</v>
      </c>
      <c r="AA89" s="104">
        <v>0.29166666666666702</v>
      </c>
      <c r="AB89" s="96">
        <v>45</v>
      </c>
      <c r="AC89" s="97">
        <v>75</v>
      </c>
      <c r="AE89" s="104">
        <v>0.29166666666666702</v>
      </c>
      <c r="AF89" s="96">
        <v>45</v>
      </c>
      <c r="AG89" s="97">
        <v>70</v>
      </c>
      <c r="AI89" s="104">
        <v>0.29166666666666702</v>
      </c>
      <c r="AJ89" s="96">
        <v>45</v>
      </c>
      <c r="AK89" s="97">
        <v>70</v>
      </c>
      <c r="AM89" s="104">
        <v>0.29166666666666702</v>
      </c>
      <c r="AN89" s="96">
        <v>45</v>
      </c>
      <c r="AO89" s="97">
        <v>60</v>
      </c>
    </row>
    <row r="90" spans="2:41">
      <c r="B90" s="94">
        <v>0.33333333333333298</v>
      </c>
      <c r="C90" s="108">
        <v>40</v>
      </c>
      <c r="D90" s="97">
        <v>55</v>
      </c>
      <c r="F90" s="104">
        <v>0.33333333333333298</v>
      </c>
      <c r="G90" s="96">
        <v>45</v>
      </c>
      <c r="H90" s="97">
        <v>55</v>
      </c>
      <c r="J90" s="104">
        <v>0.33333333333333298</v>
      </c>
      <c r="K90" s="96">
        <v>40</v>
      </c>
      <c r="L90" s="97">
        <v>55</v>
      </c>
      <c r="N90" s="104">
        <v>0.33333333333333298</v>
      </c>
      <c r="O90" s="96">
        <v>40</v>
      </c>
      <c r="P90" s="97">
        <v>50</v>
      </c>
      <c r="R90" s="104">
        <v>0.33333333333333298</v>
      </c>
      <c r="S90" s="96">
        <v>40</v>
      </c>
      <c r="T90" s="97">
        <v>50</v>
      </c>
      <c r="W90" s="94">
        <v>0.33333333333333298</v>
      </c>
      <c r="X90" s="108">
        <v>45</v>
      </c>
      <c r="Y90" s="97">
        <v>80</v>
      </c>
      <c r="AA90" s="104">
        <v>0.33333333333333298</v>
      </c>
      <c r="AB90" s="96">
        <v>45</v>
      </c>
      <c r="AC90" s="97">
        <v>75</v>
      </c>
      <c r="AE90" s="104">
        <v>0.33333333333333298</v>
      </c>
      <c r="AF90" s="96">
        <v>50</v>
      </c>
      <c r="AG90" s="97">
        <v>70</v>
      </c>
      <c r="AI90" s="104">
        <v>0.33333333333333298</v>
      </c>
      <c r="AJ90" s="96">
        <v>50</v>
      </c>
      <c r="AK90" s="97">
        <v>70</v>
      </c>
      <c r="AM90" s="104">
        <v>0.33333333333333298</v>
      </c>
      <c r="AN90" s="96">
        <v>45</v>
      </c>
      <c r="AO90" s="97">
        <v>65</v>
      </c>
    </row>
    <row r="91" spans="2:41">
      <c r="B91" s="94">
        <v>0.375</v>
      </c>
      <c r="C91" s="108">
        <v>40</v>
      </c>
      <c r="D91" s="97">
        <v>50</v>
      </c>
      <c r="F91" s="104">
        <v>0.375</v>
      </c>
      <c r="G91" s="96">
        <v>40</v>
      </c>
      <c r="H91" s="97">
        <v>50</v>
      </c>
      <c r="J91" s="104">
        <v>0.375</v>
      </c>
      <c r="K91" s="96">
        <v>40</v>
      </c>
      <c r="L91" s="97">
        <v>50</v>
      </c>
      <c r="N91" s="104">
        <v>0.375</v>
      </c>
      <c r="O91" s="96">
        <v>40</v>
      </c>
      <c r="P91" s="97">
        <v>50</v>
      </c>
      <c r="R91" s="104">
        <v>0.375</v>
      </c>
      <c r="S91" s="96">
        <v>40</v>
      </c>
      <c r="T91" s="97">
        <v>50</v>
      </c>
      <c r="W91" s="94">
        <v>0.375</v>
      </c>
      <c r="X91" s="108">
        <v>45</v>
      </c>
      <c r="Y91" s="97">
        <v>60</v>
      </c>
      <c r="AA91" s="104">
        <v>0.375</v>
      </c>
      <c r="AB91" s="96">
        <v>45</v>
      </c>
      <c r="AC91" s="97">
        <v>60</v>
      </c>
      <c r="AE91" s="104">
        <v>0.375</v>
      </c>
      <c r="AF91" s="96">
        <v>45</v>
      </c>
      <c r="AG91" s="97">
        <v>55</v>
      </c>
      <c r="AI91" s="104">
        <v>0.375</v>
      </c>
      <c r="AJ91" s="96">
        <v>45</v>
      </c>
      <c r="AK91" s="97">
        <v>55</v>
      </c>
      <c r="AM91" s="104">
        <v>0.375</v>
      </c>
      <c r="AN91" s="96">
        <v>45</v>
      </c>
      <c r="AO91" s="97">
        <v>55</v>
      </c>
    </row>
    <row r="92" spans="2:41">
      <c r="B92" s="94">
        <v>0.41666666666666702</v>
      </c>
      <c r="C92" s="108">
        <v>45</v>
      </c>
      <c r="D92" s="97">
        <v>50</v>
      </c>
      <c r="F92" s="104">
        <v>0.41666666666666702</v>
      </c>
      <c r="G92" s="96">
        <v>45</v>
      </c>
      <c r="H92" s="97">
        <v>50</v>
      </c>
      <c r="J92" s="104">
        <v>0.41666666666666702</v>
      </c>
      <c r="K92" s="96">
        <v>45</v>
      </c>
      <c r="L92" s="97">
        <v>50</v>
      </c>
      <c r="N92" s="104">
        <v>0.41666666666666702</v>
      </c>
      <c r="O92" s="96">
        <v>40</v>
      </c>
      <c r="P92" s="97">
        <v>50</v>
      </c>
      <c r="R92" s="104">
        <v>0.41666666666666702</v>
      </c>
      <c r="S92" s="96">
        <v>40</v>
      </c>
      <c r="T92" s="97">
        <v>50</v>
      </c>
      <c r="W92" s="94">
        <v>0.41666666666666702</v>
      </c>
      <c r="X92" s="108">
        <v>45</v>
      </c>
      <c r="Y92" s="97">
        <v>55</v>
      </c>
      <c r="AA92" s="104">
        <v>0.41666666666666702</v>
      </c>
      <c r="AB92" s="96">
        <v>45</v>
      </c>
      <c r="AC92" s="97">
        <v>55</v>
      </c>
      <c r="AE92" s="104">
        <v>0.41666666666666702</v>
      </c>
      <c r="AF92" s="96">
        <v>45</v>
      </c>
      <c r="AG92" s="97">
        <v>55</v>
      </c>
      <c r="AI92" s="104">
        <v>0.41666666666666702</v>
      </c>
      <c r="AJ92" s="96">
        <v>45</v>
      </c>
      <c r="AK92" s="97">
        <v>55</v>
      </c>
      <c r="AM92" s="104">
        <v>0.41666666666666702</v>
      </c>
      <c r="AN92" s="96">
        <v>45</v>
      </c>
      <c r="AO92" s="97">
        <v>55</v>
      </c>
    </row>
    <row r="93" spans="2:41">
      <c r="B93" s="94">
        <v>0.45833333333333298</v>
      </c>
      <c r="C93" s="108">
        <v>45</v>
      </c>
      <c r="D93" s="97">
        <v>50</v>
      </c>
      <c r="F93" s="104">
        <v>0.45833333333333298</v>
      </c>
      <c r="G93" s="96">
        <v>45</v>
      </c>
      <c r="H93" s="97">
        <v>50</v>
      </c>
      <c r="J93" s="104">
        <v>0.45833333333333298</v>
      </c>
      <c r="K93" s="96">
        <v>45</v>
      </c>
      <c r="L93" s="97">
        <v>50</v>
      </c>
      <c r="N93" s="104">
        <v>0.45833333333333298</v>
      </c>
      <c r="O93" s="96">
        <v>40</v>
      </c>
      <c r="P93" s="97">
        <v>50</v>
      </c>
      <c r="R93" s="104">
        <v>0.45833333333333298</v>
      </c>
      <c r="S93" s="96">
        <v>40</v>
      </c>
      <c r="T93" s="97">
        <v>50</v>
      </c>
      <c r="W93" s="94">
        <v>0.45833333333333298</v>
      </c>
      <c r="X93" s="108">
        <v>45</v>
      </c>
      <c r="Y93" s="97">
        <v>55</v>
      </c>
      <c r="AA93" s="104">
        <v>0.45833333333333298</v>
      </c>
      <c r="AB93" s="96">
        <v>45</v>
      </c>
      <c r="AC93" s="97">
        <v>55</v>
      </c>
      <c r="AE93" s="104">
        <v>0.45833333333333298</v>
      </c>
      <c r="AF93" s="96">
        <v>45</v>
      </c>
      <c r="AG93" s="97">
        <v>55</v>
      </c>
      <c r="AI93" s="104">
        <v>0.45833333333333298</v>
      </c>
      <c r="AJ93" s="96">
        <v>45</v>
      </c>
      <c r="AK93" s="97">
        <v>55</v>
      </c>
      <c r="AM93" s="104">
        <v>0.45833333333333298</v>
      </c>
      <c r="AN93" s="96">
        <v>45</v>
      </c>
      <c r="AO93" s="97">
        <v>55</v>
      </c>
    </row>
    <row r="94" spans="2:41">
      <c r="B94" s="94">
        <v>0.5</v>
      </c>
      <c r="C94" s="108">
        <v>40</v>
      </c>
      <c r="D94" s="97">
        <v>50</v>
      </c>
      <c r="F94" s="104">
        <v>0.5</v>
      </c>
      <c r="G94" s="96">
        <v>40</v>
      </c>
      <c r="H94" s="97">
        <v>50</v>
      </c>
      <c r="J94" s="104">
        <v>0.5</v>
      </c>
      <c r="K94" s="96">
        <v>45</v>
      </c>
      <c r="L94" s="97">
        <v>55</v>
      </c>
      <c r="N94" s="104">
        <v>0.5</v>
      </c>
      <c r="O94" s="96">
        <v>40</v>
      </c>
      <c r="P94" s="97">
        <v>50</v>
      </c>
      <c r="R94" s="104">
        <v>0.5</v>
      </c>
      <c r="S94" s="96">
        <v>40</v>
      </c>
      <c r="T94" s="97">
        <v>50</v>
      </c>
      <c r="W94" s="94">
        <v>0.5</v>
      </c>
      <c r="X94" s="108">
        <v>45</v>
      </c>
      <c r="Y94" s="97">
        <v>55</v>
      </c>
      <c r="AA94" s="104">
        <v>0.5</v>
      </c>
      <c r="AB94" s="96">
        <v>45</v>
      </c>
      <c r="AC94" s="97">
        <v>55</v>
      </c>
      <c r="AE94" s="104">
        <v>0.5</v>
      </c>
      <c r="AF94" s="96">
        <v>45</v>
      </c>
      <c r="AG94" s="97">
        <v>55</v>
      </c>
      <c r="AI94" s="104">
        <v>0.5</v>
      </c>
      <c r="AJ94" s="96">
        <v>45</v>
      </c>
      <c r="AK94" s="97">
        <v>55</v>
      </c>
      <c r="AM94" s="104">
        <v>0.5</v>
      </c>
      <c r="AN94" s="96">
        <v>45</v>
      </c>
      <c r="AO94" s="97">
        <v>45</v>
      </c>
    </row>
    <row r="95" spans="2:41">
      <c r="B95" s="94">
        <v>0.54166666666666696</v>
      </c>
      <c r="C95" s="108">
        <v>40</v>
      </c>
      <c r="D95" s="97">
        <v>50</v>
      </c>
      <c r="F95" s="104">
        <v>0.54166666666666696</v>
      </c>
      <c r="G95" s="96">
        <v>45</v>
      </c>
      <c r="H95" s="97">
        <v>55</v>
      </c>
      <c r="J95" s="104">
        <v>0.54166666666666696</v>
      </c>
      <c r="K95" s="96">
        <v>45</v>
      </c>
      <c r="L95" s="97">
        <v>55</v>
      </c>
      <c r="N95" s="104">
        <v>0.54166666666666696</v>
      </c>
      <c r="O95" s="96">
        <v>40</v>
      </c>
      <c r="P95" s="97">
        <v>50</v>
      </c>
      <c r="R95" s="104">
        <v>0.54166666666666696</v>
      </c>
      <c r="S95" s="96">
        <v>40</v>
      </c>
      <c r="T95" s="97">
        <v>55</v>
      </c>
      <c r="W95" s="94">
        <v>0.54166666666666696</v>
      </c>
      <c r="X95" s="108">
        <v>45</v>
      </c>
      <c r="Y95" s="97">
        <v>55</v>
      </c>
      <c r="AA95" s="104">
        <v>0.54166666666666696</v>
      </c>
      <c r="AB95" s="96">
        <v>45</v>
      </c>
      <c r="AC95" s="97">
        <v>55</v>
      </c>
      <c r="AE95" s="104">
        <v>0.54166666666666696</v>
      </c>
      <c r="AF95" s="96">
        <v>45</v>
      </c>
      <c r="AG95" s="97">
        <v>55</v>
      </c>
      <c r="AI95" s="104">
        <v>0.54166666666666696</v>
      </c>
      <c r="AJ95" s="96">
        <v>45</v>
      </c>
      <c r="AK95" s="97">
        <v>55</v>
      </c>
      <c r="AM95" s="104">
        <v>0.54166666666666696</v>
      </c>
      <c r="AN95" s="96">
        <v>45</v>
      </c>
      <c r="AO95" s="97">
        <v>55</v>
      </c>
    </row>
    <row r="96" spans="2:41">
      <c r="B96" s="94">
        <v>0.58333333333333304</v>
      </c>
      <c r="C96" s="108">
        <v>40</v>
      </c>
      <c r="D96" s="97">
        <v>55</v>
      </c>
      <c r="F96" s="104">
        <v>0.58333333333333304</v>
      </c>
      <c r="G96" s="96">
        <v>40</v>
      </c>
      <c r="H96" s="97">
        <v>55</v>
      </c>
      <c r="J96" s="104">
        <v>0.58333333333333304</v>
      </c>
      <c r="K96" s="96">
        <v>40</v>
      </c>
      <c r="L96" s="97">
        <v>55</v>
      </c>
      <c r="N96" s="104">
        <v>0.58333333333333304</v>
      </c>
      <c r="O96" s="96">
        <v>40</v>
      </c>
      <c r="P96" s="97">
        <v>55</v>
      </c>
      <c r="R96" s="104">
        <v>0.58333333333333304</v>
      </c>
      <c r="S96" s="96">
        <v>40</v>
      </c>
      <c r="T96" s="97">
        <v>55</v>
      </c>
      <c r="W96" s="94">
        <v>0.58333333333333304</v>
      </c>
      <c r="X96" s="108">
        <v>45</v>
      </c>
      <c r="Y96" s="97">
        <v>55</v>
      </c>
      <c r="AA96" s="104">
        <v>0.58333333333333304</v>
      </c>
      <c r="AB96" s="96">
        <v>45</v>
      </c>
      <c r="AC96" s="97">
        <v>55</v>
      </c>
      <c r="AE96" s="104">
        <v>0.58333333333333304</v>
      </c>
      <c r="AF96" s="96">
        <v>45</v>
      </c>
      <c r="AG96" s="97">
        <v>55</v>
      </c>
      <c r="AI96" s="104">
        <v>0.58333333333333304</v>
      </c>
      <c r="AJ96" s="96">
        <v>45</v>
      </c>
      <c r="AK96" s="97">
        <v>55</v>
      </c>
      <c r="AM96" s="104">
        <v>0.58333333333333304</v>
      </c>
      <c r="AN96" s="96">
        <v>45</v>
      </c>
      <c r="AO96" s="97">
        <v>55</v>
      </c>
    </row>
    <row r="97" spans="1:41">
      <c r="B97" s="94">
        <v>0.625</v>
      </c>
      <c r="C97" s="108">
        <v>45</v>
      </c>
      <c r="D97" s="97">
        <v>60</v>
      </c>
      <c r="F97" s="104">
        <v>0.625</v>
      </c>
      <c r="G97" s="96">
        <v>45</v>
      </c>
      <c r="H97" s="97">
        <v>60</v>
      </c>
      <c r="J97" s="104">
        <v>0.625</v>
      </c>
      <c r="K97" s="96">
        <v>45</v>
      </c>
      <c r="L97" s="97">
        <v>55</v>
      </c>
      <c r="N97" s="104">
        <v>0.625</v>
      </c>
      <c r="O97" s="96">
        <v>45</v>
      </c>
      <c r="P97" s="97">
        <v>60</v>
      </c>
      <c r="R97" s="104">
        <v>0.625</v>
      </c>
      <c r="S97" s="96">
        <v>45</v>
      </c>
      <c r="T97" s="97">
        <v>60</v>
      </c>
      <c r="W97" s="94">
        <v>0.625</v>
      </c>
      <c r="X97" s="108">
        <v>45</v>
      </c>
      <c r="Y97" s="97">
        <v>55</v>
      </c>
      <c r="AA97" s="104">
        <v>0.625</v>
      </c>
      <c r="AB97" s="96">
        <v>45</v>
      </c>
      <c r="AC97" s="97">
        <v>55</v>
      </c>
      <c r="AE97" s="104">
        <v>0.625</v>
      </c>
      <c r="AF97" s="96">
        <v>45</v>
      </c>
      <c r="AG97" s="97">
        <v>55</v>
      </c>
      <c r="AI97" s="104">
        <v>0.625</v>
      </c>
      <c r="AJ97" s="96">
        <v>45</v>
      </c>
      <c r="AK97" s="97">
        <v>55</v>
      </c>
      <c r="AM97" s="104">
        <v>0.625</v>
      </c>
      <c r="AN97" s="96">
        <v>45</v>
      </c>
      <c r="AO97" s="97">
        <v>55</v>
      </c>
    </row>
    <row r="98" spans="1:41">
      <c r="B98" s="94">
        <v>0.66666666666666696</v>
      </c>
      <c r="C98" s="108">
        <v>45</v>
      </c>
      <c r="D98" s="97">
        <v>75</v>
      </c>
      <c r="F98" s="104">
        <v>0.66666666666666696</v>
      </c>
      <c r="G98" s="96">
        <v>45</v>
      </c>
      <c r="H98" s="97">
        <v>70</v>
      </c>
      <c r="J98" s="104">
        <v>0.66666666666666696</v>
      </c>
      <c r="K98" s="96">
        <v>45</v>
      </c>
      <c r="L98" s="97">
        <v>70</v>
      </c>
      <c r="N98" s="104">
        <v>0.66666666666666696</v>
      </c>
      <c r="O98" s="96">
        <v>45</v>
      </c>
      <c r="P98" s="97">
        <v>75</v>
      </c>
      <c r="R98" s="104">
        <v>0.66666666666666696</v>
      </c>
      <c r="S98" s="96">
        <v>45</v>
      </c>
      <c r="T98" s="97">
        <v>70</v>
      </c>
      <c r="W98" s="94">
        <v>0.66666666666666696</v>
      </c>
      <c r="X98" s="108">
        <v>45</v>
      </c>
      <c r="Y98" s="97">
        <v>55</v>
      </c>
      <c r="AA98" s="104">
        <v>0.66666666666666696</v>
      </c>
      <c r="AB98" s="96">
        <v>45</v>
      </c>
      <c r="AC98" s="97">
        <v>55</v>
      </c>
      <c r="AE98" s="104">
        <v>0.66666666666666696</v>
      </c>
      <c r="AF98" s="96">
        <v>45</v>
      </c>
      <c r="AG98" s="97">
        <v>55</v>
      </c>
      <c r="AI98" s="104">
        <v>0.66666666666666696</v>
      </c>
      <c r="AJ98" s="96">
        <v>45</v>
      </c>
      <c r="AK98" s="97">
        <v>55</v>
      </c>
      <c r="AM98" s="104">
        <v>0.66666666666666696</v>
      </c>
      <c r="AN98" s="96">
        <v>45</v>
      </c>
      <c r="AO98" s="97">
        <v>55</v>
      </c>
    </row>
    <row r="99" spans="1:41">
      <c r="B99" s="94">
        <v>0.70833333333333304</v>
      </c>
      <c r="C99" s="108">
        <v>45</v>
      </c>
      <c r="D99" s="97">
        <v>65</v>
      </c>
      <c r="F99" s="104">
        <v>0.70833333333333304</v>
      </c>
      <c r="G99" s="96">
        <v>45</v>
      </c>
      <c r="H99" s="97">
        <v>60</v>
      </c>
      <c r="J99" s="104">
        <v>0.70833333333333304</v>
      </c>
      <c r="K99" s="96">
        <v>45</v>
      </c>
      <c r="L99" s="97">
        <v>65</v>
      </c>
      <c r="N99" s="104">
        <v>0.70833333333333304</v>
      </c>
      <c r="O99" s="96">
        <v>45</v>
      </c>
      <c r="P99" s="97">
        <v>70</v>
      </c>
      <c r="R99" s="104">
        <v>0.70833333333333304</v>
      </c>
      <c r="S99" s="96">
        <v>45</v>
      </c>
      <c r="T99" s="97">
        <v>60</v>
      </c>
      <c r="W99" s="94">
        <v>0.70833333333333304</v>
      </c>
      <c r="X99" s="108">
        <v>45</v>
      </c>
      <c r="Y99" s="97">
        <v>55</v>
      </c>
      <c r="AA99" s="104">
        <v>0.70833333333333304</v>
      </c>
      <c r="AB99" s="96">
        <v>45</v>
      </c>
      <c r="AC99" s="97">
        <v>55</v>
      </c>
      <c r="AE99" s="104">
        <v>0.70833333333333304</v>
      </c>
      <c r="AF99" s="96">
        <v>45</v>
      </c>
      <c r="AG99" s="97">
        <v>55</v>
      </c>
      <c r="AI99" s="104">
        <v>0.70833333333333304</v>
      </c>
      <c r="AJ99" s="96">
        <v>45</v>
      </c>
      <c r="AK99" s="97">
        <v>55</v>
      </c>
      <c r="AM99" s="104">
        <v>0.70833333333333304</v>
      </c>
      <c r="AN99" s="96">
        <v>45</v>
      </c>
      <c r="AO99" s="97">
        <v>55</v>
      </c>
    </row>
    <row r="100" spans="1:41">
      <c r="B100" s="94">
        <v>0.75</v>
      </c>
      <c r="C100" s="108">
        <v>40</v>
      </c>
      <c r="D100" s="97">
        <v>50</v>
      </c>
      <c r="F100" s="104">
        <v>0.75</v>
      </c>
      <c r="G100" s="96">
        <v>40</v>
      </c>
      <c r="H100" s="97">
        <v>55</v>
      </c>
      <c r="J100" s="104">
        <v>0.75</v>
      </c>
      <c r="K100" s="96">
        <v>45</v>
      </c>
      <c r="L100" s="97">
        <v>55</v>
      </c>
      <c r="N100" s="104">
        <v>0.75</v>
      </c>
      <c r="O100" s="96">
        <v>45</v>
      </c>
      <c r="P100" s="97">
        <v>55</v>
      </c>
      <c r="R100" s="104">
        <v>0.75</v>
      </c>
      <c r="S100" s="96">
        <v>40</v>
      </c>
      <c r="T100" s="97">
        <v>50</v>
      </c>
      <c r="W100" s="94">
        <v>0.75</v>
      </c>
      <c r="X100" s="108">
        <v>45</v>
      </c>
      <c r="Y100" s="97">
        <v>55</v>
      </c>
      <c r="AA100" s="104">
        <v>0.75</v>
      </c>
      <c r="AB100" s="96">
        <v>45</v>
      </c>
      <c r="AC100" s="97">
        <v>55</v>
      </c>
      <c r="AE100" s="104">
        <v>0.75</v>
      </c>
      <c r="AF100" s="96">
        <v>45</v>
      </c>
      <c r="AG100" s="97">
        <v>55</v>
      </c>
      <c r="AI100" s="104">
        <v>0.75</v>
      </c>
      <c r="AJ100" s="96">
        <v>45</v>
      </c>
      <c r="AK100" s="97">
        <v>55</v>
      </c>
      <c r="AM100" s="104">
        <v>0.75</v>
      </c>
      <c r="AN100" s="96">
        <v>45</v>
      </c>
      <c r="AO100" s="97">
        <v>55</v>
      </c>
    </row>
    <row r="101" spans="1:41">
      <c r="B101" s="94">
        <v>0.79166666666666696</v>
      </c>
      <c r="C101" s="108">
        <v>45</v>
      </c>
      <c r="D101" s="97">
        <v>50</v>
      </c>
      <c r="F101" s="104">
        <v>0.79166666666666696</v>
      </c>
      <c r="G101" s="96">
        <v>40</v>
      </c>
      <c r="H101" s="97">
        <v>50</v>
      </c>
      <c r="J101" s="104">
        <v>0.79166666666666696</v>
      </c>
      <c r="K101" s="96">
        <v>45</v>
      </c>
      <c r="L101" s="97">
        <v>50</v>
      </c>
      <c r="N101" s="104">
        <v>0.79166666666666696</v>
      </c>
      <c r="O101" s="96">
        <v>45</v>
      </c>
      <c r="P101" s="97">
        <v>50</v>
      </c>
      <c r="R101" s="104">
        <v>0.79166666666666696</v>
      </c>
      <c r="S101" s="96">
        <v>40</v>
      </c>
      <c r="T101" s="97">
        <v>50</v>
      </c>
      <c r="W101" s="94">
        <v>0.79166666666666696</v>
      </c>
      <c r="X101" s="108">
        <v>45</v>
      </c>
      <c r="Y101" s="97">
        <v>55</v>
      </c>
      <c r="AA101" s="104">
        <v>0.79166666666666696</v>
      </c>
      <c r="AB101" s="96">
        <v>45</v>
      </c>
      <c r="AC101" s="97">
        <v>45</v>
      </c>
      <c r="AE101" s="104">
        <v>0.79166666666666696</v>
      </c>
      <c r="AF101" s="96">
        <v>45</v>
      </c>
      <c r="AG101" s="97">
        <v>55</v>
      </c>
      <c r="AI101" s="104">
        <v>0.79166666666666696</v>
      </c>
      <c r="AJ101" s="96">
        <v>50</v>
      </c>
      <c r="AK101" s="97">
        <v>50</v>
      </c>
      <c r="AM101" s="104">
        <v>0.79166666666666696</v>
      </c>
      <c r="AN101" s="96">
        <v>45</v>
      </c>
      <c r="AO101" s="97">
        <v>50</v>
      </c>
    </row>
    <row r="102" spans="1:41">
      <c r="B102" s="94">
        <v>0.83333333333333304</v>
      </c>
      <c r="C102" s="108">
        <v>50</v>
      </c>
      <c r="D102" s="97">
        <v>50</v>
      </c>
      <c r="F102" s="104">
        <v>0.83333333333333304</v>
      </c>
      <c r="G102" s="96">
        <v>45</v>
      </c>
      <c r="H102" s="97">
        <v>50</v>
      </c>
      <c r="J102" s="104">
        <v>0.83333333333333304</v>
      </c>
      <c r="K102" s="96">
        <v>45</v>
      </c>
      <c r="L102" s="97">
        <v>50</v>
      </c>
      <c r="N102" s="104">
        <v>0.83333333333333304</v>
      </c>
      <c r="O102" s="96">
        <v>45</v>
      </c>
      <c r="P102" s="97">
        <v>45</v>
      </c>
      <c r="R102" s="104">
        <v>0.83333333333333304</v>
      </c>
      <c r="S102" s="96">
        <v>40</v>
      </c>
      <c r="T102" s="97">
        <v>50</v>
      </c>
      <c r="W102" s="94">
        <v>0.83333333333333304</v>
      </c>
      <c r="X102" s="108">
        <v>50</v>
      </c>
      <c r="Y102" s="97">
        <v>50</v>
      </c>
      <c r="AA102" s="104">
        <v>0.83333333333333304</v>
      </c>
      <c r="AB102" s="96">
        <v>50</v>
      </c>
      <c r="AC102" s="97">
        <v>50</v>
      </c>
      <c r="AE102" s="104">
        <v>0.83333333333333304</v>
      </c>
      <c r="AF102" s="96">
        <v>50</v>
      </c>
      <c r="AG102" s="97">
        <v>50</v>
      </c>
      <c r="AI102" s="104">
        <v>0.83333333333333304</v>
      </c>
      <c r="AJ102" s="96">
        <v>45</v>
      </c>
      <c r="AK102" s="97">
        <v>50</v>
      </c>
      <c r="AM102" s="104">
        <v>0.83333333333333304</v>
      </c>
      <c r="AN102" s="96">
        <v>50</v>
      </c>
      <c r="AO102" s="97">
        <v>50</v>
      </c>
    </row>
    <row r="103" spans="1:41">
      <c r="B103" s="94">
        <v>0.875</v>
      </c>
      <c r="C103" s="108">
        <v>45</v>
      </c>
      <c r="D103" s="97">
        <v>45</v>
      </c>
      <c r="F103" s="104">
        <v>0.875</v>
      </c>
      <c r="G103" s="96">
        <v>50</v>
      </c>
      <c r="H103" s="97">
        <v>50</v>
      </c>
      <c r="J103" s="104">
        <v>0.875</v>
      </c>
      <c r="K103" s="96">
        <v>50</v>
      </c>
      <c r="L103" s="97">
        <v>50</v>
      </c>
      <c r="N103" s="104">
        <v>0.875</v>
      </c>
      <c r="O103" s="96">
        <v>50</v>
      </c>
      <c r="P103" s="97">
        <v>50</v>
      </c>
      <c r="R103" s="104">
        <v>0.875</v>
      </c>
      <c r="S103" s="96">
        <v>45</v>
      </c>
      <c r="T103" s="97">
        <v>45</v>
      </c>
      <c r="W103" s="94">
        <v>0.875</v>
      </c>
      <c r="X103" s="108">
        <v>50</v>
      </c>
      <c r="Y103" s="97">
        <v>50</v>
      </c>
      <c r="AA103" s="104">
        <v>0.875</v>
      </c>
      <c r="AB103" s="96">
        <v>50</v>
      </c>
      <c r="AC103" s="97">
        <v>50</v>
      </c>
      <c r="AE103" s="104">
        <v>0.875</v>
      </c>
      <c r="AF103" s="96">
        <v>50</v>
      </c>
      <c r="AG103" s="97">
        <v>50</v>
      </c>
      <c r="AI103" s="104">
        <v>0.875</v>
      </c>
      <c r="AJ103" s="96">
        <v>50</v>
      </c>
      <c r="AK103" s="97">
        <v>50</v>
      </c>
      <c r="AM103" s="104">
        <v>0.875</v>
      </c>
      <c r="AN103" s="96">
        <v>50</v>
      </c>
      <c r="AO103" s="97">
        <v>50</v>
      </c>
    </row>
    <row r="104" spans="1:41">
      <c r="B104" s="94">
        <v>0.91666666666666696</v>
      </c>
      <c r="C104" s="108">
        <v>45</v>
      </c>
      <c r="D104" s="97">
        <v>45</v>
      </c>
      <c r="F104" s="104">
        <v>0.91666666666666696</v>
      </c>
      <c r="G104" s="96">
        <v>50</v>
      </c>
      <c r="H104" s="97">
        <v>50</v>
      </c>
      <c r="J104" s="104">
        <v>0.91666666666666696</v>
      </c>
      <c r="K104" s="96">
        <v>50</v>
      </c>
      <c r="L104" s="97">
        <v>50</v>
      </c>
      <c r="N104" s="104">
        <v>0.91666666666666696</v>
      </c>
      <c r="O104" s="96">
        <v>50</v>
      </c>
      <c r="P104" s="97">
        <v>50</v>
      </c>
      <c r="R104" s="104">
        <v>0.91666666666666696</v>
      </c>
      <c r="S104" s="96">
        <v>50</v>
      </c>
      <c r="T104" s="97">
        <v>50</v>
      </c>
      <c r="W104" s="94">
        <v>0.91666666666666696</v>
      </c>
      <c r="X104" s="108">
        <v>45</v>
      </c>
      <c r="Y104" s="97">
        <v>50</v>
      </c>
      <c r="AA104" s="104">
        <v>0.91666666666666696</v>
      </c>
      <c r="AB104" s="96">
        <v>50</v>
      </c>
      <c r="AC104" s="97">
        <v>50</v>
      </c>
      <c r="AE104" s="104">
        <v>0.91666666666666696</v>
      </c>
      <c r="AF104" s="96">
        <v>50</v>
      </c>
      <c r="AG104" s="97">
        <v>50</v>
      </c>
      <c r="AI104" s="104">
        <v>0.91666666666666696</v>
      </c>
      <c r="AJ104" s="96">
        <v>50</v>
      </c>
      <c r="AK104" s="97">
        <v>50</v>
      </c>
      <c r="AM104" s="104">
        <v>0.91666666666666696</v>
      </c>
      <c r="AN104" s="96">
        <v>50</v>
      </c>
      <c r="AO104" s="97">
        <v>50</v>
      </c>
    </row>
    <row r="105" spans="1:41" ht="15.75" thickBot="1">
      <c r="B105" s="95">
        <v>0.95833333333333304</v>
      </c>
      <c r="C105" s="109">
        <v>45</v>
      </c>
      <c r="D105" s="99">
        <v>45</v>
      </c>
      <c r="F105" s="106">
        <v>0.95833333333333304</v>
      </c>
      <c r="G105" s="98">
        <v>45</v>
      </c>
      <c r="H105" s="99">
        <v>45</v>
      </c>
      <c r="J105" s="106">
        <v>0.95833333333333304</v>
      </c>
      <c r="K105" s="96">
        <v>50</v>
      </c>
      <c r="L105" s="97">
        <v>50</v>
      </c>
      <c r="N105" s="106">
        <v>0.95833333333333304</v>
      </c>
      <c r="O105" s="98">
        <v>45</v>
      </c>
      <c r="P105" s="99">
        <v>45</v>
      </c>
      <c r="R105" s="106">
        <v>0.95833333333333304</v>
      </c>
      <c r="S105" s="98">
        <v>45</v>
      </c>
      <c r="T105" s="99">
        <v>45</v>
      </c>
      <c r="W105" s="95">
        <v>0.95833333333333304</v>
      </c>
      <c r="X105" s="109">
        <v>50</v>
      </c>
      <c r="Y105" s="99">
        <v>50</v>
      </c>
      <c r="AA105" s="106">
        <v>0.95833333333333304</v>
      </c>
      <c r="AB105" s="98">
        <v>50</v>
      </c>
      <c r="AC105" s="99">
        <v>50</v>
      </c>
      <c r="AE105" s="106">
        <v>0.95833333333333304</v>
      </c>
      <c r="AF105" s="96">
        <v>50</v>
      </c>
      <c r="AG105" s="97">
        <v>50</v>
      </c>
      <c r="AI105" s="106">
        <v>0.95833333333333304</v>
      </c>
      <c r="AJ105" s="98">
        <v>50</v>
      </c>
      <c r="AK105" s="99">
        <v>50</v>
      </c>
      <c r="AM105" s="106">
        <v>0.95833333333333304</v>
      </c>
      <c r="AN105" s="98">
        <v>50</v>
      </c>
      <c r="AO105" s="99">
        <v>50</v>
      </c>
    </row>
    <row r="107" spans="1:41">
      <c r="A107" t="s">
        <v>398</v>
      </c>
      <c r="B107" s="16" t="s">
        <v>395</v>
      </c>
      <c r="C107" s="163">
        <f>AVERAGE(C88:C96)+AVERAGE(X88:X96)</f>
        <v>86.666666666666657</v>
      </c>
      <c r="D107" s="163">
        <f>AVERAGE(D88:D96)+AVERAGE(Y88:Y96)</f>
        <v>112.22222222222223</v>
      </c>
      <c r="E107" s="163"/>
      <c r="F107" s="163"/>
      <c r="G107" s="163">
        <f t="shared" ref="G107:T107" si="4">AVERAGE(G88:G96)+AVERAGE(AB88:AB96)</f>
        <v>87.777777777777771</v>
      </c>
      <c r="H107" s="163">
        <f t="shared" si="4"/>
        <v>112.22222222222223</v>
      </c>
      <c r="I107" s="163"/>
      <c r="J107" s="163"/>
      <c r="K107" s="163">
        <f t="shared" si="4"/>
        <v>88.888888888888886</v>
      </c>
      <c r="L107" s="163">
        <f t="shared" si="4"/>
        <v>110.55555555555554</v>
      </c>
      <c r="M107" s="163"/>
      <c r="N107" s="163"/>
      <c r="O107" s="163">
        <f t="shared" si="4"/>
        <v>86.111111111111114</v>
      </c>
      <c r="P107" s="163">
        <f>AVERAGE(P88:P96)+AVERAGE(AK88:AK96)</f>
        <v>108.88888888888889</v>
      </c>
      <c r="Q107" s="163"/>
      <c r="R107" s="163"/>
      <c r="S107" s="163">
        <f t="shared" si="4"/>
        <v>85.555555555555557</v>
      </c>
      <c r="T107" s="163">
        <f t="shared" si="4"/>
        <v>106.66666666666667</v>
      </c>
      <c r="W107" s="113" t="s">
        <v>268</v>
      </c>
    </row>
    <row r="108" spans="1:41">
      <c r="B108" s="16" t="s">
        <v>396</v>
      </c>
      <c r="C108" s="163">
        <f>AVERAGE(G82:G88,C104:C105)+AVERAGE(X104:X105,AB82:AB88)</f>
        <v>94.444444444444443</v>
      </c>
      <c r="D108" s="163">
        <f>AVERAGE(H82:H88,D104:D105)+AVERAGE(Y104:Y105,AC82:AC88)</f>
        <v>97.222222222222229</v>
      </c>
      <c r="E108" s="163"/>
      <c r="F108" s="163"/>
      <c r="G108" s="163">
        <f t="shared" ref="G108:O108" si="5">AVERAGE(K82:K88,G104:G105)+AVERAGE(AB104:AB105,AF82:AF88)</f>
        <v>96.666666666666657</v>
      </c>
      <c r="H108" s="163">
        <f t="shared" si="5"/>
        <v>98.333333333333343</v>
      </c>
      <c r="I108" s="163"/>
      <c r="J108" s="163"/>
      <c r="K108" s="163">
        <f t="shared" si="5"/>
        <v>98.333333333333329</v>
      </c>
      <c r="L108" s="163">
        <f>AVERAGE(P82:P88,L104:L105)+AVERAGE(AG104:AG105,AK82:AK88)</f>
        <v>100</v>
      </c>
      <c r="M108" s="163"/>
      <c r="N108" s="163"/>
      <c r="O108" s="163">
        <f t="shared" si="5"/>
        <v>95.555555555555557</v>
      </c>
      <c r="P108" s="163">
        <f>AVERAGE(T82:T88,P104:P105)+AVERAGE(AK104:AK105,AO82:AO88)</f>
        <v>97.222222222222229</v>
      </c>
      <c r="Q108" s="163"/>
      <c r="R108" s="163"/>
      <c r="S108" s="163">
        <f>AVERAGE(C108,G108,K108,O108)</f>
        <v>96.249999999999986</v>
      </c>
      <c r="T108" s="163">
        <f>AVERAGE(D108,H108,L108,P108)</f>
        <v>98.194444444444443</v>
      </c>
    </row>
    <row r="110" spans="1:41">
      <c r="B110" s="113" t="s">
        <v>269</v>
      </c>
      <c r="W110" s="113"/>
      <c r="AF110" t="s">
        <v>266</v>
      </c>
    </row>
    <row r="112" spans="1:41">
      <c r="B112" s="600" t="s">
        <v>408</v>
      </c>
      <c r="C112" s="600"/>
      <c r="D112" s="600"/>
      <c r="E112" s="600"/>
      <c r="F112" s="600"/>
      <c r="G112" s="600"/>
      <c r="H112" s="600"/>
      <c r="I112" s="600"/>
      <c r="J112" s="600"/>
      <c r="K112" s="600"/>
      <c r="L112" s="600"/>
      <c r="M112" s="600"/>
      <c r="N112" s="600"/>
      <c r="O112" s="600"/>
      <c r="P112" s="600"/>
      <c r="Q112" s="600"/>
      <c r="R112" s="600"/>
      <c r="S112" s="600"/>
      <c r="T112" s="600"/>
      <c r="W112" s="600" t="s">
        <v>409</v>
      </c>
      <c r="X112" s="600"/>
      <c r="Y112" s="600"/>
      <c r="Z112" s="600"/>
      <c r="AA112" s="600"/>
      <c r="AB112" s="600"/>
      <c r="AC112" s="600"/>
      <c r="AD112" s="600"/>
      <c r="AE112" s="600"/>
      <c r="AF112" s="600"/>
      <c r="AG112" s="600"/>
      <c r="AH112" s="600"/>
      <c r="AI112" s="600"/>
      <c r="AJ112" s="600"/>
      <c r="AK112" s="600"/>
      <c r="AL112" s="600"/>
      <c r="AM112" s="600"/>
      <c r="AN112" s="600"/>
      <c r="AO112" s="600"/>
    </row>
    <row r="114" spans="2:41" ht="15.75" thickBot="1">
      <c r="B114" s="4"/>
      <c r="C114" s="599" t="s">
        <v>260</v>
      </c>
      <c r="D114" s="599"/>
      <c r="F114" s="4"/>
      <c r="G114" s="599" t="s">
        <v>261</v>
      </c>
      <c r="H114" s="599"/>
      <c r="J114" s="4"/>
      <c r="K114" s="599" t="s">
        <v>262</v>
      </c>
      <c r="L114" s="599"/>
      <c r="N114" s="4"/>
      <c r="O114" s="599" t="s">
        <v>263</v>
      </c>
      <c r="P114" s="599"/>
      <c r="R114" s="4"/>
      <c r="S114" s="599" t="s">
        <v>259</v>
      </c>
      <c r="T114" s="599"/>
      <c r="W114" s="4"/>
      <c r="X114" s="599" t="s">
        <v>260</v>
      </c>
      <c r="Y114" s="599"/>
      <c r="AB114" s="599" t="s">
        <v>261</v>
      </c>
      <c r="AC114" s="599"/>
      <c r="AF114" s="599" t="s">
        <v>262</v>
      </c>
      <c r="AG114" s="599"/>
      <c r="AJ114" s="599" t="s">
        <v>263</v>
      </c>
      <c r="AK114" s="599"/>
      <c r="AN114" s="599" t="s">
        <v>259</v>
      </c>
      <c r="AO114" s="599"/>
    </row>
    <row r="115" spans="2:41" ht="15.75" thickBot="1">
      <c r="B115" s="9"/>
      <c r="C115" s="110" t="s">
        <v>264</v>
      </c>
      <c r="D115" s="111" t="s">
        <v>265</v>
      </c>
      <c r="F115" s="9"/>
      <c r="G115" s="110" t="s">
        <v>264</v>
      </c>
      <c r="H115" s="111" t="s">
        <v>265</v>
      </c>
      <c r="J115" s="9"/>
      <c r="K115" s="110" t="s">
        <v>264</v>
      </c>
      <c r="L115" s="111" t="s">
        <v>265</v>
      </c>
      <c r="N115" s="9"/>
      <c r="O115" s="110" t="s">
        <v>264</v>
      </c>
      <c r="P115" s="111" t="s">
        <v>265</v>
      </c>
      <c r="R115" s="9"/>
      <c r="S115" s="110" t="s">
        <v>264</v>
      </c>
      <c r="T115" s="111" t="s">
        <v>265</v>
      </c>
      <c r="W115" s="9"/>
      <c r="X115" s="110" t="s">
        <v>264</v>
      </c>
      <c r="Y115" s="111" t="s">
        <v>265</v>
      </c>
      <c r="AA115" s="9"/>
      <c r="AB115" s="110" t="s">
        <v>264</v>
      </c>
      <c r="AC115" s="111" t="s">
        <v>265</v>
      </c>
      <c r="AE115" s="9"/>
      <c r="AF115" s="110" t="s">
        <v>264</v>
      </c>
      <c r="AG115" s="111" t="s">
        <v>265</v>
      </c>
      <c r="AI115" s="9"/>
      <c r="AJ115" s="110" t="s">
        <v>264</v>
      </c>
      <c r="AK115" s="111" t="s">
        <v>265</v>
      </c>
      <c r="AM115" s="9"/>
      <c r="AN115" s="110" t="s">
        <v>264</v>
      </c>
      <c r="AO115" s="111" t="s">
        <v>265</v>
      </c>
    </row>
    <row r="116" spans="2:41">
      <c r="B116" s="100">
        <v>0</v>
      </c>
      <c r="C116" s="107">
        <v>35</v>
      </c>
      <c r="D116" s="102">
        <v>35</v>
      </c>
      <c r="F116" s="103">
        <v>0</v>
      </c>
      <c r="G116" s="101">
        <v>35</v>
      </c>
      <c r="H116" s="102">
        <v>35</v>
      </c>
      <c r="J116" s="103">
        <v>0</v>
      </c>
      <c r="K116" s="101">
        <v>35</v>
      </c>
      <c r="L116" s="102">
        <v>35</v>
      </c>
      <c r="N116" s="103">
        <v>0</v>
      </c>
      <c r="O116" s="101">
        <v>35</v>
      </c>
      <c r="P116" s="102">
        <v>35</v>
      </c>
      <c r="R116" s="103">
        <v>0</v>
      </c>
      <c r="S116" s="101">
        <v>35</v>
      </c>
      <c r="T116" s="102">
        <v>35</v>
      </c>
      <c r="W116" s="100">
        <v>0</v>
      </c>
      <c r="X116" s="107">
        <v>35</v>
      </c>
      <c r="Y116" s="102">
        <v>35</v>
      </c>
      <c r="AA116" s="103">
        <v>0</v>
      </c>
      <c r="AB116" s="101">
        <v>35</v>
      </c>
      <c r="AC116" s="102">
        <v>35</v>
      </c>
      <c r="AE116" s="103">
        <v>0</v>
      </c>
      <c r="AF116" s="101">
        <v>35</v>
      </c>
      <c r="AG116" s="102">
        <v>35</v>
      </c>
      <c r="AI116" s="103">
        <v>0</v>
      </c>
      <c r="AJ116" s="101">
        <v>35</v>
      </c>
      <c r="AK116" s="102">
        <v>35</v>
      </c>
      <c r="AM116" s="103">
        <v>0</v>
      </c>
      <c r="AN116" s="101">
        <v>35</v>
      </c>
      <c r="AO116" s="102">
        <v>35</v>
      </c>
    </row>
    <row r="117" spans="2:41">
      <c r="B117" s="94">
        <v>4.1666666666666664E-2</v>
      </c>
      <c r="C117" s="108">
        <v>35</v>
      </c>
      <c r="D117" s="97">
        <v>35</v>
      </c>
      <c r="F117" s="104">
        <v>4.1666666666666664E-2</v>
      </c>
      <c r="G117" s="96">
        <v>35</v>
      </c>
      <c r="H117" s="97">
        <v>35</v>
      </c>
      <c r="J117" s="104">
        <v>4.1666666666666664E-2</v>
      </c>
      <c r="K117" s="96">
        <v>35</v>
      </c>
      <c r="L117" s="97">
        <v>35</v>
      </c>
      <c r="N117" s="104">
        <v>4.1666666666666664E-2</v>
      </c>
      <c r="O117" s="96">
        <v>35</v>
      </c>
      <c r="P117" s="97">
        <v>35</v>
      </c>
      <c r="R117" s="104">
        <v>4.1666666666666664E-2</v>
      </c>
      <c r="S117" s="96">
        <v>35</v>
      </c>
      <c r="T117" s="97">
        <v>35</v>
      </c>
      <c r="W117" s="94">
        <v>4.1666666666666664E-2</v>
      </c>
      <c r="X117" s="108">
        <v>35</v>
      </c>
      <c r="Y117" s="97">
        <v>35</v>
      </c>
      <c r="AA117" s="104">
        <v>4.1666666666666664E-2</v>
      </c>
      <c r="AB117" s="96">
        <v>35</v>
      </c>
      <c r="AC117" s="97">
        <v>35</v>
      </c>
      <c r="AE117" s="104">
        <v>4.1666666666666664E-2</v>
      </c>
      <c r="AF117" s="96">
        <v>40</v>
      </c>
      <c r="AG117" s="97">
        <v>40</v>
      </c>
      <c r="AI117" s="104">
        <v>4.1666666666666664E-2</v>
      </c>
      <c r="AJ117" s="96">
        <v>35</v>
      </c>
      <c r="AK117" s="97">
        <v>35</v>
      </c>
      <c r="AM117" s="104">
        <v>4.1666666666666664E-2</v>
      </c>
      <c r="AN117" s="96">
        <v>35</v>
      </c>
      <c r="AO117" s="97">
        <v>35</v>
      </c>
    </row>
    <row r="118" spans="2:41">
      <c r="B118" s="94">
        <v>8.3333333333333301E-2</v>
      </c>
      <c r="C118" s="108">
        <v>35</v>
      </c>
      <c r="D118" s="97">
        <v>35</v>
      </c>
      <c r="F118" s="104">
        <v>8.3333333333333301E-2</v>
      </c>
      <c r="G118" s="96">
        <v>35</v>
      </c>
      <c r="H118" s="97">
        <v>35</v>
      </c>
      <c r="J118" s="104">
        <v>8.3333333333333301E-2</v>
      </c>
      <c r="K118" s="96">
        <v>35</v>
      </c>
      <c r="L118" s="97">
        <v>35</v>
      </c>
      <c r="N118" s="104">
        <v>8.3333333333333301E-2</v>
      </c>
      <c r="O118" s="96">
        <v>35</v>
      </c>
      <c r="P118" s="97">
        <v>35</v>
      </c>
      <c r="R118" s="104">
        <v>8.3333333333333301E-2</v>
      </c>
      <c r="S118" s="96">
        <v>35</v>
      </c>
      <c r="T118" s="97">
        <v>35</v>
      </c>
      <c r="W118" s="94">
        <v>8.3333333333333301E-2</v>
      </c>
      <c r="X118" s="108">
        <v>35</v>
      </c>
      <c r="Y118" s="97">
        <v>35</v>
      </c>
      <c r="AA118" s="104">
        <v>8.3333333333333301E-2</v>
      </c>
      <c r="AB118" s="96">
        <v>35</v>
      </c>
      <c r="AC118" s="97">
        <v>35</v>
      </c>
      <c r="AE118" s="104">
        <v>8.3333333333333301E-2</v>
      </c>
      <c r="AF118" s="96">
        <v>35</v>
      </c>
      <c r="AG118" s="97">
        <v>35</v>
      </c>
      <c r="AI118" s="104">
        <v>8.3333333333333301E-2</v>
      </c>
      <c r="AJ118" s="96">
        <v>40</v>
      </c>
      <c r="AK118" s="97">
        <v>40</v>
      </c>
      <c r="AM118" s="104">
        <v>8.3333333333333301E-2</v>
      </c>
      <c r="AN118" s="96">
        <v>40</v>
      </c>
      <c r="AO118" s="97">
        <v>40</v>
      </c>
    </row>
    <row r="119" spans="2:41">
      <c r="B119" s="94">
        <v>0.125</v>
      </c>
      <c r="C119" s="108">
        <v>35</v>
      </c>
      <c r="D119" s="97">
        <v>35</v>
      </c>
      <c r="F119" s="104">
        <v>0.125</v>
      </c>
      <c r="G119" s="96">
        <v>35</v>
      </c>
      <c r="H119" s="97">
        <v>35</v>
      </c>
      <c r="J119" s="104">
        <v>0.125</v>
      </c>
      <c r="K119" s="96">
        <v>35</v>
      </c>
      <c r="L119" s="97">
        <v>35</v>
      </c>
      <c r="N119" s="104">
        <v>0.125</v>
      </c>
      <c r="O119" s="96">
        <v>35</v>
      </c>
      <c r="P119" s="97">
        <v>35</v>
      </c>
      <c r="R119" s="104">
        <v>0.125</v>
      </c>
      <c r="S119" s="96">
        <v>35</v>
      </c>
      <c r="T119" s="97">
        <v>35</v>
      </c>
      <c r="W119" s="94">
        <v>0.125</v>
      </c>
      <c r="X119" s="108">
        <v>35</v>
      </c>
      <c r="Y119" s="97">
        <v>35</v>
      </c>
      <c r="AA119" s="104">
        <v>0.125</v>
      </c>
      <c r="AB119" s="96">
        <v>35</v>
      </c>
      <c r="AC119" s="97">
        <v>35</v>
      </c>
      <c r="AE119" s="104">
        <v>0.125</v>
      </c>
      <c r="AF119" s="96">
        <v>40</v>
      </c>
      <c r="AG119" s="97">
        <v>40</v>
      </c>
      <c r="AI119" s="104">
        <v>0.125</v>
      </c>
      <c r="AJ119" s="96">
        <v>40</v>
      </c>
      <c r="AK119" s="97">
        <v>40</v>
      </c>
      <c r="AM119" s="104">
        <v>0.125</v>
      </c>
      <c r="AN119" s="96">
        <v>35</v>
      </c>
      <c r="AO119" s="97">
        <v>35</v>
      </c>
    </row>
    <row r="120" spans="2:41">
      <c r="B120" s="94">
        <v>0.16666666666666699</v>
      </c>
      <c r="C120" s="108">
        <v>35</v>
      </c>
      <c r="D120" s="97">
        <v>35</v>
      </c>
      <c r="F120" s="104">
        <v>0.16666666666666699</v>
      </c>
      <c r="G120" s="96">
        <v>35</v>
      </c>
      <c r="H120" s="97">
        <v>35</v>
      </c>
      <c r="J120" s="104">
        <v>0.16666666666666699</v>
      </c>
      <c r="K120" s="96">
        <v>35</v>
      </c>
      <c r="L120" s="97">
        <v>35</v>
      </c>
      <c r="N120" s="104">
        <v>0.16666666666666699</v>
      </c>
      <c r="O120" s="96">
        <v>35</v>
      </c>
      <c r="P120" s="97">
        <v>35</v>
      </c>
      <c r="R120" s="104">
        <v>0.16666666666666699</v>
      </c>
      <c r="S120" s="96">
        <v>35</v>
      </c>
      <c r="T120" s="97">
        <v>35</v>
      </c>
      <c r="W120" s="94">
        <v>0.16666666666666699</v>
      </c>
      <c r="X120" s="108">
        <v>35</v>
      </c>
      <c r="Y120" s="97">
        <v>35</v>
      </c>
      <c r="AA120" s="104">
        <v>0.16666666666666699</v>
      </c>
      <c r="AB120" s="96">
        <v>35</v>
      </c>
      <c r="AC120" s="97">
        <v>35</v>
      </c>
      <c r="AE120" s="104">
        <v>0.16666666666666699</v>
      </c>
      <c r="AF120" s="96">
        <v>35</v>
      </c>
      <c r="AG120" s="97">
        <v>35</v>
      </c>
      <c r="AI120" s="104">
        <v>0.16666666666666699</v>
      </c>
      <c r="AJ120" s="96">
        <v>40</v>
      </c>
      <c r="AK120" s="97">
        <v>40</v>
      </c>
      <c r="AM120" s="104">
        <v>0.16666666666666699</v>
      </c>
      <c r="AN120" s="96">
        <v>40</v>
      </c>
      <c r="AO120" s="97">
        <v>40</v>
      </c>
    </row>
    <row r="121" spans="2:41">
      <c r="B121" s="94">
        <v>0.20833333333333301</v>
      </c>
      <c r="C121" s="108">
        <v>35</v>
      </c>
      <c r="D121" s="97">
        <v>35</v>
      </c>
      <c r="F121" s="104">
        <v>0.20833333333333301</v>
      </c>
      <c r="G121" s="96">
        <v>35</v>
      </c>
      <c r="H121" s="97">
        <v>35</v>
      </c>
      <c r="J121" s="104">
        <v>0.20833333333333301</v>
      </c>
      <c r="K121" s="96">
        <v>35</v>
      </c>
      <c r="L121" s="97">
        <v>35</v>
      </c>
      <c r="N121" s="104">
        <v>0.20833333333333301</v>
      </c>
      <c r="O121" s="96">
        <v>35</v>
      </c>
      <c r="P121" s="97">
        <v>35</v>
      </c>
      <c r="R121" s="104">
        <v>0.20833333333333301</v>
      </c>
      <c r="S121" s="96">
        <v>35</v>
      </c>
      <c r="T121" s="97">
        <v>35</v>
      </c>
      <c r="W121" s="94">
        <v>0.20833333333333301</v>
      </c>
      <c r="X121" s="108">
        <v>35</v>
      </c>
      <c r="Y121" s="97">
        <v>35</v>
      </c>
      <c r="AA121" s="104">
        <v>0.20833333333333301</v>
      </c>
      <c r="AB121" s="96">
        <v>35</v>
      </c>
      <c r="AC121" s="97">
        <v>35</v>
      </c>
      <c r="AE121" s="104">
        <v>0.20833333333333301</v>
      </c>
      <c r="AF121" s="96">
        <v>30</v>
      </c>
      <c r="AG121" s="97">
        <v>40</v>
      </c>
      <c r="AI121" s="104">
        <v>0.20833333333333301</v>
      </c>
      <c r="AJ121" s="96">
        <v>35</v>
      </c>
      <c r="AK121" s="97">
        <v>35</v>
      </c>
      <c r="AM121" s="104">
        <v>0.20833333333333301</v>
      </c>
      <c r="AN121" s="96">
        <v>30</v>
      </c>
      <c r="AO121" s="97">
        <v>40</v>
      </c>
    </row>
    <row r="122" spans="2:41">
      <c r="B122" s="94">
        <v>0.25</v>
      </c>
      <c r="C122" s="108">
        <v>26</v>
      </c>
      <c r="D122" s="97">
        <v>35</v>
      </c>
      <c r="F122" s="104">
        <v>0.25</v>
      </c>
      <c r="G122" s="96">
        <v>26</v>
      </c>
      <c r="H122" s="97">
        <v>35</v>
      </c>
      <c r="J122" s="104">
        <v>0.25</v>
      </c>
      <c r="K122" s="96">
        <v>26</v>
      </c>
      <c r="L122" s="97">
        <v>35</v>
      </c>
      <c r="N122" s="104">
        <v>0.25</v>
      </c>
      <c r="O122" s="96">
        <v>28</v>
      </c>
      <c r="P122" s="97">
        <v>35</v>
      </c>
      <c r="R122" s="104">
        <v>0.25</v>
      </c>
      <c r="S122" s="96">
        <v>28</v>
      </c>
      <c r="T122" s="97">
        <v>35</v>
      </c>
      <c r="W122" s="94">
        <v>0.25</v>
      </c>
      <c r="X122" s="108">
        <v>30</v>
      </c>
      <c r="Y122" s="97">
        <v>40</v>
      </c>
      <c r="AA122" s="104">
        <v>0.25</v>
      </c>
      <c r="AB122" s="96">
        <v>30</v>
      </c>
      <c r="AC122" s="97">
        <v>40</v>
      </c>
      <c r="AE122" s="104">
        <v>0.25</v>
      </c>
      <c r="AF122" s="96">
        <v>30</v>
      </c>
      <c r="AG122" s="97">
        <v>40</v>
      </c>
      <c r="AI122" s="104">
        <v>0.25</v>
      </c>
      <c r="AJ122" s="96">
        <v>30</v>
      </c>
      <c r="AK122" s="97">
        <v>40</v>
      </c>
      <c r="AM122" s="104">
        <v>0.25</v>
      </c>
      <c r="AN122" s="96">
        <v>30</v>
      </c>
      <c r="AO122" s="97">
        <v>40</v>
      </c>
    </row>
    <row r="123" spans="2:41">
      <c r="B123" s="94">
        <v>0.29166666666666702</v>
      </c>
      <c r="C123" s="108">
        <v>28</v>
      </c>
      <c r="D123" s="97">
        <v>35</v>
      </c>
      <c r="F123" s="104">
        <v>0.29166666666666702</v>
      </c>
      <c r="G123" s="96">
        <v>28</v>
      </c>
      <c r="H123" s="97">
        <v>35</v>
      </c>
      <c r="J123" s="104">
        <v>0.29166666666666702</v>
      </c>
      <c r="K123" s="96">
        <v>28</v>
      </c>
      <c r="L123" s="97">
        <v>35</v>
      </c>
      <c r="N123" s="104">
        <v>0.29166666666666702</v>
      </c>
      <c r="O123" s="96">
        <v>28</v>
      </c>
      <c r="P123" s="97">
        <v>35</v>
      </c>
      <c r="R123" s="104">
        <v>0.29166666666666702</v>
      </c>
      <c r="S123" s="96">
        <v>28</v>
      </c>
      <c r="T123" s="97">
        <v>35</v>
      </c>
      <c r="W123" s="94">
        <v>0.29166666666666702</v>
      </c>
      <c r="X123" s="108">
        <v>35</v>
      </c>
      <c r="Y123" s="97">
        <v>60</v>
      </c>
      <c r="AA123" s="104">
        <v>0.29166666666666702</v>
      </c>
      <c r="AB123" s="96">
        <v>35</v>
      </c>
      <c r="AC123" s="97">
        <v>60</v>
      </c>
      <c r="AE123" s="104">
        <v>0.29166666666666702</v>
      </c>
      <c r="AF123" s="96">
        <v>35</v>
      </c>
      <c r="AG123" s="97">
        <v>55</v>
      </c>
      <c r="AI123" s="104">
        <v>0.29166666666666702</v>
      </c>
      <c r="AJ123" s="96">
        <v>35</v>
      </c>
      <c r="AK123" s="97">
        <v>60</v>
      </c>
      <c r="AM123" s="104">
        <v>0.29166666666666702</v>
      </c>
      <c r="AN123" s="96">
        <v>30</v>
      </c>
      <c r="AO123" s="97">
        <v>40</v>
      </c>
    </row>
    <row r="124" spans="2:41">
      <c r="B124" s="94">
        <v>0.33333333333333298</v>
      </c>
      <c r="C124" s="108">
        <v>28</v>
      </c>
      <c r="D124" s="97">
        <v>35</v>
      </c>
      <c r="F124" s="104">
        <v>0.33333333333333298</v>
      </c>
      <c r="G124" s="96">
        <v>28</v>
      </c>
      <c r="H124" s="97">
        <v>35</v>
      </c>
      <c r="J124" s="104">
        <v>0.33333333333333298</v>
      </c>
      <c r="K124" s="96">
        <v>28</v>
      </c>
      <c r="L124" s="97">
        <v>35</v>
      </c>
      <c r="N124" s="104">
        <v>0.33333333333333298</v>
      </c>
      <c r="O124" s="96">
        <v>28</v>
      </c>
      <c r="P124" s="97">
        <v>35</v>
      </c>
      <c r="R124" s="104">
        <v>0.33333333333333298</v>
      </c>
      <c r="S124" s="96">
        <v>28</v>
      </c>
      <c r="T124" s="97">
        <v>35</v>
      </c>
      <c r="W124" s="94">
        <v>0.33333333333333298</v>
      </c>
      <c r="X124" s="108">
        <v>40</v>
      </c>
      <c r="Y124" s="97">
        <v>65</v>
      </c>
      <c r="AA124" s="104">
        <v>0.33333333333333298</v>
      </c>
      <c r="AB124" s="96">
        <v>40</v>
      </c>
      <c r="AC124" s="97">
        <v>65</v>
      </c>
      <c r="AE124" s="104">
        <v>0.33333333333333298</v>
      </c>
      <c r="AF124" s="96">
        <v>40</v>
      </c>
      <c r="AG124" s="97">
        <v>60</v>
      </c>
      <c r="AI124" s="104">
        <v>0.33333333333333298</v>
      </c>
      <c r="AJ124" s="96">
        <v>40</v>
      </c>
      <c r="AK124" s="97">
        <v>65</v>
      </c>
      <c r="AM124" s="104">
        <v>0.33333333333333298</v>
      </c>
      <c r="AN124" s="96">
        <v>35</v>
      </c>
      <c r="AO124" s="97">
        <v>50</v>
      </c>
    </row>
    <row r="125" spans="2:41">
      <c r="B125" s="94">
        <v>0.375</v>
      </c>
      <c r="C125" s="108">
        <v>28</v>
      </c>
      <c r="D125" s="97">
        <v>35</v>
      </c>
      <c r="F125" s="104">
        <v>0.375</v>
      </c>
      <c r="G125" s="96">
        <v>28</v>
      </c>
      <c r="H125" s="97">
        <v>35</v>
      </c>
      <c r="J125" s="104">
        <v>0.375</v>
      </c>
      <c r="K125" s="96">
        <v>28</v>
      </c>
      <c r="L125" s="97">
        <v>35</v>
      </c>
      <c r="N125" s="104">
        <v>0.375</v>
      </c>
      <c r="O125" s="96">
        <v>28</v>
      </c>
      <c r="P125" s="97">
        <v>35</v>
      </c>
      <c r="R125" s="104">
        <v>0.375</v>
      </c>
      <c r="S125" s="96">
        <v>28</v>
      </c>
      <c r="T125" s="97">
        <v>35</v>
      </c>
      <c r="W125" s="94">
        <v>0.375</v>
      </c>
      <c r="X125" s="108">
        <v>30</v>
      </c>
      <c r="Y125" s="97">
        <v>40</v>
      </c>
      <c r="AA125" s="104">
        <v>0.375</v>
      </c>
      <c r="AB125" s="96">
        <v>30</v>
      </c>
      <c r="AC125" s="97">
        <v>45</v>
      </c>
      <c r="AE125" s="104">
        <v>0.375</v>
      </c>
      <c r="AF125" s="96">
        <v>30</v>
      </c>
      <c r="AG125" s="97">
        <v>40</v>
      </c>
      <c r="AI125" s="104">
        <v>0.375</v>
      </c>
      <c r="AJ125" s="96">
        <v>30</v>
      </c>
      <c r="AK125" s="97">
        <v>40</v>
      </c>
      <c r="AM125" s="104">
        <v>0.375</v>
      </c>
      <c r="AN125" s="96">
        <v>30</v>
      </c>
      <c r="AO125" s="97">
        <v>40</v>
      </c>
    </row>
    <row r="126" spans="2:41">
      <c r="B126" s="94">
        <v>0.41666666666666702</v>
      </c>
      <c r="C126" s="108">
        <v>28</v>
      </c>
      <c r="D126" s="97">
        <v>35</v>
      </c>
      <c r="F126" s="104">
        <v>0.41666666666666702</v>
      </c>
      <c r="G126" s="96">
        <v>28</v>
      </c>
      <c r="H126" s="97">
        <v>35</v>
      </c>
      <c r="J126" s="104">
        <v>0.41666666666666702</v>
      </c>
      <c r="K126" s="96">
        <v>28</v>
      </c>
      <c r="L126" s="97">
        <v>35</v>
      </c>
      <c r="N126" s="104">
        <v>0.41666666666666702</v>
      </c>
      <c r="O126" s="96">
        <v>28</v>
      </c>
      <c r="P126" s="97">
        <v>35</v>
      </c>
      <c r="R126" s="104">
        <v>0.41666666666666702</v>
      </c>
      <c r="S126" s="96">
        <v>28</v>
      </c>
      <c r="T126" s="97">
        <v>35</v>
      </c>
      <c r="W126" s="94">
        <v>0.41666666666666702</v>
      </c>
      <c r="X126" s="108">
        <v>30</v>
      </c>
      <c r="Y126" s="97">
        <v>40</v>
      </c>
      <c r="AA126" s="104">
        <v>0.41666666666666702</v>
      </c>
      <c r="AB126" s="96">
        <v>30</v>
      </c>
      <c r="AC126" s="97">
        <v>40</v>
      </c>
      <c r="AE126" s="104">
        <v>0.41666666666666702</v>
      </c>
      <c r="AF126" s="96">
        <v>30</v>
      </c>
      <c r="AG126" s="97">
        <v>40</v>
      </c>
      <c r="AI126" s="104">
        <v>0.41666666666666702</v>
      </c>
      <c r="AJ126" s="96">
        <v>30</v>
      </c>
      <c r="AK126" s="97">
        <v>40</v>
      </c>
      <c r="AM126" s="104">
        <v>0.41666666666666702</v>
      </c>
      <c r="AN126" s="96">
        <v>30</v>
      </c>
      <c r="AO126" s="97">
        <v>40</v>
      </c>
    </row>
    <row r="127" spans="2:41">
      <c r="B127" s="94">
        <v>0.45833333333333298</v>
      </c>
      <c r="C127" s="108">
        <v>28</v>
      </c>
      <c r="D127" s="97">
        <v>35</v>
      </c>
      <c r="F127" s="104">
        <v>0.45833333333333298</v>
      </c>
      <c r="G127" s="96">
        <v>28</v>
      </c>
      <c r="H127" s="97">
        <v>35</v>
      </c>
      <c r="J127" s="104">
        <v>0.45833333333333298</v>
      </c>
      <c r="K127" s="96">
        <v>28</v>
      </c>
      <c r="L127" s="97">
        <v>35</v>
      </c>
      <c r="N127" s="104">
        <v>0.45833333333333298</v>
      </c>
      <c r="O127" s="96">
        <v>28</v>
      </c>
      <c r="P127" s="97">
        <v>35</v>
      </c>
      <c r="R127" s="104">
        <v>0.45833333333333298</v>
      </c>
      <c r="S127" s="96">
        <v>28</v>
      </c>
      <c r="T127" s="97">
        <v>35</v>
      </c>
      <c r="W127" s="94">
        <v>0.45833333333333298</v>
      </c>
      <c r="X127" s="108">
        <v>30</v>
      </c>
      <c r="Y127" s="97">
        <v>40</v>
      </c>
      <c r="AA127" s="104">
        <v>0.45833333333333298</v>
      </c>
      <c r="AB127" s="96">
        <v>30</v>
      </c>
      <c r="AC127" s="97">
        <v>40</v>
      </c>
      <c r="AE127" s="104">
        <v>0.45833333333333298</v>
      </c>
      <c r="AF127" s="96">
        <v>30</v>
      </c>
      <c r="AG127" s="97">
        <v>40</v>
      </c>
      <c r="AI127" s="104">
        <v>0.45833333333333298</v>
      </c>
      <c r="AJ127" s="96">
        <v>30</v>
      </c>
      <c r="AK127" s="97">
        <v>40</v>
      </c>
      <c r="AM127" s="104">
        <v>0.45833333333333298</v>
      </c>
      <c r="AN127" s="96">
        <v>30</v>
      </c>
      <c r="AO127" s="97">
        <v>40</v>
      </c>
    </row>
    <row r="128" spans="2:41">
      <c r="B128" s="94">
        <v>0.5</v>
      </c>
      <c r="C128" s="108">
        <v>28</v>
      </c>
      <c r="D128" s="97">
        <v>35</v>
      </c>
      <c r="F128" s="104">
        <v>0.5</v>
      </c>
      <c r="G128" s="96">
        <v>28</v>
      </c>
      <c r="H128" s="97">
        <v>35</v>
      </c>
      <c r="J128" s="104">
        <v>0.5</v>
      </c>
      <c r="K128" s="96">
        <v>28</v>
      </c>
      <c r="L128" s="97">
        <v>35</v>
      </c>
      <c r="N128" s="104">
        <v>0.5</v>
      </c>
      <c r="O128" s="96">
        <v>28</v>
      </c>
      <c r="P128" s="97">
        <v>35</v>
      </c>
      <c r="R128" s="104">
        <v>0.5</v>
      </c>
      <c r="S128" s="96">
        <v>28</v>
      </c>
      <c r="T128" s="97">
        <v>35</v>
      </c>
      <c r="W128" s="94">
        <v>0.5</v>
      </c>
      <c r="X128" s="108">
        <v>30</v>
      </c>
      <c r="Y128" s="97">
        <v>40</v>
      </c>
      <c r="AA128" s="104">
        <v>0.5</v>
      </c>
      <c r="AB128" s="96">
        <v>30</v>
      </c>
      <c r="AC128" s="97">
        <v>40</v>
      </c>
      <c r="AE128" s="104">
        <v>0.5</v>
      </c>
      <c r="AF128" s="96">
        <v>30</v>
      </c>
      <c r="AG128" s="97">
        <v>40</v>
      </c>
      <c r="AI128" s="104">
        <v>0.5</v>
      </c>
      <c r="AJ128" s="96">
        <v>30</v>
      </c>
      <c r="AK128" s="97">
        <v>40</v>
      </c>
      <c r="AM128" s="104">
        <v>0.5</v>
      </c>
      <c r="AN128" s="96">
        <v>30</v>
      </c>
      <c r="AO128" s="97">
        <v>40</v>
      </c>
    </row>
    <row r="129" spans="1:41">
      <c r="B129" s="94">
        <v>0.54166666666666696</v>
      </c>
      <c r="C129" s="108">
        <v>28</v>
      </c>
      <c r="D129" s="97">
        <v>35</v>
      </c>
      <c r="F129" s="104">
        <v>0.54166666666666696</v>
      </c>
      <c r="G129" s="96">
        <v>28</v>
      </c>
      <c r="H129" s="97">
        <v>35</v>
      </c>
      <c r="J129" s="104">
        <v>0.54166666666666696</v>
      </c>
      <c r="K129" s="96">
        <v>28</v>
      </c>
      <c r="L129" s="97">
        <v>35</v>
      </c>
      <c r="N129" s="104">
        <v>0.54166666666666696</v>
      </c>
      <c r="O129" s="96">
        <v>28</v>
      </c>
      <c r="P129" s="97">
        <v>35</v>
      </c>
      <c r="R129" s="104">
        <v>0.54166666666666696</v>
      </c>
      <c r="S129" s="96">
        <v>28</v>
      </c>
      <c r="T129" s="97">
        <v>35</v>
      </c>
      <c r="W129" s="94">
        <v>0.54166666666666696</v>
      </c>
      <c r="X129" s="108">
        <v>30</v>
      </c>
      <c r="Y129" s="97">
        <v>40</v>
      </c>
      <c r="AA129" s="104">
        <v>0.54166666666666696</v>
      </c>
      <c r="AB129" s="96">
        <v>30</v>
      </c>
      <c r="AC129" s="97">
        <v>40</v>
      </c>
      <c r="AE129" s="104">
        <v>0.54166666666666696</v>
      </c>
      <c r="AF129" s="96">
        <v>30</v>
      </c>
      <c r="AG129" s="97">
        <v>40</v>
      </c>
      <c r="AI129" s="104">
        <v>0.54166666666666696</v>
      </c>
      <c r="AJ129" s="96">
        <v>30</v>
      </c>
      <c r="AK129" s="97">
        <v>40</v>
      </c>
      <c r="AM129" s="104">
        <v>0.54166666666666696</v>
      </c>
      <c r="AN129" s="96">
        <v>30</v>
      </c>
      <c r="AO129" s="97">
        <v>40</v>
      </c>
    </row>
    <row r="130" spans="1:41">
      <c r="B130" s="94">
        <v>0.58333333333333304</v>
      </c>
      <c r="C130" s="108">
        <v>28</v>
      </c>
      <c r="D130" s="97">
        <v>35</v>
      </c>
      <c r="F130" s="104">
        <v>0.58333333333333304</v>
      </c>
      <c r="G130" s="96">
        <v>28</v>
      </c>
      <c r="H130" s="97">
        <v>35</v>
      </c>
      <c r="J130" s="104">
        <v>0.58333333333333304</v>
      </c>
      <c r="K130" s="96">
        <v>28</v>
      </c>
      <c r="L130" s="97">
        <v>35</v>
      </c>
      <c r="N130" s="104">
        <v>0.58333333333333304</v>
      </c>
      <c r="O130" s="96">
        <v>28</v>
      </c>
      <c r="P130" s="97">
        <v>35</v>
      </c>
      <c r="R130" s="104">
        <v>0.58333333333333304</v>
      </c>
      <c r="S130" s="96">
        <v>30</v>
      </c>
      <c r="T130" s="97">
        <v>55</v>
      </c>
      <c r="W130" s="94">
        <v>0.58333333333333304</v>
      </c>
      <c r="X130" s="108">
        <v>30</v>
      </c>
      <c r="Y130" s="97">
        <v>40</v>
      </c>
      <c r="AA130" s="104">
        <v>0.58333333333333304</v>
      </c>
      <c r="AB130" s="96">
        <v>30</v>
      </c>
      <c r="AC130" s="97">
        <v>40</v>
      </c>
      <c r="AE130" s="104">
        <v>0.58333333333333304</v>
      </c>
      <c r="AF130" s="96">
        <v>30</v>
      </c>
      <c r="AG130" s="97">
        <v>40</v>
      </c>
      <c r="AI130" s="104">
        <v>0.58333333333333304</v>
      </c>
      <c r="AJ130" s="96">
        <v>30</v>
      </c>
      <c r="AK130" s="97">
        <v>40</v>
      </c>
      <c r="AM130" s="104">
        <v>0.58333333333333304</v>
      </c>
      <c r="AN130" s="96">
        <v>30</v>
      </c>
      <c r="AO130" s="97">
        <v>40</v>
      </c>
    </row>
    <row r="131" spans="1:41">
      <c r="B131" s="94">
        <v>0.625</v>
      </c>
      <c r="C131" s="108">
        <v>30</v>
      </c>
      <c r="D131" s="97">
        <v>45</v>
      </c>
      <c r="F131" s="104">
        <v>0.625</v>
      </c>
      <c r="G131" s="96">
        <v>30</v>
      </c>
      <c r="H131" s="97">
        <v>45</v>
      </c>
      <c r="J131" s="104">
        <v>0.625</v>
      </c>
      <c r="K131" s="96">
        <v>30</v>
      </c>
      <c r="L131" s="97">
        <v>50</v>
      </c>
      <c r="N131" s="104">
        <v>0.625</v>
      </c>
      <c r="O131" s="96">
        <v>35</v>
      </c>
      <c r="P131" s="97">
        <v>55</v>
      </c>
      <c r="R131" s="104">
        <v>0.625</v>
      </c>
      <c r="S131" s="96">
        <v>40</v>
      </c>
      <c r="T131" s="97">
        <v>90</v>
      </c>
      <c r="W131" s="94">
        <v>0.625</v>
      </c>
      <c r="X131" s="108">
        <v>30</v>
      </c>
      <c r="Y131" s="97">
        <v>40</v>
      </c>
      <c r="AA131" s="104">
        <v>0.625</v>
      </c>
      <c r="AB131" s="96">
        <v>30</v>
      </c>
      <c r="AC131" s="97">
        <v>40</v>
      </c>
      <c r="AE131" s="104">
        <v>0.625</v>
      </c>
      <c r="AF131" s="96">
        <v>30</v>
      </c>
      <c r="AG131" s="97">
        <v>40</v>
      </c>
      <c r="AI131" s="104">
        <v>0.625</v>
      </c>
      <c r="AJ131" s="96">
        <v>30</v>
      </c>
      <c r="AK131" s="97">
        <v>40</v>
      </c>
      <c r="AM131" s="104">
        <v>0.625</v>
      </c>
      <c r="AN131" s="96">
        <v>30</v>
      </c>
      <c r="AO131" s="97">
        <v>40</v>
      </c>
    </row>
    <row r="132" spans="1:41">
      <c r="B132" s="94">
        <v>0.66666666666666696</v>
      </c>
      <c r="C132" s="108">
        <v>35</v>
      </c>
      <c r="D132" s="97">
        <v>55</v>
      </c>
      <c r="F132" s="104">
        <v>0.66666666666666696</v>
      </c>
      <c r="G132" s="96">
        <v>35</v>
      </c>
      <c r="H132" s="97">
        <v>60</v>
      </c>
      <c r="J132" s="104">
        <v>0.66666666666666696</v>
      </c>
      <c r="K132" s="96">
        <v>35</v>
      </c>
      <c r="L132" s="97">
        <v>50</v>
      </c>
      <c r="N132" s="104">
        <v>0.66666666666666696</v>
      </c>
      <c r="O132" s="96">
        <v>40</v>
      </c>
      <c r="P132" s="97">
        <v>70</v>
      </c>
      <c r="R132" s="104">
        <v>0.66666666666666696</v>
      </c>
      <c r="S132" s="96">
        <v>40</v>
      </c>
      <c r="T132" s="97">
        <v>80</v>
      </c>
      <c r="W132" s="94">
        <v>0.66666666666666696</v>
      </c>
      <c r="X132" s="108">
        <v>30</v>
      </c>
      <c r="Y132" s="97">
        <v>45</v>
      </c>
      <c r="AA132" s="104">
        <v>0.66666666666666696</v>
      </c>
      <c r="AB132" s="96">
        <v>30</v>
      </c>
      <c r="AC132" s="97">
        <v>40</v>
      </c>
      <c r="AE132" s="104">
        <v>0.66666666666666696</v>
      </c>
      <c r="AF132" s="96">
        <v>30</v>
      </c>
      <c r="AG132" s="97">
        <v>40</v>
      </c>
      <c r="AI132" s="104">
        <v>0.66666666666666696</v>
      </c>
      <c r="AJ132" s="96">
        <v>30</v>
      </c>
      <c r="AK132" s="97">
        <v>45</v>
      </c>
      <c r="AM132" s="104">
        <v>0.66666666666666696</v>
      </c>
      <c r="AN132" s="96">
        <v>30</v>
      </c>
      <c r="AO132" s="97">
        <v>40</v>
      </c>
    </row>
    <row r="133" spans="1:41">
      <c r="B133" s="94">
        <v>0.70833333333333304</v>
      </c>
      <c r="C133" s="108">
        <v>28</v>
      </c>
      <c r="D133" s="97">
        <v>40</v>
      </c>
      <c r="F133" s="104">
        <v>0.70833333333333304</v>
      </c>
      <c r="G133" s="96">
        <v>28</v>
      </c>
      <c r="H133" s="97">
        <v>40</v>
      </c>
      <c r="J133" s="104">
        <v>0.70833333333333304</v>
      </c>
      <c r="K133" s="96">
        <v>28</v>
      </c>
      <c r="L133" s="97">
        <v>40</v>
      </c>
      <c r="N133" s="104">
        <v>0.70833333333333304</v>
      </c>
      <c r="O133" s="96">
        <v>30</v>
      </c>
      <c r="P133" s="97">
        <v>45</v>
      </c>
      <c r="R133" s="104">
        <v>0.70833333333333304</v>
      </c>
      <c r="S133" s="96">
        <v>35</v>
      </c>
      <c r="T133" s="97">
        <v>50</v>
      </c>
      <c r="W133" s="94">
        <v>0.70833333333333304</v>
      </c>
      <c r="X133" s="108">
        <v>30</v>
      </c>
      <c r="Y133" s="97">
        <v>40</v>
      </c>
      <c r="AA133" s="104">
        <v>0.70833333333333304</v>
      </c>
      <c r="AB133" s="96">
        <v>30</v>
      </c>
      <c r="AC133" s="97">
        <v>40</v>
      </c>
      <c r="AE133" s="104">
        <v>0.70833333333333304</v>
      </c>
      <c r="AF133" s="96">
        <v>30</v>
      </c>
      <c r="AG133" s="97">
        <v>40</v>
      </c>
      <c r="AI133" s="104">
        <v>0.70833333333333304</v>
      </c>
      <c r="AJ133" s="96">
        <v>30</v>
      </c>
      <c r="AK133" s="97">
        <v>40</v>
      </c>
      <c r="AM133" s="104">
        <v>0.70833333333333304</v>
      </c>
      <c r="AN133" s="96">
        <v>30</v>
      </c>
      <c r="AO133" s="97">
        <v>40</v>
      </c>
    </row>
    <row r="134" spans="1:41">
      <c r="B134" s="94">
        <v>0.75</v>
      </c>
      <c r="C134" s="108">
        <v>28</v>
      </c>
      <c r="D134" s="97">
        <v>35</v>
      </c>
      <c r="F134" s="104">
        <v>0.75</v>
      </c>
      <c r="G134" s="96">
        <v>28</v>
      </c>
      <c r="H134" s="97">
        <v>35</v>
      </c>
      <c r="J134" s="104">
        <v>0.75</v>
      </c>
      <c r="K134" s="96">
        <v>28</v>
      </c>
      <c r="L134" s="97">
        <v>35</v>
      </c>
      <c r="N134" s="104">
        <v>0.75</v>
      </c>
      <c r="O134" s="96">
        <v>28</v>
      </c>
      <c r="P134" s="97">
        <v>35</v>
      </c>
      <c r="R134" s="104">
        <v>0.75</v>
      </c>
      <c r="S134" s="96">
        <v>28</v>
      </c>
      <c r="T134" s="97">
        <v>35</v>
      </c>
      <c r="W134" s="94">
        <v>0.75</v>
      </c>
      <c r="X134" s="108">
        <v>30</v>
      </c>
      <c r="Y134" s="97">
        <v>40</v>
      </c>
      <c r="AA134" s="104">
        <v>0.75</v>
      </c>
      <c r="AB134" s="96">
        <v>30</v>
      </c>
      <c r="AC134" s="97">
        <v>40</v>
      </c>
      <c r="AE134" s="104">
        <v>0.75</v>
      </c>
      <c r="AF134" s="96">
        <v>30</v>
      </c>
      <c r="AG134" s="97">
        <v>40</v>
      </c>
      <c r="AI134" s="104">
        <v>0.75</v>
      </c>
      <c r="AJ134" s="96">
        <v>30</v>
      </c>
      <c r="AK134" s="97">
        <v>40</v>
      </c>
      <c r="AM134" s="104">
        <v>0.75</v>
      </c>
      <c r="AN134" s="96">
        <v>30</v>
      </c>
      <c r="AO134" s="97">
        <v>40</v>
      </c>
    </row>
    <row r="135" spans="1:41">
      <c r="B135" s="94">
        <v>0.79166666666666696</v>
      </c>
      <c r="C135" s="108">
        <v>28</v>
      </c>
      <c r="D135" s="97">
        <v>35</v>
      </c>
      <c r="F135" s="104">
        <v>0.79166666666666696</v>
      </c>
      <c r="G135" s="96">
        <v>28</v>
      </c>
      <c r="H135" s="97">
        <v>35</v>
      </c>
      <c r="J135" s="104">
        <v>0.79166666666666696</v>
      </c>
      <c r="K135" s="96">
        <v>28</v>
      </c>
      <c r="L135" s="97">
        <v>35</v>
      </c>
      <c r="N135" s="104">
        <v>0.79166666666666696</v>
      </c>
      <c r="O135" s="96">
        <v>28</v>
      </c>
      <c r="P135" s="97">
        <v>35</v>
      </c>
      <c r="R135" s="104">
        <v>0.79166666666666696</v>
      </c>
      <c r="S135" s="96">
        <v>28</v>
      </c>
      <c r="T135" s="97">
        <v>35</v>
      </c>
      <c r="W135" s="94">
        <v>0.79166666666666696</v>
      </c>
      <c r="X135" s="108">
        <v>30</v>
      </c>
      <c r="Y135" s="97">
        <v>40</v>
      </c>
      <c r="AA135" s="104">
        <v>0.79166666666666696</v>
      </c>
      <c r="AB135" s="96">
        <v>30</v>
      </c>
      <c r="AC135" s="97">
        <v>40</v>
      </c>
      <c r="AE135" s="104">
        <v>0.79166666666666696</v>
      </c>
      <c r="AF135" s="96">
        <v>30</v>
      </c>
      <c r="AG135" s="97">
        <v>40</v>
      </c>
      <c r="AI135" s="104">
        <v>0.79166666666666696</v>
      </c>
      <c r="AJ135" s="96">
        <v>30</v>
      </c>
      <c r="AK135" s="97">
        <v>40</v>
      </c>
      <c r="AM135" s="104">
        <v>0.79166666666666696</v>
      </c>
      <c r="AN135" s="96">
        <v>30</v>
      </c>
      <c r="AO135" s="97">
        <v>35</v>
      </c>
    </row>
    <row r="136" spans="1:41">
      <c r="B136" s="94">
        <v>0.83333333333333304</v>
      </c>
      <c r="C136" s="108">
        <v>30</v>
      </c>
      <c r="D136" s="97">
        <v>30</v>
      </c>
      <c r="F136" s="104">
        <v>0.83333333333333304</v>
      </c>
      <c r="G136" s="96">
        <v>30</v>
      </c>
      <c r="H136" s="97">
        <v>30</v>
      </c>
      <c r="J136" s="104">
        <v>0.83333333333333304</v>
      </c>
      <c r="K136" s="96">
        <v>28</v>
      </c>
      <c r="L136" s="97">
        <v>35</v>
      </c>
      <c r="N136" s="104">
        <v>0.83333333333333304</v>
      </c>
      <c r="O136" s="96">
        <v>30</v>
      </c>
      <c r="P136" s="97">
        <v>30</v>
      </c>
      <c r="R136" s="104">
        <v>0.83333333333333304</v>
      </c>
      <c r="S136" s="96">
        <v>30</v>
      </c>
      <c r="T136" s="97">
        <v>30</v>
      </c>
      <c r="W136" s="94">
        <v>0.83333333333333304</v>
      </c>
      <c r="X136" s="108">
        <v>30</v>
      </c>
      <c r="Y136" s="97">
        <v>40</v>
      </c>
      <c r="AA136" s="104">
        <v>0.83333333333333304</v>
      </c>
      <c r="AB136" s="96">
        <v>30</v>
      </c>
      <c r="AC136" s="97">
        <v>40</v>
      </c>
      <c r="AE136" s="104">
        <v>0.83333333333333304</v>
      </c>
      <c r="AF136" s="96">
        <v>35</v>
      </c>
      <c r="AG136" s="97">
        <v>35</v>
      </c>
      <c r="AI136" s="104">
        <v>0.83333333333333304</v>
      </c>
      <c r="AJ136" s="96">
        <v>35</v>
      </c>
      <c r="AK136" s="97">
        <v>35</v>
      </c>
      <c r="AM136" s="104">
        <v>0.83333333333333304</v>
      </c>
      <c r="AN136" s="96">
        <v>35</v>
      </c>
      <c r="AO136" s="97">
        <v>35</v>
      </c>
    </row>
    <row r="137" spans="1:41">
      <c r="B137" s="94">
        <v>0.875</v>
      </c>
      <c r="C137" s="108">
        <v>30</v>
      </c>
      <c r="D137" s="97">
        <v>30</v>
      </c>
      <c r="F137" s="104">
        <v>0.875</v>
      </c>
      <c r="G137" s="96">
        <v>30</v>
      </c>
      <c r="H137" s="97">
        <v>30</v>
      </c>
      <c r="J137" s="104">
        <v>0.875</v>
      </c>
      <c r="K137" s="96">
        <v>28</v>
      </c>
      <c r="L137" s="97">
        <v>35</v>
      </c>
      <c r="N137" s="104">
        <v>0.875</v>
      </c>
      <c r="O137" s="96">
        <v>30</v>
      </c>
      <c r="P137" s="97">
        <v>30</v>
      </c>
      <c r="R137" s="104">
        <v>0.875</v>
      </c>
      <c r="S137" s="96">
        <v>30</v>
      </c>
      <c r="T137" s="97">
        <v>30</v>
      </c>
      <c r="W137" s="94">
        <v>0.875</v>
      </c>
      <c r="X137" s="108">
        <v>35</v>
      </c>
      <c r="Y137" s="97">
        <v>35</v>
      </c>
      <c r="AA137" s="104">
        <v>0.875</v>
      </c>
      <c r="AB137" s="96">
        <v>35</v>
      </c>
      <c r="AC137" s="97">
        <v>35</v>
      </c>
      <c r="AE137" s="104">
        <v>0.875</v>
      </c>
      <c r="AF137" s="96">
        <v>35</v>
      </c>
      <c r="AG137" s="97">
        <v>35</v>
      </c>
      <c r="AI137" s="104">
        <v>0.875</v>
      </c>
      <c r="AJ137" s="96">
        <v>35</v>
      </c>
      <c r="AK137" s="97">
        <v>35</v>
      </c>
      <c r="AM137" s="104">
        <v>0.875</v>
      </c>
      <c r="AN137" s="96">
        <v>35</v>
      </c>
      <c r="AO137" s="97">
        <v>35</v>
      </c>
    </row>
    <row r="138" spans="1:41">
      <c r="B138" s="94">
        <v>0.91666666666666696</v>
      </c>
      <c r="C138" s="108">
        <v>35</v>
      </c>
      <c r="D138" s="97">
        <v>35</v>
      </c>
      <c r="F138" s="104">
        <v>0.91666666666666696</v>
      </c>
      <c r="G138" s="96">
        <v>30</v>
      </c>
      <c r="H138" s="97">
        <v>40</v>
      </c>
      <c r="J138" s="104">
        <v>0.91666666666666696</v>
      </c>
      <c r="K138" s="96">
        <v>35</v>
      </c>
      <c r="L138" s="97">
        <v>35</v>
      </c>
      <c r="N138" s="104">
        <v>0.91666666666666696</v>
      </c>
      <c r="O138" s="96">
        <v>30</v>
      </c>
      <c r="P138" s="97">
        <v>40</v>
      </c>
      <c r="R138" s="104">
        <v>0.91666666666666696</v>
      </c>
      <c r="S138" s="96">
        <v>35</v>
      </c>
      <c r="T138" s="97">
        <v>35</v>
      </c>
      <c r="W138" s="94">
        <v>0.91666666666666696</v>
      </c>
      <c r="X138" s="108">
        <v>35</v>
      </c>
      <c r="Y138" s="97">
        <v>40</v>
      </c>
      <c r="AA138" s="104">
        <v>0.91666666666666696</v>
      </c>
      <c r="AB138" s="96">
        <v>35</v>
      </c>
      <c r="AC138" s="97">
        <v>40</v>
      </c>
      <c r="AE138" s="104">
        <v>0.91666666666666696</v>
      </c>
      <c r="AF138" s="96">
        <v>35</v>
      </c>
      <c r="AG138" s="97">
        <v>40</v>
      </c>
      <c r="AI138" s="104">
        <v>0.91666666666666696</v>
      </c>
      <c r="AJ138" s="96">
        <v>35</v>
      </c>
      <c r="AK138" s="97">
        <v>40</v>
      </c>
      <c r="AM138" s="104">
        <v>0.91666666666666696</v>
      </c>
      <c r="AN138" s="96">
        <v>35</v>
      </c>
      <c r="AO138" s="97">
        <v>40</v>
      </c>
    </row>
    <row r="139" spans="1:41" ht="15.75" thickBot="1">
      <c r="B139" s="95">
        <v>0.95833333333333304</v>
      </c>
      <c r="C139" s="109">
        <v>35</v>
      </c>
      <c r="D139" s="99">
        <v>35</v>
      </c>
      <c r="F139" s="106">
        <v>0.95833333333333304</v>
      </c>
      <c r="G139" s="98">
        <v>35</v>
      </c>
      <c r="H139" s="99">
        <v>35</v>
      </c>
      <c r="J139" s="106">
        <v>0.95833333333333304</v>
      </c>
      <c r="K139" s="96">
        <v>35</v>
      </c>
      <c r="L139" s="97">
        <v>35</v>
      </c>
      <c r="N139" s="106">
        <v>0.95833333333333304</v>
      </c>
      <c r="O139" s="98">
        <v>35</v>
      </c>
      <c r="P139" s="99">
        <v>35</v>
      </c>
      <c r="R139" s="106">
        <v>0.95833333333333304</v>
      </c>
      <c r="S139" s="98">
        <v>35</v>
      </c>
      <c r="T139" s="99">
        <v>35</v>
      </c>
      <c r="W139" s="95">
        <v>0.95833333333333304</v>
      </c>
      <c r="X139" s="109">
        <v>35</v>
      </c>
      <c r="Y139" s="99">
        <v>35</v>
      </c>
      <c r="AA139" s="106">
        <v>0.95833333333333304</v>
      </c>
      <c r="AB139" s="98">
        <v>35</v>
      </c>
      <c r="AC139" s="99">
        <v>35</v>
      </c>
      <c r="AE139" s="106">
        <v>0.95833333333333304</v>
      </c>
      <c r="AF139" s="96">
        <v>35</v>
      </c>
      <c r="AG139" s="97">
        <v>35</v>
      </c>
      <c r="AI139" s="106">
        <v>0.95833333333333304</v>
      </c>
      <c r="AJ139" s="98">
        <v>40</v>
      </c>
      <c r="AK139" s="99">
        <v>40</v>
      </c>
      <c r="AM139" s="106">
        <v>0.95833333333333304</v>
      </c>
      <c r="AN139" s="98">
        <v>35</v>
      </c>
      <c r="AO139" s="99">
        <v>35</v>
      </c>
    </row>
    <row r="141" spans="1:41">
      <c r="A141" t="s">
        <v>398</v>
      </c>
      <c r="B141" s="16" t="s">
        <v>395</v>
      </c>
      <c r="C141" s="163">
        <f>AVERAGE(C122:C130)+AVERAGE(X122:X130)</f>
        <v>59.444444444444443</v>
      </c>
      <c r="D141" s="163">
        <f>AVERAGE(D122:D130)+AVERAGE(Y122:Y130)</f>
        <v>80</v>
      </c>
      <c r="E141" s="163"/>
      <c r="F141" s="163"/>
      <c r="G141" s="163">
        <f t="shared" ref="G141:P141" si="6">AVERAGE(G122:G130)+AVERAGE(AB122:AB130)</f>
        <v>59.444444444444443</v>
      </c>
      <c r="H141" s="163">
        <f t="shared" si="6"/>
        <v>80.555555555555557</v>
      </c>
      <c r="I141" s="163"/>
      <c r="J141" s="163"/>
      <c r="K141" s="163">
        <f t="shared" si="6"/>
        <v>59.444444444444443</v>
      </c>
      <c r="L141" s="163">
        <f t="shared" si="6"/>
        <v>78.888888888888886</v>
      </c>
      <c r="M141" s="163"/>
      <c r="N141" s="163"/>
      <c r="O141" s="163">
        <f>AVERAGE(O122:O130)+AVERAGE(AJ122:AJ130)</f>
        <v>59.666666666666671</v>
      </c>
      <c r="P141" s="163">
        <f t="shared" si="6"/>
        <v>80</v>
      </c>
      <c r="Q141" s="163"/>
      <c r="R141" s="163"/>
      <c r="S141" s="163">
        <f>AVERAGE(S122:S130)+AVERAGE(AN122:AN130)</f>
        <v>58.777777777777779</v>
      </c>
      <c r="T141" s="163">
        <f>AVERAGE(T122:T130)+AVERAGE(AO122:AO130)</f>
        <v>78.333333333333343</v>
      </c>
      <c r="W141" s="112" t="s">
        <v>267</v>
      </c>
    </row>
    <row r="142" spans="1:41">
      <c r="B142" s="16" t="s">
        <v>396</v>
      </c>
      <c r="C142" s="163">
        <f>AVERAGE(C138:C139,G116:G122)+AVERAGE(X138:X139,AB116:AB122)</f>
        <v>68.444444444444443</v>
      </c>
      <c r="D142" s="163">
        <f>AVERAGE(D138:D139,H116:H122)+AVERAGE(Y138:Y139,AC116:AC122)</f>
        <v>71.111111111111114</v>
      </c>
      <c r="E142" s="163"/>
      <c r="F142" s="163"/>
      <c r="G142" s="163">
        <f t="shared" ref="G142:L142" si="7">AVERAGE(G138:G139,K116:K122)+AVERAGE(AB138:AB139,AF116:AF122)</f>
        <v>68.444444444444443</v>
      </c>
      <c r="H142" s="163">
        <f t="shared" si="7"/>
        <v>73.333333333333343</v>
      </c>
      <c r="I142" s="163"/>
      <c r="J142" s="163"/>
      <c r="K142" s="163">
        <f t="shared" si="7"/>
        <v>70.333333333333343</v>
      </c>
      <c r="L142" s="163">
        <f t="shared" si="7"/>
        <v>72.777777777777771</v>
      </c>
      <c r="M142" s="163"/>
      <c r="N142" s="163"/>
      <c r="O142" s="163">
        <f>AVERAGE(O138:O139,S116:S122)+AVERAGE(AJ138:AJ139,AN116:AN122)</f>
        <v>69.222222222222229</v>
      </c>
      <c r="P142" s="163">
        <f>AVERAGE(P138:P139,T116:T122)+AVERAGE(AK138:AK139,AO116:AO122)</f>
        <v>73.888888888888886</v>
      </c>
      <c r="Q142" s="163"/>
      <c r="R142" s="163"/>
      <c r="S142" s="163">
        <f>AVERAGE(C142,G142,K142,O142)</f>
        <v>69.111111111111114</v>
      </c>
      <c r="T142" s="163">
        <f>AVERAGE(D142,H142,L142,P142)</f>
        <v>72.777777777777771</v>
      </c>
    </row>
    <row r="144" spans="1:41">
      <c r="B144" s="113" t="s">
        <v>268</v>
      </c>
      <c r="X144" s="112"/>
      <c r="Y144" s="112"/>
      <c r="Z144" s="112"/>
      <c r="AA144" s="112"/>
    </row>
  </sheetData>
  <mergeCells count="53">
    <mergeCell ref="B78:T78"/>
    <mergeCell ref="B112:T112"/>
    <mergeCell ref="W44:AO44"/>
    <mergeCell ref="W9:AO9"/>
    <mergeCell ref="X11:Y11"/>
    <mergeCell ref="C11:D11"/>
    <mergeCell ref="G11:H11"/>
    <mergeCell ref="K11:L11"/>
    <mergeCell ref="O11:P11"/>
    <mergeCell ref="S11:T11"/>
    <mergeCell ref="AB11:AC11"/>
    <mergeCell ref="AF11:AG11"/>
    <mergeCell ref="AJ11:AK11"/>
    <mergeCell ref="B9:T9"/>
    <mergeCell ref="B44:T44"/>
    <mergeCell ref="AJ46:AK46"/>
    <mergeCell ref="X114:Y114"/>
    <mergeCell ref="AB114:AC114"/>
    <mergeCell ref="AF114:AG114"/>
    <mergeCell ref="AJ114:AK114"/>
    <mergeCell ref="AN114:AO114"/>
    <mergeCell ref="X46:Y46"/>
    <mergeCell ref="AB46:AC46"/>
    <mergeCell ref="AF46:AG46"/>
    <mergeCell ref="AN46:AO46"/>
    <mergeCell ref="W112:AO112"/>
    <mergeCell ref="W78:AO78"/>
    <mergeCell ref="X80:Y80"/>
    <mergeCell ref="AB80:AC80"/>
    <mergeCell ref="AF80:AG80"/>
    <mergeCell ref="AJ80:AK80"/>
    <mergeCell ref="AN80:AO80"/>
    <mergeCell ref="C46:D46"/>
    <mergeCell ref="G46:H46"/>
    <mergeCell ref="K46:L46"/>
    <mergeCell ref="O46:P46"/>
    <mergeCell ref="S46:T46"/>
    <mergeCell ref="A38:A39"/>
    <mergeCell ref="M6:R6"/>
    <mergeCell ref="X6:AC6"/>
    <mergeCell ref="B2:AO3"/>
    <mergeCell ref="C114:D114"/>
    <mergeCell ref="G114:H114"/>
    <mergeCell ref="K114:L114"/>
    <mergeCell ref="O114:P114"/>
    <mergeCell ref="S114:T114"/>
    <mergeCell ref="C80:D80"/>
    <mergeCell ref="G80:H80"/>
    <mergeCell ref="K80:L80"/>
    <mergeCell ref="O80:P80"/>
    <mergeCell ref="S80:T80"/>
    <mergeCell ref="AN11:AO11"/>
    <mergeCell ref="W42:AA42"/>
  </mergeCells>
  <phoneticPr fontId="32" type="noConversion"/>
  <conditionalFormatting sqref="S13:T37">
    <cfRule type="colorScale" priority="40">
      <colorScale>
        <cfvo type="min"/>
        <cfvo type="percent" val="50"/>
        <cfvo type="max"/>
        <color theme="9" tint="0.39997558519241921"/>
        <color rgb="FFFFEB84"/>
        <color rgb="FFFF0000"/>
      </colorScale>
    </cfRule>
  </conditionalFormatting>
  <conditionalFormatting sqref="C13:D37">
    <cfRule type="colorScale" priority="39">
      <colorScale>
        <cfvo type="min"/>
        <cfvo type="percent" val="50"/>
        <cfvo type="max"/>
        <color theme="9" tint="0.39997558519241921"/>
        <color rgb="FFFFEB84"/>
        <color rgb="FFFF0000"/>
      </colorScale>
    </cfRule>
  </conditionalFormatting>
  <conditionalFormatting sqref="G13:H37">
    <cfRule type="colorScale" priority="38">
      <colorScale>
        <cfvo type="min"/>
        <cfvo type="percent" val="50"/>
        <cfvo type="max"/>
        <color theme="9" tint="0.39997558519241921"/>
        <color rgb="FFFFEB84"/>
        <color rgb="FFFF0000"/>
      </colorScale>
    </cfRule>
  </conditionalFormatting>
  <conditionalFormatting sqref="K13:L37">
    <cfRule type="colorScale" priority="37">
      <colorScale>
        <cfvo type="min"/>
        <cfvo type="percent" val="50"/>
        <cfvo type="max"/>
        <color theme="9" tint="0.39997558519241921"/>
        <color rgb="FFFFEB84"/>
        <color rgb="FFFF0000"/>
      </colorScale>
    </cfRule>
  </conditionalFormatting>
  <conditionalFormatting sqref="O13:P37">
    <cfRule type="colorScale" priority="36">
      <colorScale>
        <cfvo type="min"/>
        <cfvo type="percent" val="50"/>
        <cfvo type="max"/>
        <color theme="9" tint="0.39997558519241921"/>
        <color rgb="FFFFEB84"/>
        <color rgb="FFFF0000"/>
      </colorScale>
    </cfRule>
  </conditionalFormatting>
  <conditionalFormatting sqref="S48:T71">
    <cfRule type="colorScale" priority="35">
      <colorScale>
        <cfvo type="min"/>
        <cfvo type="percent" val="50"/>
        <cfvo type="max"/>
        <color theme="9" tint="0.39997558519241921"/>
        <color rgb="FFFFEB84"/>
        <color rgb="FFFF0000"/>
      </colorScale>
    </cfRule>
  </conditionalFormatting>
  <conditionalFormatting sqref="C48:D71">
    <cfRule type="colorScale" priority="34">
      <colorScale>
        <cfvo type="min"/>
        <cfvo type="percent" val="50"/>
        <cfvo type="max"/>
        <color theme="9" tint="0.39997558519241921"/>
        <color rgb="FFFFEB84"/>
        <color rgb="FFFF0000"/>
      </colorScale>
    </cfRule>
  </conditionalFormatting>
  <conditionalFormatting sqref="G48:H71">
    <cfRule type="colorScale" priority="33">
      <colorScale>
        <cfvo type="min"/>
        <cfvo type="percent" val="50"/>
        <cfvo type="max"/>
        <color theme="9" tint="0.39997558519241921"/>
        <color rgb="FFFFEB84"/>
        <color rgb="FFFF0000"/>
      </colorScale>
    </cfRule>
  </conditionalFormatting>
  <conditionalFormatting sqref="K48:L71">
    <cfRule type="colorScale" priority="32">
      <colorScale>
        <cfvo type="min"/>
        <cfvo type="percent" val="50"/>
        <cfvo type="max"/>
        <color theme="9" tint="0.39997558519241921"/>
        <color rgb="FFFFEB84"/>
        <color rgb="FFFF0000"/>
      </colorScale>
    </cfRule>
  </conditionalFormatting>
  <conditionalFormatting sqref="O48:P71">
    <cfRule type="colorScale" priority="31">
      <colorScale>
        <cfvo type="min"/>
        <cfvo type="percent" val="50"/>
        <cfvo type="max"/>
        <color theme="9" tint="0.39997558519241921"/>
        <color rgb="FFFFEB84"/>
        <color rgb="FFFF0000"/>
      </colorScale>
    </cfRule>
  </conditionalFormatting>
  <conditionalFormatting sqref="S82:T105">
    <cfRule type="colorScale" priority="30">
      <colorScale>
        <cfvo type="min"/>
        <cfvo type="percent" val="50"/>
        <cfvo type="max"/>
        <color theme="9" tint="0.39997558519241921"/>
        <color rgb="FFFFEB84"/>
        <color rgb="FFFF0000"/>
      </colorScale>
    </cfRule>
  </conditionalFormatting>
  <conditionalFormatting sqref="C82:D105">
    <cfRule type="colorScale" priority="29">
      <colorScale>
        <cfvo type="min"/>
        <cfvo type="percent" val="50"/>
        <cfvo type="max"/>
        <color theme="9" tint="0.39997558519241921"/>
        <color rgb="FFFFEB84"/>
        <color rgb="FFFF0000"/>
      </colorScale>
    </cfRule>
  </conditionalFormatting>
  <conditionalFormatting sqref="G82:H105">
    <cfRule type="colorScale" priority="28">
      <colorScale>
        <cfvo type="min"/>
        <cfvo type="percent" val="50"/>
        <cfvo type="max"/>
        <color theme="9" tint="0.39997558519241921"/>
        <color rgb="FFFFEB84"/>
        <color rgb="FFFF0000"/>
      </colorScale>
    </cfRule>
  </conditionalFormatting>
  <conditionalFormatting sqref="K82:L105">
    <cfRule type="colorScale" priority="27">
      <colorScale>
        <cfvo type="min"/>
        <cfvo type="percent" val="50"/>
        <cfvo type="max"/>
        <color theme="9" tint="0.39997558519241921"/>
        <color rgb="FFFFEB84"/>
        <color rgb="FFFF0000"/>
      </colorScale>
    </cfRule>
  </conditionalFormatting>
  <conditionalFormatting sqref="O82:P105">
    <cfRule type="colorScale" priority="26">
      <colorScale>
        <cfvo type="min"/>
        <cfvo type="percent" val="50"/>
        <cfvo type="max"/>
        <color theme="9" tint="0.39997558519241921"/>
        <color rgb="FFFFEB84"/>
        <color rgb="FFFF0000"/>
      </colorScale>
    </cfRule>
  </conditionalFormatting>
  <conditionalFormatting sqref="S116:T139">
    <cfRule type="colorScale" priority="25">
      <colorScale>
        <cfvo type="min"/>
        <cfvo type="percent" val="50"/>
        <cfvo type="max"/>
        <color theme="9" tint="0.39997558519241921"/>
        <color rgb="FFFFEB84"/>
        <color rgb="FFFF0000"/>
      </colorScale>
    </cfRule>
  </conditionalFormatting>
  <conditionalFormatting sqref="C116:D139">
    <cfRule type="colorScale" priority="24">
      <colorScale>
        <cfvo type="min"/>
        <cfvo type="percent" val="50"/>
        <cfvo type="max"/>
        <color theme="9" tint="0.39997558519241921"/>
        <color rgb="FFFFEB84"/>
        <color rgb="FFFF0000"/>
      </colorScale>
    </cfRule>
  </conditionalFormatting>
  <conditionalFormatting sqref="G116:H139">
    <cfRule type="colorScale" priority="23">
      <colorScale>
        <cfvo type="min"/>
        <cfvo type="percent" val="50"/>
        <cfvo type="max"/>
        <color theme="9" tint="0.39997558519241921"/>
        <color rgb="FFFFEB84"/>
        <color rgb="FFFF0000"/>
      </colorScale>
    </cfRule>
  </conditionalFormatting>
  <conditionalFormatting sqref="K116:L139">
    <cfRule type="colorScale" priority="22">
      <colorScale>
        <cfvo type="min"/>
        <cfvo type="percent" val="50"/>
        <cfvo type="max"/>
        <color theme="9" tint="0.39997558519241921"/>
        <color rgb="FFFFEB84"/>
        <color rgb="FFFF0000"/>
      </colorScale>
    </cfRule>
  </conditionalFormatting>
  <conditionalFormatting sqref="O116:P139">
    <cfRule type="colorScale" priority="21">
      <colorScale>
        <cfvo type="min"/>
        <cfvo type="percent" val="50"/>
        <cfvo type="max"/>
        <color theme="9" tint="0.39997558519241921"/>
        <color rgb="FFFFEB84"/>
        <color rgb="FFFF0000"/>
      </colorScale>
    </cfRule>
  </conditionalFormatting>
  <conditionalFormatting sqref="AN13:AO36">
    <cfRule type="colorScale" priority="20">
      <colorScale>
        <cfvo type="min"/>
        <cfvo type="percent" val="50"/>
        <cfvo type="max"/>
        <color theme="9" tint="0.39997558519241921"/>
        <color rgb="FFFFEB84"/>
        <color rgb="FFFF0000"/>
      </colorScale>
    </cfRule>
  </conditionalFormatting>
  <conditionalFormatting sqref="X13:Y36">
    <cfRule type="colorScale" priority="19">
      <colorScale>
        <cfvo type="min"/>
        <cfvo type="percent" val="50"/>
        <cfvo type="max"/>
        <color theme="9" tint="0.39997558519241921"/>
        <color rgb="FFFFEB84"/>
        <color rgb="FFFF0000"/>
      </colorScale>
    </cfRule>
  </conditionalFormatting>
  <conditionalFormatting sqref="AB13:AC36">
    <cfRule type="colorScale" priority="18">
      <colorScale>
        <cfvo type="min"/>
        <cfvo type="percent" val="50"/>
        <cfvo type="max"/>
        <color theme="9" tint="0.39997558519241921"/>
        <color rgb="FFFFEB84"/>
        <color rgb="FFFF0000"/>
      </colorScale>
    </cfRule>
  </conditionalFormatting>
  <conditionalFormatting sqref="AF13:AG36">
    <cfRule type="colorScale" priority="17">
      <colorScale>
        <cfvo type="min"/>
        <cfvo type="percent" val="50"/>
        <cfvo type="max"/>
        <color theme="9" tint="0.39997558519241921"/>
        <color rgb="FFFFEB84"/>
        <color rgb="FFFF0000"/>
      </colorScale>
    </cfRule>
  </conditionalFormatting>
  <conditionalFormatting sqref="AJ13:AK36">
    <cfRule type="colorScale" priority="16">
      <colorScale>
        <cfvo type="min"/>
        <cfvo type="percent" val="50"/>
        <cfvo type="max"/>
        <color theme="9" tint="0.39997558519241921"/>
        <color rgb="FFFFEB84"/>
        <color rgb="FFFF0000"/>
      </colorScale>
    </cfRule>
  </conditionalFormatting>
  <conditionalFormatting sqref="AN48:AO71">
    <cfRule type="colorScale" priority="15">
      <colorScale>
        <cfvo type="min"/>
        <cfvo type="percent" val="50"/>
        <cfvo type="max"/>
        <color theme="9" tint="0.39997558519241921"/>
        <color rgb="FFFFEB84"/>
        <color rgb="FFFF0000"/>
      </colorScale>
    </cfRule>
  </conditionalFormatting>
  <conditionalFormatting sqref="X48:Y71">
    <cfRule type="colorScale" priority="14">
      <colorScale>
        <cfvo type="min"/>
        <cfvo type="percent" val="50"/>
        <cfvo type="max"/>
        <color theme="9" tint="0.39997558519241921"/>
        <color rgb="FFFFEB84"/>
        <color rgb="FFFF0000"/>
      </colorScale>
    </cfRule>
  </conditionalFormatting>
  <conditionalFormatting sqref="AB48:AC71">
    <cfRule type="colorScale" priority="13">
      <colorScale>
        <cfvo type="min"/>
        <cfvo type="percent" val="50"/>
        <cfvo type="max"/>
        <color theme="9" tint="0.39997558519241921"/>
        <color rgb="FFFFEB84"/>
        <color rgb="FFFF0000"/>
      </colorScale>
    </cfRule>
  </conditionalFormatting>
  <conditionalFormatting sqref="AF48:AG71">
    <cfRule type="colorScale" priority="12">
      <colorScale>
        <cfvo type="min"/>
        <cfvo type="percent" val="50"/>
        <cfvo type="max"/>
        <color theme="9" tint="0.39997558519241921"/>
        <color rgb="FFFFEB84"/>
        <color rgb="FFFF0000"/>
      </colorScale>
    </cfRule>
  </conditionalFormatting>
  <conditionalFormatting sqref="AJ48:AK71">
    <cfRule type="colorScale" priority="11">
      <colorScale>
        <cfvo type="min"/>
        <cfvo type="percent" val="50"/>
        <cfvo type="max"/>
        <color theme="9" tint="0.39997558519241921"/>
        <color rgb="FFFFEB84"/>
        <color rgb="FFFF0000"/>
      </colorScale>
    </cfRule>
  </conditionalFormatting>
  <conditionalFormatting sqref="AN82:AO105">
    <cfRule type="colorScale" priority="10">
      <colorScale>
        <cfvo type="min"/>
        <cfvo type="percent" val="50"/>
        <cfvo type="max"/>
        <color theme="9" tint="0.39997558519241921"/>
        <color rgb="FFFFEB84"/>
        <color rgb="FFFF0000"/>
      </colorScale>
    </cfRule>
  </conditionalFormatting>
  <conditionalFormatting sqref="X82:Y105">
    <cfRule type="colorScale" priority="9">
      <colorScale>
        <cfvo type="min"/>
        <cfvo type="percent" val="50"/>
        <cfvo type="max"/>
        <color theme="9" tint="0.39997558519241921"/>
        <color rgb="FFFFEB84"/>
        <color rgb="FFFF0000"/>
      </colorScale>
    </cfRule>
  </conditionalFormatting>
  <conditionalFormatting sqref="AB82:AC105">
    <cfRule type="colorScale" priority="8">
      <colorScale>
        <cfvo type="min"/>
        <cfvo type="percent" val="50"/>
        <cfvo type="max"/>
        <color theme="9" tint="0.39997558519241921"/>
        <color rgb="FFFFEB84"/>
        <color rgb="FFFF0000"/>
      </colorScale>
    </cfRule>
  </conditionalFormatting>
  <conditionalFormatting sqref="AF82:AG105">
    <cfRule type="colorScale" priority="7">
      <colorScale>
        <cfvo type="min"/>
        <cfvo type="percent" val="50"/>
        <cfvo type="max"/>
        <color theme="9" tint="0.39997558519241921"/>
        <color rgb="FFFFEB84"/>
        <color rgb="FFFF0000"/>
      </colorScale>
    </cfRule>
  </conditionalFormatting>
  <conditionalFormatting sqref="AJ82:AK105">
    <cfRule type="colorScale" priority="6">
      <colorScale>
        <cfvo type="min"/>
        <cfvo type="percent" val="50"/>
        <cfvo type="max"/>
        <color theme="9" tint="0.39997558519241921"/>
        <color rgb="FFFFEB84"/>
        <color rgb="FFFF0000"/>
      </colorScale>
    </cfRule>
  </conditionalFormatting>
  <conditionalFormatting sqref="AN116:AO139">
    <cfRule type="colorScale" priority="5">
      <colorScale>
        <cfvo type="min"/>
        <cfvo type="percent" val="50"/>
        <cfvo type="max"/>
        <color theme="9" tint="0.39997558519241921"/>
        <color rgb="FFFFEB84"/>
        <color rgb="FFFF0000"/>
      </colorScale>
    </cfRule>
  </conditionalFormatting>
  <conditionalFormatting sqref="X116:Y139">
    <cfRule type="colorScale" priority="4">
      <colorScale>
        <cfvo type="min"/>
        <cfvo type="percent" val="50"/>
        <cfvo type="max"/>
        <color theme="9" tint="0.39997558519241921"/>
        <color rgb="FFFFEB84"/>
        <color rgb="FFFF0000"/>
      </colorScale>
    </cfRule>
  </conditionalFormatting>
  <conditionalFormatting sqref="AB116:AC139">
    <cfRule type="colorScale" priority="3">
      <colorScale>
        <cfvo type="min"/>
        <cfvo type="percent" val="50"/>
        <cfvo type="max"/>
        <color theme="9" tint="0.39997558519241921"/>
        <color rgb="FFFFEB84"/>
        <color rgb="FFFF0000"/>
      </colorScale>
    </cfRule>
  </conditionalFormatting>
  <conditionalFormatting sqref="AF116:AG139">
    <cfRule type="colorScale" priority="2">
      <colorScale>
        <cfvo type="min"/>
        <cfvo type="percent" val="50"/>
        <cfvo type="max"/>
        <color theme="9" tint="0.39997558519241921"/>
        <color rgb="FFFFEB84"/>
        <color rgb="FFFF0000"/>
      </colorScale>
    </cfRule>
  </conditionalFormatting>
  <conditionalFormatting sqref="AJ116:AK139">
    <cfRule type="colorScale" priority="1">
      <colorScale>
        <cfvo type="min"/>
        <cfvo type="percent" val="50"/>
        <cfvo type="max"/>
        <color theme="9" tint="0.39997558519241921"/>
        <color rgb="FFFFEB84"/>
        <color rgb="FFFF0000"/>
      </colorScale>
    </cfRule>
  </conditionalFormatting>
  <pageMargins left="0.7" right="0.7" top="0.75" bottom="0.75" header="0.3" footer="0.3"/>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W33"/>
  <sheetViews>
    <sheetView topLeftCell="A2" zoomScaleNormal="60" workbookViewId="0">
      <selection activeCell="AU36" sqref="AU36"/>
    </sheetView>
  </sheetViews>
  <sheetFormatPr defaultColWidth="8.85546875" defaultRowHeight="15"/>
  <cols>
    <col min="2" max="2" width="6.7109375" customWidth="1"/>
    <col min="6" max="6" width="6.7109375" customWidth="1"/>
    <col min="10" max="10" width="6.7109375" customWidth="1"/>
    <col min="13" max="14" width="6.7109375" customWidth="1"/>
    <col min="18" max="18" width="6.7109375" customWidth="1"/>
    <col min="23" max="23" width="6.7109375" customWidth="1"/>
    <col min="27" max="27" width="6.7109375" customWidth="1"/>
    <col min="31" max="31" width="6.7109375" customWidth="1"/>
    <col min="35" max="35" width="6.7109375" customWidth="1"/>
    <col min="39" max="39" width="6.7109375" customWidth="1"/>
    <col min="46" max="46" width="21.7109375" customWidth="1"/>
    <col min="47" max="49" width="16.85546875" customWidth="1"/>
  </cols>
  <sheetData>
    <row r="2" spans="2:49">
      <c r="B2" s="600" t="s">
        <v>296</v>
      </c>
      <c r="C2" s="600"/>
      <c r="D2" s="600"/>
      <c r="E2" s="600"/>
      <c r="F2" s="600"/>
      <c r="G2" s="600"/>
      <c r="H2" s="600"/>
      <c r="I2" s="600"/>
      <c r="J2" s="600"/>
      <c r="K2" s="600"/>
      <c r="L2" s="600"/>
      <c r="M2" s="600"/>
      <c r="N2" s="600"/>
      <c r="O2" s="600"/>
      <c r="P2" s="600"/>
      <c r="Q2" s="600"/>
      <c r="R2" s="600"/>
      <c r="S2" s="600"/>
      <c r="T2" s="600"/>
      <c r="W2" s="600" t="s">
        <v>298</v>
      </c>
      <c r="X2" s="600"/>
      <c r="Y2" s="600"/>
      <c r="Z2" s="600"/>
      <c r="AA2" s="600"/>
      <c r="AB2" s="600"/>
      <c r="AC2" s="600"/>
      <c r="AD2" s="600"/>
      <c r="AE2" s="600"/>
      <c r="AF2" s="600"/>
      <c r="AG2" s="600"/>
      <c r="AH2" s="600"/>
      <c r="AI2" s="600"/>
      <c r="AJ2" s="600"/>
      <c r="AK2" s="600"/>
      <c r="AL2" s="600"/>
      <c r="AM2" s="600"/>
      <c r="AN2" s="600"/>
      <c r="AO2" s="600"/>
    </row>
    <row r="3" spans="2:49">
      <c r="S3" s="4"/>
    </row>
    <row r="4" spans="2:49" ht="15.75" thickBot="1">
      <c r="B4" s="4"/>
      <c r="C4" s="599" t="s">
        <v>260</v>
      </c>
      <c r="D4" s="599"/>
      <c r="F4" s="4"/>
      <c r="G4" s="599" t="s">
        <v>261</v>
      </c>
      <c r="H4" s="599"/>
      <c r="J4" s="4"/>
      <c r="K4" s="599" t="s">
        <v>262</v>
      </c>
      <c r="L4" s="599"/>
      <c r="N4" s="4"/>
      <c r="O4" s="599" t="s">
        <v>263</v>
      </c>
      <c r="P4" s="599"/>
      <c r="R4" s="4"/>
      <c r="S4" s="599" t="s">
        <v>259</v>
      </c>
      <c r="T4" s="599"/>
      <c r="W4" s="4"/>
      <c r="X4" s="599" t="s">
        <v>260</v>
      </c>
      <c r="Y4" s="599"/>
      <c r="AA4" s="4"/>
      <c r="AB4" s="599" t="s">
        <v>261</v>
      </c>
      <c r="AC4" s="599"/>
      <c r="AE4" s="4"/>
      <c r="AF4" s="599" t="s">
        <v>262</v>
      </c>
      <c r="AG4" s="599"/>
      <c r="AI4" s="4"/>
      <c r="AJ4" s="599" t="s">
        <v>263</v>
      </c>
      <c r="AK4" s="599"/>
      <c r="AM4" s="4"/>
      <c r="AN4" s="599" t="s">
        <v>259</v>
      </c>
      <c r="AO4" s="599"/>
    </row>
    <row r="5" spans="2:49" ht="15.75" thickBot="1">
      <c r="B5" s="9"/>
      <c r="C5" s="110" t="s">
        <v>264</v>
      </c>
      <c r="D5" s="111" t="s">
        <v>265</v>
      </c>
      <c r="F5" s="9"/>
      <c r="G5" s="110" t="s">
        <v>264</v>
      </c>
      <c r="H5" s="111" t="s">
        <v>265</v>
      </c>
      <c r="J5" s="9"/>
      <c r="K5" s="110" t="s">
        <v>264</v>
      </c>
      <c r="L5" s="111" t="s">
        <v>265</v>
      </c>
      <c r="N5" s="9"/>
      <c r="O5" s="110" t="s">
        <v>264</v>
      </c>
      <c r="P5" s="111" t="s">
        <v>265</v>
      </c>
      <c r="R5" s="9"/>
      <c r="S5" s="110" t="s">
        <v>264</v>
      </c>
      <c r="T5" s="111" t="s">
        <v>265</v>
      </c>
      <c r="W5" s="9"/>
      <c r="X5" s="110" t="s">
        <v>264</v>
      </c>
      <c r="Y5" s="111" t="s">
        <v>265</v>
      </c>
      <c r="AA5" s="9"/>
      <c r="AB5" s="110" t="s">
        <v>264</v>
      </c>
      <c r="AC5" s="111" t="s">
        <v>265</v>
      </c>
      <c r="AE5" s="9"/>
      <c r="AF5" s="110" t="s">
        <v>264</v>
      </c>
      <c r="AG5" s="111" t="s">
        <v>265</v>
      </c>
      <c r="AI5" s="9"/>
      <c r="AJ5" s="110" t="s">
        <v>264</v>
      </c>
      <c r="AK5" s="111" t="s">
        <v>265</v>
      </c>
      <c r="AM5" s="9"/>
      <c r="AN5" s="110" t="s">
        <v>264</v>
      </c>
      <c r="AO5" s="111" t="s">
        <v>265</v>
      </c>
      <c r="AT5" s="530" t="s">
        <v>507</v>
      </c>
      <c r="AU5" s="531"/>
      <c r="AV5" s="531"/>
      <c r="AW5" s="532"/>
    </row>
    <row r="6" spans="2:49">
      <c r="B6" s="103">
        <v>0</v>
      </c>
      <c r="C6" s="101">
        <v>50</v>
      </c>
      <c r="D6" s="102">
        <v>50</v>
      </c>
      <c r="F6" s="103">
        <v>0</v>
      </c>
      <c r="G6" s="101">
        <v>50</v>
      </c>
      <c r="H6" s="102">
        <v>50</v>
      </c>
      <c r="J6" s="103">
        <v>0</v>
      </c>
      <c r="K6" s="107">
        <v>50</v>
      </c>
      <c r="L6" s="102">
        <v>50</v>
      </c>
      <c r="N6" s="103">
        <v>0</v>
      </c>
      <c r="O6" s="101">
        <v>50</v>
      </c>
      <c r="P6" s="102">
        <v>50</v>
      </c>
      <c r="R6" s="103">
        <v>0</v>
      </c>
      <c r="S6" s="101">
        <v>50</v>
      </c>
      <c r="T6" s="102">
        <v>50</v>
      </c>
      <c r="W6" s="103">
        <v>0</v>
      </c>
      <c r="X6" s="101">
        <v>55</v>
      </c>
      <c r="Y6" s="102">
        <v>55</v>
      </c>
      <c r="AA6" s="103">
        <v>0</v>
      </c>
      <c r="AB6" s="101">
        <v>55</v>
      </c>
      <c r="AC6" s="102">
        <v>55</v>
      </c>
      <c r="AE6" s="103">
        <v>0</v>
      </c>
      <c r="AF6" s="101">
        <v>55</v>
      </c>
      <c r="AG6" s="102">
        <v>55</v>
      </c>
      <c r="AI6" s="103">
        <v>0</v>
      </c>
      <c r="AJ6" s="101">
        <v>55</v>
      </c>
      <c r="AK6" s="102">
        <v>55</v>
      </c>
      <c r="AM6" s="103">
        <v>0</v>
      </c>
      <c r="AN6" s="101">
        <v>55</v>
      </c>
      <c r="AO6" s="102">
        <v>55</v>
      </c>
      <c r="AT6" s="160"/>
      <c r="AU6" s="161"/>
      <c r="AV6" s="161"/>
      <c r="AW6" s="169"/>
    </row>
    <row r="7" spans="2:49">
      <c r="B7" s="104">
        <v>4.1666666666666664E-2</v>
      </c>
      <c r="C7" s="96">
        <v>50</v>
      </c>
      <c r="D7" s="97">
        <v>50</v>
      </c>
      <c r="F7" s="104">
        <v>4.1666666666666664E-2</v>
      </c>
      <c r="G7" s="96">
        <v>50</v>
      </c>
      <c r="H7" s="97">
        <v>50</v>
      </c>
      <c r="J7" s="104">
        <v>4.1666666666666664E-2</v>
      </c>
      <c r="K7" s="108">
        <v>55</v>
      </c>
      <c r="L7" s="97">
        <v>55</v>
      </c>
      <c r="N7" s="104">
        <v>4.1666666666666664E-2</v>
      </c>
      <c r="O7" s="96">
        <v>50</v>
      </c>
      <c r="P7" s="97">
        <v>50</v>
      </c>
      <c r="R7" s="104">
        <v>4.1666666666666664E-2</v>
      </c>
      <c r="S7" s="96">
        <v>50</v>
      </c>
      <c r="T7" s="97">
        <v>50</v>
      </c>
      <c r="W7" s="104">
        <v>4.1666666666666664E-2</v>
      </c>
      <c r="X7" s="96">
        <v>50</v>
      </c>
      <c r="Y7" s="97">
        <v>50</v>
      </c>
      <c r="AA7" s="104">
        <v>4.1666666666666664E-2</v>
      </c>
      <c r="AB7" s="96">
        <v>55</v>
      </c>
      <c r="AC7" s="97">
        <v>55</v>
      </c>
      <c r="AE7" s="104">
        <v>4.1666666666666664E-2</v>
      </c>
      <c r="AF7" s="96">
        <v>55</v>
      </c>
      <c r="AG7" s="97">
        <v>55</v>
      </c>
      <c r="AI7" s="104">
        <v>4.1666666666666664E-2</v>
      </c>
      <c r="AJ7" s="96">
        <v>55</v>
      </c>
      <c r="AK7" s="97">
        <v>55</v>
      </c>
      <c r="AM7" s="104">
        <v>4.1666666666666664E-2</v>
      </c>
      <c r="AN7" s="96">
        <v>55</v>
      </c>
      <c r="AO7" s="97">
        <v>55</v>
      </c>
      <c r="AT7" s="351" t="s">
        <v>502</v>
      </c>
      <c r="AU7" s="350" t="s">
        <v>509</v>
      </c>
      <c r="AV7" s="350" t="s">
        <v>510</v>
      </c>
      <c r="AW7" s="352" t="s">
        <v>503</v>
      </c>
    </row>
    <row r="8" spans="2:49">
      <c r="B8" s="104">
        <v>8.3333333333333301E-2</v>
      </c>
      <c r="C8" s="96">
        <v>50</v>
      </c>
      <c r="D8" s="97">
        <v>50</v>
      </c>
      <c r="F8" s="104">
        <v>8.3333333333333301E-2</v>
      </c>
      <c r="G8" s="96">
        <v>50</v>
      </c>
      <c r="H8" s="97">
        <v>50</v>
      </c>
      <c r="J8" s="104">
        <v>8.3333333333333301E-2</v>
      </c>
      <c r="K8" s="108">
        <v>55</v>
      </c>
      <c r="L8" s="97">
        <v>55</v>
      </c>
      <c r="N8" s="104">
        <v>8.3333333333333301E-2</v>
      </c>
      <c r="O8" s="96">
        <v>50</v>
      </c>
      <c r="P8" s="97">
        <v>50</v>
      </c>
      <c r="R8" s="104">
        <v>8.3333333333333301E-2</v>
      </c>
      <c r="S8" s="96">
        <v>50</v>
      </c>
      <c r="T8" s="97">
        <v>50</v>
      </c>
      <c r="W8" s="104">
        <v>8.3333333333333301E-2</v>
      </c>
      <c r="X8" s="96">
        <v>55</v>
      </c>
      <c r="Y8" s="97">
        <v>55</v>
      </c>
      <c r="AA8" s="104">
        <v>8.3333333333333301E-2</v>
      </c>
      <c r="AB8" s="96">
        <v>55</v>
      </c>
      <c r="AC8" s="97">
        <v>55</v>
      </c>
      <c r="AE8" s="104">
        <v>8.3333333333333301E-2</v>
      </c>
      <c r="AF8" s="96">
        <v>55</v>
      </c>
      <c r="AG8" s="97">
        <v>55</v>
      </c>
      <c r="AI8" s="104">
        <v>8.3333333333333301E-2</v>
      </c>
      <c r="AJ8" s="96">
        <v>55</v>
      </c>
      <c r="AK8" s="97">
        <v>55</v>
      </c>
      <c r="AM8" s="104">
        <v>8.3333333333333301E-2</v>
      </c>
      <c r="AN8" s="96">
        <v>55</v>
      </c>
      <c r="AO8" s="97">
        <v>55</v>
      </c>
      <c r="AS8">
        <v>1</v>
      </c>
      <c r="AT8" s="160" t="s">
        <v>501</v>
      </c>
      <c r="AU8" s="161">
        <v>1.5</v>
      </c>
      <c r="AV8" s="161">
        <v>7</v>
      </c>
      <c r="AW8" s="169">
        <v>9</v>
      </c>
    </row>
    <row r="9" spans="2:49">
      <c r="B9" s="104">
        <v>0.125</v>
      </c>
      <c r="C9" s="96">
        <v>50</v>
      </c>
      <c r="D9" s="97">
        <v>50</v>
      </c>
      <c r="F9" s="104">
        <v>0.125</v>
      </c>
      <c r="G9" s="96">
        <v>50</v>
      </c>
      <c r="H9" s="97">
        <v>50</v>
      </c>
      <c r="J9" s="104">
        <v>0.125</v>
      </c>
      <c r="K9" s="108">
        <v>50</v>
      </c>
      <c r="L9" s="97">
        <v>50</v>
      </c>
      <c r="N9" s="104">
        <v>0.125</v>
      </c>
      <c r="O9" s="96">
        <v>50</v>
      </c>
      <c r="P9" s="97">
        <v>50</v>
      </c>
      <c r="R9" s="104">
        <v>0.125</v>
      </c>
      <c r="S9" s="96">
        <v>50</v>
      </c>
      <c r="T9" s="97">
        <v>60</v>
      </c>
      <c r="W9" s="104">
        <v>0.125</v>
      </c>
      <c r="X9" s="96">
        <v>50</v>
      </c>
      <c r="Y9" s="97">
        <v>50</v>
      </c>
      <c r="AA9" s="104">
        <v>0.125</v>
      </c>
      <c r="AB9" s="96">
        <v>55</v>
      </c>
      <c r="AC9" s="97">
        <v>55</v>
      </c>
      <c r="AE9" s="104">
        <v>0.125</v>
      </c>
      <c r="AF9" s="96">
        <v>55</v>
      </c>
      <c r="AG9" s="97">
        <v>55</v>
      </c>
      <c r="AI9" s="104">
        <v>0.125</v>
      </c>
      <c r="AJ9" s="96">
        <v>55</v>
      </c>
      <c r="AK9" s="97">
        <v>55</v>
      </c>
      <c r="AM9" s="104">
        <v>0.125</v>
      </c>
      <c r="AN9" s="96">
        <v>55</v>
      </c>
      <c r="AO9" s="97">
        <v>55</v>
      </c>
      <c r="AS9">
        <v>2</v>
      </c>
      <c r="AT9" s="160" t="s">
        <v>505</v>
      </c>
      <c r="AU9" s="161">
        <v>2</v>
      </c>
      <c r="AV9" s="161">
        <v>8</v>
      </c>
      <c r="AW9" s="169">
        <v>12</v>
      </c>
    </row>
    <row r="10" spans="2:49">
      <c r="B10" s="104">
        <v>0.16666666666666699</v>
      </c>
      <c r="C10" s="96">
        <v>50</v>
      </c>
      <c r="D10" s="97">
        <v>50</v>
      </c>
      <c r="F10" s="104">
        <v>0.16666666666666699</v>
      </c>
      <c r="G10" s="96">
        <v>50</v>
      </c>
      <c r="H10" s="97">
        <v>50</v>
      </c>
      <c r="J10" s="104">
        <v>0.16666666666666699</v>
      </c>
      <c r="K10" s="108">
        <v>50</v>
      </c>
      <c r="L10" s="97">
        <v>50</v>
      </c>
      <c r="N10" s="104">
        <v>0.16666666666666699</v>
      </c>
      <c r="O10" s="96">
        <v>50</v>
      </c>
      <c r="P10" s="97">
        <v>50</v>
      </c>
      <c r="R10" s="104">
        <v>0.16666666666666699</v>
      </c>
      <c r="S10" s="96">
        <v>50</v>
      </c>
      <c r="T10" s="97">
        <v>50</v>
      </c>
      <c r="W10" s="104">
        <v>0.16666666666666699</v>
      </c>
      <c r="X10" s="96">
        <v>50</v>
      </c>
      <c r="Y10" s="97">
        <v>60</v>
      </c>
      <c r="AA10" s="104">
        <v>0.16666666666666699</v>
      </c>
      <c r="AB10" s="96">
        <v>50</v>
      </c>
      <c r="AC10" s="97">
        <v>60</v>
      </c>
      <c r="AE10" s="104">
        <v>0.16666666666666699</v>
      </c>
      <c r="AF10" s="96">
        <v>50</v>
      </c>
      <c r="AG10" s="97">
        <v>60</v>
      </c>
      <c r="AI10" s="104">
        <v>0.16666666666666699</v>
      </c>
      <c r="AJ10" s="96">
        <v>55</v>
      </c>
      <c r="AK10" s="97">
        <v>55</v>
      </c>
      <c r="AM10" s="104">
        <v>0.16666666666666699</v>
      </c>
      <c r="AN10" s="96">
        <v>55</v>
      </c>
      <c r="AO10" s="97">
        <v>55</v>
      </c>
      <c r="AS10">
        <v>3</v>
      </c>
      <c r="AT10" s="160" t="s">
        <v>504</v>
      </c>
      <c r="AU10" s="161">
        <v>4</v>
      </c>
      <c r="AV10" s="161">
        <v>7</v>
      </c>
      <c r="AW10" s="169">
        <v>12</v>
      </c>
    </row>
    <row r="11" spans="2:49">
      <c r="B11" s="104">
        <v>0.20833333333333301</v>
      </c>
      <c r="C11" s="96">
        <v>45</v>
      </c>
      <c r="D11" s="97">
        <v>55</v>
      </c>
      <c r="F11" s="104">
        <v>0.20833333333333301</v>
      </c>
      <c r="G11" s="96">
        <v>45</v>
      </c>
      <c r="H11" s="97">
        <v>55</v>
      </c>
      <c r="J11" s="104">
        <v>0.20833333333333301</v>
      </c>
      <c r="K11" s="108">
        <v>45</v>
      </c>
      <c r="L11" s="97">
        <v>55</v>
      </c>
      <c r="N11" s="104">
        <v>0.20833333333333301</v>
      </c>
      <c r="O11" s="96">
        <v>45</v>
      </c>
      <c r="P11" s="97">
        <v>55</v>
      </c>
      <c r="R11" s="104">
        <v>0.20833333333333301</v>
      </c>
      <c r="S11" s="96">
        <v>45</v>
      </c>
      <c r="T11" s="97">
        <v>55</v>
      </c>
      <c r="W11" s="104">
        <v>0.20833333333333301</v>
      </c>
      <c r="X11" s="96">
        <v>50</v>
      </c>
      <c r="Y11" s="97">
        <v>60</v>
      </c>
      <c r="AA11" s="104">
        <v>0.20833333333333301</v>
      </c>
      <c r="AB11" s="96">
        <v>50</v>
      </c>
      <c r="AC11" s="97">
        <v>60</v>
      </c>
      <c r="AE11" s="104">
        <v>0.20833333333333301</v>
      </c>
      <c r="AF11" s="96">
        <v>50</v>
      </c>
      <c r="AG11" s="97">
        <v>60</v>
      </c>
      <c r="AI11" s="104">
        <v>0.20833333333333301</v>
      </c>
      <c r="AJ11" s="96">
        <v>50</v>
      </c>
      <c r="AK11" s="97">
        <v>60</v>
      </c>
      <c r="AM11" s="104">
        <v>0.20833333333333301</v>
      </c>
      <c r="AN11" s="96">
        <v>50</v>
      </c>
      <c r="AO11" s="97">
        <v>60</v>
      </c>
      <c r="AS11">
        <v>4</v>
      </c>
      <c r="AT11" s="160" t="s">
        <v>506</v>
      </c>
      <c r="AU11" s="161">
        <v>4.7</v>
      </c>
      <c r="AV11" s="161">
        <v>8</v>
      </c>
      <c r="AW11" s="169">
        <v>16</v>
      </c>
    </row>
    <row r="12" spans="2:49">
      <c r="B12" s="104">
        <v>0.25</v>
      </c>
      <c r="C12" s="96">
        <v>45</v>
      </c>
      <c r="D12" s="97">
        <v>55</v>
      </c>
      <c r="F12" s="104">
        <v>0.25</v>
      </c>
      <c r="G12" s="96">
        <v>45</v>
      </c>
      <c r="H12" s="97">
        <v>55</v>
      </c>
      <c r="J12" s="104">
        <v>0.25</v>
      </c>
      <c r="K12" s="108">
        <v>45</v>
      </c>
      <c r="L12" s="97">
        <v>55</v>
      </c>
      <c r="N12" s="104">
        <v>0.25</v>
      </c>
      <c r="O12" s="96">
        <v>45</v>
      </c>
      <c r="P12" s="97">
        <v>55</v>
      </c>
      <c r="R12" s="104">
        <v>0.25</v>
      </c>
      <c r="S12" s="96">
        <v>45</v>
      </c>
      <c r="T12" s="97">
        <v>55</v>
      </c>
      <c r="W12" s="104">
        <v>0.25</v>
      </c>
      <c r="X12" s="96">
        <v>50</v>
      </c>
      <c r="Y12" s="97">
        <v>70</v>
      </c>
      <c r="AA12" s="104">
        <v>0.25</v>
      </c>
      <c r="AB12" s="96">
        <v>50</v>
      </c>
      <c r="AC12" s="97">
        <v>65</v>
      </c>
      <c r="AE12" s="104">
        <v>0.25</v>
      </c>
      <c r="AF12" s="96">
        <v>50</v>
      </c>
      <c r="AG12" s="97">
        <v>65</v>
      </c>
      <c r="AI12" s="104">
        <v>0.25</v>
      </c>
      <c r="AJ12" s="96">
        <v>50</v>
      </c>
      <c r="AK12" s="97">
        <v>65</v>
      </c>
      <c r="AM12" s="104">
        <v>0.25</v>
      </c>
      <c r="AN12" s="96">
        <v>50</v>
      </c>
      <c r="AO12" s="97">
        <v>60</v>
      </c>
      <c r="AS12">
        <v>5</v>
      </c>
      <c r="AT12" s="160" t="s">
        <v>508</v>
      </c>
      <c r="AU12" s="161">
        <v>4</v>
      </c>
      <c r="AV12" s="161">
        <v>12</v>
      </c>
      <c r="AW12" s="169">
        <v>18</v>
      </c>
    </row>
    <row r="13" spans="2:49">
      <c r="B13" s="104">
        <v>0.29166666666666702</v>
      </c>
      <c r="C13" s="96">
        <v>45</v>
      </c>
      <c r="D13" s="97">
        <v>55</v>
      </c>
      <c r="F13" s="104">
        <v>0.29166666666666702</v>
      </c>
      <c r="G13" s="96">
        <v>45</v>
      </c>
      <c r="H13" s="97">
        <v>55</v>
      </c>
      <c r="J13" s="104">
        <v>0.29166666666666702</v>
      </c>
      <c r="K13" s="108">
        <v>45</v>
      </c>
      <c r="L13" s="97">
        <v>55</v>
      </c>
      <c r="N13" s="104">
        <v>0.29166666666666702</v>
      </c>
      <c r="O13" s="96">
        <v>45</v>
      </c>
      <c r="P13" s="97">
        <v>55</v>
      </c>
      <c r="R13" s="104">
        <v>0.29166666666666702</v>
      </c>
      <c r="S13" s="96">
        <v>45</v>
      </c>
      <c r="T13" s="97">
        <v>55</v>
      </c>
      <c r="W13" s="104">
        <v>0.29166666666666702</v>
      </c>
      <c r="X13" s="96">
        <v>55</v>
      </c>
      <c r="Y13" s="97">
        <v>90</v>
      </c>
      <c r="AA13" s="104">
        <v>0.29166666666666702</v>
      </c>
      <c r="AB13" s="96">
        <v>55</v>
      </c>
      <c r="AC13" s="97">
        <v>90</v>
      </c>
      <c r="AE13" s="104">
        <v>0.29166666666666702</v>
      </c>
      <c r="AF13" s="96">
        <v>55</v>
      </c>
      <c r="AG13" s="97">
        <v>100</v>
      </c>
      <c r="AI13" s="104">
        <v>0.29166666666666702</v>
      </c>
      <c r="AJ13" s="96">
        <v>55</v>
      </c>
      <c r="AK13" s="97">
        <v>90</v>
      </c>
      <c r="AM13" s="104">
        <v>0.29166666666666702</v>
      </c>
      <c r="AN13" s="96">
        <v>50</v>
      </c>
      <c r="AO13" s="97">
        <v>65</v>
      </c>
      <c r="AS13">
        <v>6</v>
      </c>
      <c r="AT13" s="160" t="s">
        <v>512</v>
      </c>
      <c r="AU13" s="161">
        <v>4.2</v>
      </c>
      <c r="AV13" s="161">
        <v>14</v>
      </c>
      <c r="AW13" s="169">
        <v>18</v>
      </c>
    </row>
    <row r="14" spans="2:49">
      <c r="B14" s="104">
        <v>0.33333333333333298</v>
      </c>
      <c r="C14" s="96">
        <v>45</v>
      </c>
      <c r="D14" s="97">
        <v>55</v>
      </c>
      <c r="F14" s="104">
        <v>0.33333333333333298</v>
      </c>
      <c r="G14" s="96">
        <v>45</v>
      </c>
      <c r="H14" s="97">
        <v>55</v>
      </c>
      <c r="J14" s="104">
        <v>0.33333333333333298</v>
      </c>
      <c r="K14" s="108">
        <v>45</v>
      </c>
      <c r="L14" s="97">
        <v>55</v>
      </c>
      <c r="N14" s="104">
        <v>0.33333333333333298</v>
      </c>
      <c r="O14" s="96">
        <v>45</v>
      </c>
      <c r="P14" s="97">
        <v>55</v>
      </c>
      <c r="R14" s="104">
        <v>0.33333333333333298</v>
      </c>
      <c r="S14" s="96">
        <v>45</v>
      </c>
      <c r="T14" s="97">
        <v>55</v>
      </c>
      <c r="W14" s="104">
        <v>0.33333333333333298</v>
      </c>
      <c r="X14" s="96">
        <v>55</v>
      </c>
      <c r="Y14" s="97">
        <v>80</v>
      </c>
      <c r="AA14" s="104">
        <v>0.33333333333333298</v>
      </c>
      <c r="AB14" s="96">
        <v>55</v>
      </c>
      <c r="AC14" s="97">
        <v>80</v>
      </c>
      <c r="AE14" s="104">
        <v>0.33333333333333298</v>
      </c>
      <c r="AF14" s="96">
        <v>55</v>
      </c>
      <c r="AG14" s="97">
        <v>75</v>
      </c>
      <c r="AI14" s="104">
        <v>0.33333333333333298</v>
      </c>
      <c r="AJ14" s="96">
        <v>55</v>
      </c>
      <c r="AK14" s="97">
        <v>80</v>
      </c>
      <c r="AM14" s="104">
        <v>0.33333333333333298</v>
      </c>
      <c r="AN14" s="96">
        <v>50</v>
      </c>
      <c r="AO14" s="97">
        <v>65</v>
      </c>
      <c r="AS14">
        <v>7</v>
      </c>
      <c r="AT14" s="160" t="s">
        <v>513</v>
      </c>
      <c r="AU14" s="161">
        <v>4.5999999999999996</v>
      </c>
      <c r="AV14" s="161">
        <v>12</v>
      </c>
      <c r="AW14" s="169">
        <v>20</v>
      </c>
    </row>
    <row r="15" spans="2:49">
      <c r="B15" s="104">
        <v>0.375</v>
      </c>
      <c r="C15" s="96">
        <v>45</v>
      </c>
      <c r="D15" s="97">
        <v>55</v>
      </c>
      <c r="F15" s="104">
        <v>0.375</v>
      </c>
      <c r="G15" s="96">
        <v>45</v>
      </c>
      <c r="H15" s="97">
        <v>55</v>
      </c>
      <c r="J15" s="104">
        <v>0.375</v>
      </c>
      <c r="K15" s="108">
        <v>45</v>
      </c>
      <c r="L15" s="97">
        <v>55</v>
      </c>
      <c r="N15" s="104">
        <v>0.375</v>
      </c>
      <c r="O15" s="96">
        <v>45</v>
      </c>
      <c r="P15" s="97">
        <v>55</v>
      </c>
      <c r="R15" s="104">
        <v>0.375</v>
      </c>
      <c r="S15" s="96">
        <v>45</v>
      </c>
      <c r="T15" s="97">
        <v>55</v>
      </c>
      <c r="W15" s="104">
        <v>0.375</v>
      </c>
      <c r="X15" s="96">
        <v>45</v>
      </c>
      <c r="Y15" s="97">
        <v>60</v>
      </c>
      <c r="AA15" s="104">
        <v>0.375</v>
      </c>
      <c r="AB15" s="96">
        <v>45</v>
      </c>
      <c r="AC15" s="97">
        <v>60</v>
      </c>
      <c r="AE15" s="104">
        <v>0.375</v>
      </c>
      <c r="AF15" s="96">
        <v>45</v>
      </c>
      <c r="AG15" s="97">
        <v>60</v>
      </c>
      <c r="AI15" s="104">
        <v>0.375</v>
      </c>
      <c r="AJ15" s="96">
        <v>45</v>
      </c>
      <c r="AK15" s="97">
        <v>60</v>
      </c>
      <c r="AM15" s="104">
        <v>0.375</v>
      </c>
      <c r="AN15" s="96">
        <v>45</v>
      </c>
      <c r="AO15" s="97">
        <v>60</v>
      </c>
      <c r="AS15">
        <v>8</v>
      </c>
      <c r="AT15" s="171" t="s">
        <v>511</v>
      </c>
      <c r="AU15" s="242">
        <v>5</v>
      </c>
      <c r="AV15" s="242">
        <v>16</v>
      </c>
      <c r="AW15" s="353">
        <v>24</v>
      </c>
    </row>
    <row r="16" spans="2:49">
      <c r="B16" s="104">
        <v>0.41666666666666702</v>
      </c>
      <c r="C16" s="96">
        <v>45</v>
      </c>
      <c r="D16" s="97">
        <v>55</v>
      </c>
      <c r="F16" s="104">
        <v>0.41666666666666702</v>
      </c>
      <c r="G16" s="96">
        <v>45</v>
      </c>
      <c r="H16" s="97">
        <v>55</v>
      </c>
      <c r="J16" s="104">
        <v>0.41666666666666702</v>
      </c>
      <c r="K16" s="108">
        <v>45</v>
      </c>
      <c r="L16" s="97">
        <v>55</v>
      </c>
      <c r="N16" s="104">
        <v>0.41666666666666702</v>
      </c>
      <c r="O16" s="96">
        <v>45</v>
      </c>
      <c r="P16" s="97">
        <v>55</v>
      </c>
      <c r="R16" s="104">
        <v>0.41666666666666702</v>
      </c>
      <c r="S16" s="96">
        <v>45</v>
      </c>
      <c r="T16" s="97">
        <v>55</v>
      </c>
      <c r="W16" s="104">
        <v>0.41666666666666702</v>
      </c>
      <c r="X16" s="96">
        <v>45</v>
      </c>
      <c r="Y16" s="97">
        <v>60</v>
      </c>
      <c r="AA16" s="104">
        <v>0.41666666666666702</v>
      </c>
      <c r="AB16" s="96">
        <v>45</v>
      </c>
      <c r="AC16" s="97">
        <v>60</v>
      </c>
      <c r="AE16" s="104">
        <v>0.41666666666666702</v>
      </c>
      <c r="AF16" s="96">
        <v>45</v>
      </c>
      <c r="AG16" s="97">
        <v>60</v>
      </c>
      <c r="AI16" s="104">
        <v>0.41666666666666702</v>
      </c>
      <c r="AJ16" s="96">
        <v>45</v>
      </c>
      <c r="AK16" s="97">
        <v>60</v>
      </c>
      <c r="AM16" s="104">
        <v>0.41666666666666702</v>
      </c>
      <c r="AN16" s="96">
        <v>45</v>
      </c>
      <c r="AO16" s="97">
        <v>60</v>
      </c>
    </row>
    <row r="17" spans="2:41">
      <c r="B17" s="104">
        <v>0.45833333333333298</v>
      </c>
      <c r="C17" s="96">
        <v>45</v>
      </c>
      <c r="D17" s="97">
        <v>55</v>
      </c>
      <c r="F17" s="104">
        <v>0.45833333333333298</v>
      </c>
      <c r="G17" s="96">
        <v>45</v>
      </c>
      <c r="H17" s="97">
        <v>55</v>
      </c>
      <c r="J17" s="104">
        <v>0.45833333333333298</v>
      </c>
      <c r="K17" s="108">
        <v>45</v>
      </c>
      <c r="L17" s="97">
        <v>55</v>
      </c>
      <c r="N17" s="104">
        <v>0.45833333333333298</v>
      </c>
      <c r="O17" s="96">
        <v>45</v>
      </c>
      <c r="P17" s="97">
        <v>55</v>
      </c>
      <c r="R17" s="104">
        <v>0.45833333333333298</v>
      </c>
      <c r="S17" s="96">
        <v>45</v>
      </c>
      <c r="T17" s="97">
        <v>55</v>
      </c>
      <c r="W17" s="104">
        <v>0.45833333333333298</v>
      </c>
      <c r="X17" s="96">
        <v>45</v>
      </c>
      <c r="Y17" s="97">
        <v>60</v>
      </c>
      <c r="AA17" s="104">
        <v>0.45833333333333298</v>
      </c>
      <c r="AB17" s="96">
        <v>45</v>
      </c>
      <c r="AC17" s="97">
        <v>60</v>
      </c>
      <c r="AE17" s="104">
        <v>0.45833333333333298</v>
      </c>
      <c r="AF17" s="96">
        <v>45</v>
      </c>
      <c r="AG17" s="97">
        <v>60</v>
      </c>
      <c r="AI17" s="104">
        <v>0.45833333333333298</v>
      </c>
      <c r="AJ17" s="96">
        <v>45</v>
      </c>
      <c r="AK17" s="97">
        <v>60</v>
      </c>
      <c r="AM17" s="104">
        <v>0.45833333333333298</v>
      </c>
      <c r="AN17" s="96">
        <v>45</v>
      </c>
      <c r="AO17" s="97">
        <v>60</v>
      </c>
    </row>
    <row r="18" spans="2:41">
      <c r="B18" s="104">
        <v>0.5</v>
      </c>
      <c r="C18" s="96">
        <v>45</v>
      </c>
      <c r="D18" s="97">
        <v>55</v>
      </c>
      <c r="F18" s="104">
        <v>0.5</v>
      </c>
      <c r="G18" s="96">
        <v>45</v>
      </c>
      <c r="H18" s="97">
        <v>55</v>
      </c>
      <c r="J18" s="104">
        <v>0.5</v>
      </c>
      <c r="K18" s="108">
        <v>45</v>
      </c>
      <c r="L18" s="97">
        <v>55</v>
      </c>
      <c r="N18" s="104">
        <v>0.5</v>
      </c>
      <c r="O18" s="96">
        <v>45</v>
      </c>
      <c r="P18" s="97">
        <v>55</v>
      </c>
      <c r="R18" s="104">
        <v>0.5</v>
      </c>
      <c r="S18" s="96">
        <v>45</v>
      </c>
      <c r="T18" s="97">
        <v>55</v>
      </c>
      <c r="W18" s="104">
        <v>0.5</v>
      </c>
      <c r="X18" s="96">
        <v>45</v>
      </c>
      <c r="Y18" s="97">
        <v>60</v>
      </c>
      <c r="AA18" s="104">
        <v>0.5</v>
      </c>
      <c r="AB18" s="96">
        <v>45</v>
      </c>
      <c r="AC18" s="97">
        <v>60</v>
      </c>
      <c r="AE18" s="104">
        <v>0.5</v>
      </c>
      <c r="AF18" s="96">
        <v>45</v>
      </c>
      <c r="AG18" s="97">
        <v>60</v>
      </c>
      <c r="AI18" s="104">
        <v>0.5</v>
      </c>
      <c r="AJ18" s="96">
        <v>45</v>
      </c>
      <c r="AK18" s="97">
        <v>60</v>
      </c>
      <c r="AM18" s="104">
        <v>0.5</v>
      </c>
      <c r="AN18" s="96">
        <v>45</v>
      </c>
      <c r="AO18" s="97">
        <v>60</v>
      </c>
    </row>
    <row r="19" spans="2:41">
      <c r="B19" s="104">
        <v>0.54166666666666696</v>
      </c>
      <c r="C19" s="96">
        <v>45</v>
      </c>
      <c r="D19" s="97">
        <v>55</v>
      </c>
      <c r="F19" s="104">
        <v>0.54166666666666696</v>
      </c>
      <c r="G19" s="96">
        <v>45</v>
      </c>
      <c r="H19" s="97">
        <v>55</v>
      </c>
      <c r="J19" s="104">
        <v>0.54166666666666696</v>
      </c>
      <c r="K19" s="108">
        <v>45</v>
      </c>
      <c r="L19" s="97">
        <v>55</v>
      </c>
      <c r="N19" s="104">
        <v>0.54166666666666696</v>
      </c>
      <c r="O19" s="96">
        <v>45</v>
      </c>
      <c r="P19" s="97">
        <v>55</v>
      </c>
      <c r="R19" s="104">
        <v>0.54166666666666696</v>
      </c>
      <c r="S19" s="96">
        <v>45</v>
      </c>
      <c r="T19" s="97">
        <v>55</v>
      </c>
      <c r="W19" s="104">
        <v>0.54166666666666696</v>
      </c>
      <c r="X19" s="96">
        <v>45</v>
      </c>
      <c r="Y19" s="97">
        <v>60</v>
      </c>
      <c r="AA19" s="104">
        <v>0.54166666666666696</v>
      </c>
      <c r="AB19" s="96">
        <v>45</v>
      </c>
      <c r="AC19" s="97">
        <v>60</v>
      </c>
      <c r="AE19" s="104">
        <v>0.54166666666666696</v>
      </c>
      <c r="AF19" s="96">
        <v>45</v>
      </c>
      <c r="AG19" s="97">
        <v>60</v>
      </c>
      <c r="AI19" s="104">
        <v>0.54166666666666696</v>
      </c>
      <c r="AJ19" s="96">
        <v>45</v>
      </c>
      <c r="AK19" s="97">
        <v>60</v>
      </c>
      <c r="AM19" s="104">
        <v>0.54166666666666696</v>
      </c>
      <c r="AN19" s="96">
        <v>45</v>
      </c>
      <c r="AO19" s="97">
        <v>60</v>
      </c>
    </row>
    <row r="20" spans="2:41">
      <c r="B20" s="104">
        <v>0.58333333333333304</v>
      </c>
      <c r="C20" s="96">
        <v>45</v>
      </c>
      <c r="D20" s="97">
        <v>55</v>
      </c>
      <c r="F20" s="104">
        <v>0.58333333333333304</v>
      </c>
      <c r="G20" s="96">
        <v>45</v>
      </c>
      <c r="H20" s="97">
        <v>55</v>
      </c>
      <c r="J20" s="104">
        <v>0.58333333333333304</v>
      </c>
      <c r="K20" s="108">
        <v>45</v>
      </c>
      <c r="L20" s="97">
        <v>55</v>
      </c>
      <c r="N20" s="104">
        <v>0.58333333333333304</v>
      </c>
      <c r="O20" s="96">
        <v>45</v>
      </c>
      <c r="P20" s="97">
        <v>55</v>
      </c>
      <c r="R20" s="104">
        <v>0.58333333333333304</v>
      </c>
      <c r="S20" s="96">
        <v>50</v>
      </c>
      <c r="T20" s="97">
        <v>75</v>
      </c>
      <c r="W20" s="104">
        <v>0.58333333333333304</v>
      </c>
      <c r="X20" s="96">
        <v>45</v>
      </c>
      <c r="Y20" s="97">
        <v>60</v>
      </c>
      <c r="AA20" s="104">
        <v>0.58333333333333304</v>
      </c>
      <c r="AB20" s="96">
        <v>45</v>
      </c>
      <c r="AC20" s="97">
        <v>60</v>
      </c>
      <c r="AE20" s="104">
        <v>0.58333333333333304</v>
      </c>
      <c r="AF20" s="96">
        <v>45</v>
      </c>
      <c r="AG20" s="97">
        <v>60</v>
      </c>
      <c r="AI20" s="104">
        <v>0.58333333333333304</v>
      </c>
      <c r="AJ20" s="96">
        <v>45</v>
      </c>
      <c r="AK20" s="97">
        <v>60</v>
      </c>
      <c r="AM20" s="104">
        <v>0.58333333333333304</v>
      </c>
      <c r="AN20" s="96">
        <v>45</v>
      </c>
      <c r="AO20" s="97">
        <v>60</v>
      </c>
    </row>
    <row r="21" spans="2:41">
      <c r="B21" s="104">
        <v>0.625</v>
      </c>
      <c r="C21" s="96">
        <v>45</v>
      </c>
      <c r="D21" s="97">
        <v>65</v>
      </c>
      <c r="F21" s="104">
        <v>0.625</v>
      </c>
      <c r="G21" s="96">
        <v>50</v>
      </c>
      <c r="H21" s="97">
        <v>70</v>
      </c>
      <c r="J21" s="104">
        <v>0.625</v>
      </c>
      <c r="K21" s="108">
        <v>50</v>
      </c>
      <c r="L21" s="97">
        <v>70</v>
      </c>
      <c r="N21" s="104">
        <v>0.625</v>
      </c>
      <c r="O21" s="96">
        <v>50</v>
      </c>
      <c r="P21" s="97">
        <v>80</v>
      </c>
      <c r="R21" s="104">
        <v>0.625</v>
      </c>
      <c r="S21" s="96">
        <v>60</v>
      </c>
      <c r="T21" s="97">
        <v>120</v>
      </c>
      <c r="W21" s="104">
        <v>0.625</v>
      </c>
      <c r="X21" s="96">
        <v>45</v>
      </c>
      <c r="Y21" s="97">
        <v>60</v>
      </c>
      <c r="AA21" s="104">
        <v>0.625</v>
      </c>
      <c r="AB21" s="96">
        <v>45</v>
      </c>
      <c r="AC21" s="97">
        <v>60</v>
      </c>
      <c r="AE21" s="104">
        <v>0.625</v>
      </c>
      <c r="AF21" s="96">
        <v>45</v>
      </c>
      <c r="AG21" s="97">
        <v>60</v>
      </c>
      <c r="AI21" s="104">
        <v>0.625</v>
      </c>
      <c r="AJ21" s="96">
        <v>45</v>
      </c>
      <c r="AK21" s="97">
        <v>60</v>
      </c>
      <c r="AM21" s="104">
        <v>0.625</v>
      </c>
      <c r="AN21" s="96">
        <v>45</v>
      </c>
      <c r="AO21" s="97">
        <v>60</v>
      </c>
    </row>
    <row r="22" spans="2:41">
      <c r="B22" s="104">
        <v>0.66666666666666696</v>
      </c>
      <c r="C22" s="96">
        <v>50</v>
      </c>
      <c r="D22" s="97">
        <v>75</v>
      </c>
      <c r="F22" s="104">
        <v>0.66666666666666696</v>
      </c>
      <c r="G22" s="96">
        <v>55</v>
      </c>
      <c r="H22" s="97">
        <v>80</v>
      </c>
      <c r="J22" s="104">
        <v>0.66666666666666696</v>
      </c>
      <c r="K22" s="108">
        <v>55</v>
      </c>
      <c r="L22" s="97">
        <v>85</v>
      </c>
      <c r="N22" s="104">
        <v>0.66666666666666696</v>
      </c>
      <c r="O22" s="96">
        <v>60</v>
      </c>
      <c r="P22" s="97">
        <v>100</v>
      </c>
      <c r="R22" s="104">
        <v>0.66666666666666696</v>
      </c>
      <c r="S22" s="96">
        <v>60</v>
      </c>
      <c r="T22" s="97">
        <v>100</v>
      </c>
      <c r="W22" s="104">
        <v>0.66666666666666696</v>
      </c>
      <c r="X22" s="96">
        <v>45</v>
      </c>
      <c r="Y22" s="97">
        <v>60</v>
      </c>
      <c r="AA22" s="104">
        <v>0.66666666666666696</v>
      </c>
      <c r="AB22" s="96">
        <v>50</v>
      </c>
      <c r="AC22" s="97">
        <v>60</v>
      </c>
      <c r="AE22" s="104">
        <v>0.66666666666666696</v>
      </c>
      <c r="AF22" s="96">
        <v>50</v>
      </c>
      <c r="AG22" s="97">
        <v>60</v>
      </c>
      <c r="AI22" s="104">
        <v>0.66666666666666696</v>
      </c>
      <c r="AJ22" s="96">
        <v>50</v>
      </c>
      <c r="AK22" s="97">
        <v>65</v>
      </c>
      <c r="AM22" s="104">
        <v>0.66666666666666696</v>
      </c>
      <c r="AN22" s="96">
        <v>45</v>
      </c>
      <c r="AO22" s="97">
        <v>60</v>
      </c>
    </row>
    <row r="23" spans="2:41">
      <c r="B23" s="104">
        <v>0.70833333333333304</v>
      </c>
      <c r="C23" s="96">
        <v>45</v>
      </c>
      <c r="D23" s="97">
        <v>60</v>
      </c>
      <c r="F23" s="104">
        <v>0.70833333333333304</v>
      </c>
      <c r="G23" s="96">
        <v>45</v>
      </c>
      <c r="H23" s="97">
        <v>60</v>
      </c>
      <c r="J23" s="104">
        <v>0.70833333333333304</v>
      </c>
      <c r="K23" s="108">
        <v>45</v>
      </c>
      <c r="L23" s="97">
        <v>60</v>
      </c>
      <c r="N23" s="104">
        <v>0.70833333333333304</v>
      </c>
      <c r="O23" s="96">
        <v>50</v>
      </c>
      <c r="P23" s="97">
        <v>65</v>
      </c>
      <c r="R23" s="104">
        <v>0.70833333333333304</v>
      </c>
      <c r="S23" s="96">
        <v>50</v>
      </c>
      <c r="T23" s="97">
        <v>75</v>
      </c>
      <c r="W23" s="104">
        <v>0.70833333333333304</v>
      </c>
      <c r="X23" s="96">
        <v>45</v>
      </c>
      <c r="Y23" s="97">
        <v>60</v>
      </c>
      <c r="AA23" s="104">
        <v>0.70833333333333304</v>
      </c>
      <c r="AB23" s="96">
        <v>45</v>
      </c>
      <c r="AC23" s="97">
        <v>55</v>
      </c>
      <c r="AE23" s="104">
        <v>0.70833333333333304</v>
      </c>
      <c r="AF23" s="96">
        <v>45</v>
      </c>
      <c r="AG23" s="97">
        <v>60</v>
      </c>
      <c r="AI23" s="104">
        <v>0.70833333333333304</v>
      </c>
      <c r="AJ23" s="96">
        <v>45</v>
      </c>
      <c r="AK23" s="97">
        <v>60</v>
      </c>
      <c r="AM23" s="104">
        <v>0.70833333333333304</v>
      </c>
      <c r="AN23" s="96">
        <v>45</v>
      </c>
      <c r="AO23" s="97">
        <v>60</v>
      </c>
    </row>
    <row r="24" spans="2:41">
      <c r="B24" s="104">
        <v>0.75</v>
      </c>
      <c r="C24" s="96">
        <v>45</v>
      </c>
      <c r="D24" s="97">
        <v>55</v>
      </c>
      <c r="F24" s="104">
        <v>0.75</v>
      </c>
      <c r="G24" s="96">
        <v>45</v>
      </c>
      <c r="H24" s="97">
        <v>55</v>
      </c>
      <c r="J24" s="104">
        <v>0.75</v>
      </c>
      <c r="K24" s="108">
        <v>45</v>
      </c>
      <c r="L24" s="97">
        <v>55</v>
      </c>
      <c r="N24" s="104">
        <v>0.75</v>
      </c>
      <c r="O24" s="96">
        <v>45</v>
      </c>
      <c r="P24" s="97">
        <v>55</v>
      </c>
      <c r="R24" s="104">
        <v>0.75</v>
      </c>
      <c r="S24" s="96">
        <v>45</v>
      </c>
      <c r="T24" s="97">
        <v>55</v>
      </c>
      <c r="W24" s="104">
        <v>0.75</v>
      </c>
      <c r="X24" s="96">
        <v>45</v>
      </c>
      <c r="Y24" s="97">
        <v>60</v>
      </c>
      <c r="AA24" s="104">
        <v>0.75</v>
      </c>
      <c r="AB24" s="96">
        <v>45</v>
      </c>
      <c r="AC24" s="97">
        <v>55</v>
      </c>
      <c r="AE24" s="104">
        <v>0.75</v>
      </c>
      <c r="AF24" s="96">
        <v>45</v>
      </c>
      <c r="AG24" s="97">
        <v>60</v>
      </c>
      <c r="AI24" s="104">
        <v>0.75</v>
      </c>
      <c r="AJ24" s="96">
        <v>45</v>
      </c>
      <c r="AK24" s="97">
        <v>60</v>
      </c>
      <c r="AM24" s="104">
        <v>0.75</v>
      </c>
      <c r="AN24" s="96">
        <v>45</v>
      </c>
      <c r="AO24" s="97">
        <v>60</v>
      </c>
    </row>
    <row r="25" spans="2:41">
      <c r="B25" s="104">
        <v>0.79166666666666696</v>
      </c>
      <c r="C25" s="96">
        <v>45</v>
      </c>
      <c r="D25" s="97">
        <v>55</v>
      </c>
      <c r="F25" s="104">
        <v>0.79166666666666696</v>
      </c>
      <c r="G25" s="96">
        <v>45</v>
      </c>
      <c r="H25" s="97">
        <v>55</v>
      </c>
      <c r="J25" s="104">
        <v>0.79166666666666696</v>
      </c>
      <c r="K25" s="108">
        <v>45</v>
      </c>
      <c r="L25" s="97">
        <v>55</v>
      </c>
      <c r="N25" s="104">
        <v>0.79166666666666696</v>
      </c>
      <c r="O25" s="96">
        <v>45</v>
      </c>
      <c r="P25" s="97">
        <v>55</v>
      </c>
      <c r="R25" s="104">
        <v>0.79166666666666696</v>
      </c>
      <c r="S25" s="96">
        <v>45</v>
      </c>
      <c r="T25" s="97">
        <v>55</v>
      </c>
      <c r="W25" s="104">
        <v>0.79166666666666696</v>
      </c>
      <c r="X25" s="96">
        <v>45</v>
      </c>
      <c r="Y25" s="97">
        <v>55</v>
      </c>
      <c r="AA25" s="104">
        <v>0.79166666666666696</v>
      </c>
      <c r="AB25" s="96">
        <v>45</v>
      </c>
      <c r="AC25" s="97">
        <v>55</v>
      </c>
      <c r="AE25" s="104">
        <v>0.79166666666666696</v>
      </c>
      <c r="AF25" s="96">
        <v>45</v>
      </c>
      <c r="AG25" s="97">
        <v>55</v>
      </c>
      <c r="AI25" s="104">
        <v>0.79166666666666696</v>
      </c>
      <c r="AJ25" s="96">
        <v>45</v>
      </c>
      <c r="AK25" s="97">
        <v>55</v>
      </c>
      <c r="AM25" s="104">
        <v>0.79166666666666696</v>
      </c>
      <c r="AN25" s="96">
        <v>45</v>
      </c>
      <c r="AO25" s="97">
        <v>55</v>
      </c>
    </row>
    <row r="26" spans="2:41">
      <c r="B26" s="104">
        <v>0.83333333333333304</v>
      </c>
      <c r="C26" s="96">
        <v>45</v>
      </c>
      <c r="D26" s="97">
        <v>55</v>
      </c>
      <c r="F26" s="104">
        <v>0.83333333333333304</v>
      </c>
      <c r="G26" s="96">
        <v>45</v>
      </c>
      <c r="H26" s="97">
        <v>55</v>
      </c>
      <c r="J26" s="104">
        <v>0.83333333333333304</v>
      </c>
      <c r="K26" s="108">
        <v>45</v>
      </c>
      <c r="L26" s="97">
        <v>55</v>
      </c>
      <c r="N26" s="104">
        <v>0.83333333333333304</v>
      </c>
      <c r="O26" s="96">
        <v>45</v>
      </c>
      <c r="P26" s="97">
        <v>55</v>
      </c>
      <c r="R26" s="104">
        <v>0.83333333333333304</v>
      </c>
      <c r="S26" s="96">
        <v>45</v>
      </c>
      <c r="T26" s="97">
        <v>55</v>
      </c>
      <c r="W26" s="104">
        <v>0.83333333333333304</v>
      </c>
      <c r="X26" s="96">
        <v>45</v>
      </c>
      <c r="Y26" s="97">
        <v>55</v>
      </c>
      <c r="AA26" s="104">
        <v>0.83333333333333304</v>
      </c>
      <c r="AB26" s="96">
        <v>45</v>
      </c>
      <c r="AC26" s="97">
        <v>55</v>
      </c>
      <c r="AE26" s="104">
        <v>0.83333333333333304</v>
      </c>
      <c r="AF26" s="96">
        <v>45</v>
      </c>
      <c r="AG26" s="97">
        <v>55</v>
      </c>
      <c r="AI26" s="104">
        <v>0.83333333333333304</v>
      </c>
      <c r="AJ26" s="96">
        <v>45</v>
      </c>
      <c r="AK26" s="97">
        <v>55</v>
      </c>
      <c r="AM26" s="104">
        <v>0.83333333333333304</v>
      </c>
      <c r="AN26" s="96">
        <v>45</v>
      </c>
      <c r="AO26" s="97">
        <v>55</v>
      </c>
    </row>
    <row r="27" spans="2:41">
      <c r="B27" s="104">
        <v>0.875</v>
      </c>
      <c r="C27" s="96">
        <v>45</v>
      </c>
      <c r="D27" s="97">
        <v>55</v>
      </c>
      <c r="F27" s="104">
        <v>0.875</v>
      </c>
      <c r="G27" s="96">
        <v>45</v>
      </c>
      <c r="H27" s="97">
        <v>55</v>
      </c>
      <c r="J27" s="104">
        <v>0.875</v>
      </c>
      <c r="K27" s="108">
        <v>45</v>
      </c>
      <c r="L27" s="97">
        <v>55</v>
      </c>
      <c r="N27" s="104">
        <v>0.875</v>
      </c>
      <c r="O27" s="96">
        <v>45</v>
      </c>
      <c r="P27" s="97">
        <v>55</v>
      </c>
      <c r="R27" s="104">
        <v>0.875</v>
      </c>
      <c r="S27" s="96">
        <v>45</v>
      </c>
      <c r="T27" s="97">
        <v>55</v>
      </c>
      <c r="W27" s="104">
        <v>0.875</v>
      </c>
      <c r="X27" s="96">
        <v>50</v>
      </c>
      <c r="Y27" s="97">
        <v>60</v>
      </c>
      <c r="AA27" s="104">
        <v>0.875</v>
      </c>
      <c r="AB27" s="96">
        <v>50</v>
      </c>
      <c r="AC27" s="97">
        <v>60</v>
      </c>
      <c r="AE27" s="104">
        <v>0.875</v>
      </c>
      <c r="AF27" s="96">
        <v>50</v>
      </c>
      <c r="AG27" s="97">
        <v>60</v>
      </c>
      <c r="AI27" s="104">
        <v>0.875</v>
      </c>
      <c r="AJ27" s="96">
        <v>50</v>
      </c>
      <c r="AK27" s="97">
        <v>60</v>
      </c>
      <c r="AM27" s="104">
        <v>0.875</v>
      </c>
      <c r="AN27" s="96">
        <v>50</v>
      </c>
      <c r="AO27" s="97">
        <v>60</v>
      </c>
    </row>
    <row r="28" spans="2:41">
      <c r="B28" s="104">
        <v>0.91666666666666696</v>
      </c>
      <c r="C28" s="96">
        <v>50</v>
      </c>
      <c r="D28" s="97">
        <v>55</v>
      </c>
      <c r="F28" s="104">
        <v>0.91666666666666696</v>
      </c>
      <c r="G28" s="96">
        <v>45</v>
      </c>
      <c r="H28" s="97">
        <v>55</v>
      </c>
      <c r="J28" s="104">
        <v>0.91666666666666696</v>
      </c>
      <c r="K28" s="108">
        <v>45</v>
      </c>
      <c r="L28" s="97">
        <v>55</v>
      </c>
      <c r="N28" s="104">
        <v>0.91666666666666696</v>
      </c>
      <c r="O28" s="96">
        <v>45</v>
      </c>
      <c r="P28" s="97">
        <v>55</v>
      </c>
      <c r="R28" s="104">
        <v>0.91666666666666696</v>
      </c>
      <c r="S28" s="96">
        <v>45</v>
      </c>
      <c r="T28" s="97">
        <v>55</v>
      </c>
      <c r="W28" s="104">
        <v>0.91666666666666696</v>
      </c>
      <c r="X28" s="96">
        <v>50</v>
      </c>
      <c r="Y28" s="97">
        <v>60</v>
      </c>
      <c r="AA28" s="104">
        <v>0.91666666666666696</v>
      </c>
      <c r="AB28" s="96">
        <v>50</v>
      </c>
      <c r="AC28" s="97">
        <v>60</v>
      </c>
      <c r="AE28" s="104">
        <v>0.91666666666666696</v>
      </c>
      <c r="AF28" s="96">
        <v>50</v>
      </c>
      <c r="AG28" s="97">
        <v>60</v>
      </c>
      <c r="AI28" s="104">
        <v>0.91666666666666696</v>
      </c>
      <c r="AJ28" s="96">
        <v>50</v>
      </c>
      <c r="AK28" s="97">
        <v>60</v>
      </c>
      <c r="AM28" s="104">
        <v>0.91666666666666696</v>
      </c>
      <c r="AN28" s="96">
        <v>50</v>
      </c>
      <c r="AO28" s="97">
        <v>60</v>
      </c>
    </row>
    <row r="29" spans="2:41" ht="15.75" thickBot="1">
      <c r="B29" s="106">
        <v>0.95833333333333304</v>
      </c>
      <c r="C29" s="98">
        <v>45</v>
      </c>
      <c r="D29" s="99">
        <v>55</v>
      </c>
      <c r="F29" s="106">
        <v>0.95833333333333304</v>
      </c>
      <c r="G29" s="98">
        <v>45</v>
      </c>
      <c r="H29" s="99">
        <v>55</v>
      </c>
      <c r="J29" s="106">
        <v>0.95833333333333304</v>
      </c>
      <c r="K29" s="109">
        <v>45</v>
      </c>
      <c r="L29" s="99">
        <v>55</v>
      </c>
      <c r="N29" s="106">
        <v>0.95833333333333304</v>
      </c>
      <c r="O29" s="98">
        <v>45</v>
      </c>
      <c r="P29" s="99">
        <v>55</v>
      </c>
      <c r="R29" s="106">
        <v>0.95833333333333304</v>
      </c>
      <c r="S29" s="98">
        <v>45</v>
      </c>
      <c r="T29" s="99">
        <v>55</v>
      </c>
      <c r="W29" s="106">
        <v>0.95833333333333304</v>
      </c>
      <c r="X29" s="98">
        <v>55</v>
      </c>
      <c r="Y29" s="99">
        <v>55</v>
      </c>
      <c r="AA29" s="106">
        <v>0.95833333333333304</v>
      </c>
      <c r="AB29" s="98">
        <v>50</v>
      </c>
      <c r="AC29" s="99">
        <v>60</v>
      </c>
      <c r="AE29" s="106">
        <v>0.95833333333333304</v>
      </c>
      <c r="AF29" s="96">
        <v>50</v>
      </c>
      <c r="AG29" s="97">
        <v>55</v>
      </c>
      <c r="AI29" s="106">
        <v>0.95833333333333304</v>
      </c>
      <c r="AJ29" s="98">
        <v>50</v>
      </c>
      <c r="AK29" s="99">
        <v>55</v>
      </c>
      <c r="AM29" s="106">
        <v>0.95833333333333304</v>
      </c>
      <c r="AN29" s="98">
        <v>50</v>
      </c>
      <c r="AO29" s="99">
        <v>55</v>
      </c>
    </row>
    <row r="30" spans="2:41">
      <c r="B30" s="105"/>
      <c r="C30" s="96"/>
      <c r="D30" s="96"/>
      <c r="F30" s="105"/>
      <c r="G30" s="96"/>
      <c r="H30" s="96"/>
      <c r="I30" s="134"/>
      <c r="J30" s="105"/>
      <c r="K30" s="96"/>
      <c r="L30" s="96"/>
      <c r="M30" s="134"/>
      <c r="N30" s="105"/>
      <c r="O30" s="96"/>
      <c r="P30" s="96"/>
      <c r="Q30" s="134"/>
      <c r="R30" s="105"/>
      <c r="S30" s="96"/>
      <c r="T30" s="96"/>
    </row>
    <row r="31" spans="2:41">
      <c r="B31" s="113" t="s">
        <v>297</v>
      </c>
      <c r="W31" s="113" t="s">
        <v>299</v>
      </c>
    </row>
    <row r="33" spans="3:3">
      <c r="C33" s="191">
        <f>AVERAGE(C12:C20)+AVERAGE(X12:X20)</f>
        <v>92.777777777777771</v>
      </c>
    </row>
  </sheetData>
  <mergeCells count="13">
    <mergeCell ref="AT5:AW5"/>
    <mergeCell ref="AJ4:AK4"/>
    <mergeCell ref="AN4:AO4"/>
    <mergeCell ref="B2:T2"/>
    <mergeCell ref="W2:AO2"/>
    <mergeCell ref="C4:D4"/>
    <mergeCell ref="G4:H4"/>
    <mergeCell ref="K4:L4"/>
    <mergeCell ref="O4:P4"/>
    <mergeCell ref="S4:T4"/>
    <mergeCell ref="X4:Y4"/>
    <mergeCell ref="AB4:AC4"/>
    <mergeCell ref="AF4:AG4"/>
  </mergeCells>
  <conditionalFormatting sqref="S6:T30">
    <cfRule type="colorScale" priority="10">
      <colorScale>
        <cfvo type="min"/>
        <cfvo type="percent" val="50"/>
        <cfvo type="max"/>
        <color theme="9" tint="0.39997558519241921"/>
        <color rgb="FFFFEB84"/>
        <color rgb="FFFF0000"/>
      </colorScale>
    </cfRule>
  </conditionalFormatting>
  <conditionalFormatting sqref="C6:D30">
    <cfRule type="colorScale" priority="9">
      <colorScale>
        <cfvo type="min"/>
        <cfvo type="percent" val="50"/>
        <cfvo type="max"/>
        <color theme="9" tint="0.39997558519241921"/>
        <color rgb="FFFFEB84"/>
        <color rgb="FFFF0000"/>
      </colorScale>
    </cfRule>
  </conditionalFormatting>
  <conditionalFormatting sqref="G6:H30">
    <cfRule type="colorScale" priority="8">
      <colorScale>
        <cfvo type="min"/>
        <cfvo type="percent" val="50"/>
        <cfvo type="max"/>
        <color theme="9" tint="0.39997558519241921"/>
        <color rgb="FFFFEB84"/>
        <color rgb="FFFF0000"/>
      </colorScale>
    </cfRule>
  </conditionalFormatting>
  <conditionalFormatting sqref="K6:L30">
    <cfRule type="colorScale" priority="7">
      <colorScale>
        <cfvo type="min"/>
        <cfvo type="percent" val="50"/>
        <cfvo type="max"/>
        <color theme="9" tint="0.39997558519241921"/>
        <color rgb="FFFFEB84"/>
        <color rgb="FFFF0000"/>
      </colorScale>
    </cfRule>
  </conditionalFormatting>
  <conditionalFormatting sqref="O6:P30">
    <cfRule type="colorScale" priority="6">
      <colorScale>
        <cfvo type="min"/>
        <cfvo type="percent" val="50"/>
        <cfvo type="max"/>
        <color theme="9" tint="0.39997558519241921"/>
        <color rgb="FFFFEB84"/>
        <color rgb="FFFF0000"/>
      </colorScale>
    </cfRule>
  </conditionalFormatting>
  <conditionalFormatting sqref="AN6:AO29">
    <cfRule type="colorScale" priority="5">
      <colorScale>
        <cfvo type="min"/>
        <cfvo type="percent" val="50"/>
        <cfvo type="max"/>
        <color theme="9" tint="0.39997558519241921"/>
        <color rgb="FFFFEB84"/>
        <color rgb="FFFF0000"/>
      </colorScale>
    </cfRule>
  </conditionalFormatting>
  <conditionalFormatting sqref="X6:Y29">
    <cfRule type="colorScale" priority="4">
      <colorScale>
        <cfvo type="min"/>
        <cfvo type="percent" val="50"/>
        <cfvo type="max"/>
        <color theme="9" tint="0.39997558519241921"/>
        <color rgb="FFFFEB84"/>
        <color rgb="FFFF0000"/>
      </colorScale>
    </cfRule>
  </conditionalFormatting>
  <conditionalFormatting sqref="AB6:AC29">
    <cfRule type="colorScale" priority="3">
      <colorScale>
        <cfvo type="min"/>
        <cfvo type="percent" val="50"/>
        <cfvo type="max"/>
        <color theme="9" tint="0.39997558519241921"/>
        <color rgb="FFFFEB84"/>
        <color rgb="FFFF0000"/>
      </colorScale>
    </cfRule>
  </conditionalFormatting>
  <conditionalFormatting sqref="AF6:AG29">
    <cfRule type="colorScale" priority="2">
      <colorScale>
        <cfvo type="min"/>
        <cfvo type="percent" val="50"/>
        <cfvo type="max"/>
        <color theme="9" tint="0.39997558519241921"/>
        <color rgb="FFFFEB84"/>
        <color rgb="FFFF0000"/>
      </colorScale>
    </cfRule>
  </conditionalFormatting>
  <conditionalFormatting sqref="AJ6:AK29">
    <cfRule type="colorScale" priority="1">
      <colorScale>
        <cfvo type="min"/>
        <cfvo type="percent" val="50"/>
        <cfvo type="max"/>
        <color theme="9" tint="0.39997558519241921"/>
        <color rgb="FFFFEB84"/>
        <color rgb="FFFF0000"/>
      </colorScale>
    </cfRule>
  </conditionalFormatting>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6"/>
  <sheetViews>
    <sheetView zoomScaleNormal="110" workbookViewId="0">
      <selection activeCell="D30" sqref="D30"/>
    </sheetView>
  </sheetViews>
  <sheetFormatPr defaultColWidth="8.85546875" defaultRowHeight="15"/>
  <cols>
    <col min="2" max="2" width="36.140625" customWidth="1"/>
    <col min="3" max="6" width="16.7109375" customWidth="1"/>
    <col min="7" max="12" width="10.85546875" customWidth="1"/>
    <col min="13" max="13" width="9.85546875" customWidth="1"/>
    <col min="14" max="14" width="11" customWidth="1"/>
    <col min="15" max="18" width="10.7109375" customWidth="1"/>
  </cols>
  <sheetData>
    <row r="1" spans="2:17" ht="15.75" thickBot="1"/>
    <row r="2" spans="2:17" ht="15.75" thickBot="1">
      <c r="B2" s="601" t="s">
        <v>292</v>
      </c>
      <c r="C2" s="602"/>
      <c r="D2" s="602"/>
      <c r="E2" s="603"/>
      <c r="H2" s="119"/>
      <c r="I2" s="119"/>
      <c r="J2" s="119"/>
      <c r="K2" s="119"/>
      <c r="L2" s="13"/>
      <c r="M2" s="13"/>
      <c r="N2" s="119"/>
      <c r="O2" s="119"/>
      <c r="P2" s="119"/>
      <c r="Q2" s="119"/>
    </row>
    <row r="3" spans="2:17">
      <c r="B3" s="123" t="s">
        <v>284</v>
      </c>
      <c r="C3" s="124" t="s">
        <v>285</v>
      </c>
      <c r="D3" s="124" t="s">
        <v>286</v>
      </c>
      <c r="E3" s="124" t="s">
        <v>287</v>
      </c>
      <c r="H3" s="128"/>
      <c r="I3" s="129"/>
      <c r="J3" s="129"/>
      <c r="K3" s="129"/>
      <c r="L3" s="13"/>
      <c r="M3" s="13"/>
      <c r="N3" s="128"/>
      <c r="O3" s="129"/>
      <c r="P3" s="129"/>
      <c r="Q3" s="129"/>
    </row>
    <row r="4" spans="2:17">
      <c r="B4" s="125" t="s">
        <v>283</v>
      </c>
      <c r="C4" s="126">
        <v>86</v>
      </c>
      <c r="D4" s="126">
        <v>53</v>
      </c>
      <c r="E4" s="126">
        <v>0</v>
      </c>
      <c r="H4" s="130"/>
      <c r="I4" s="131"/>
      <c r="J4" s="131"/>
      <c r="K4" s="131"/>
      <c r="L4" s="13"/>
      <c r="M4" s="13"/>
      <c r="N4" s="130"/>
      <c r="O4" s="131"/>
      <c r="P4" s="131"/>
      <c r="Q4" s="131"/>
    </row>
    <row r="5" spans="2:17">
      <c r="B5" s="125" t="s">
        <v>469</v>
      </c>
      <c r="C5" s="127">
        <v>101</v>
      </c>
      <c r="D5" s="127">
        <v>69</v>
      </c>
      <c r="E5" s="127">
        <v>0</v>
      </c>
      <c r="H5" s="130"/>
      <c r="I5" s="127"/>
      <c r="J5" s="127"/>
      <c r="K5" s="127"/>
      <c r="L5" s="13"/>
      <c r="M5" s="13"/>
      <c r="N5" s="130"/>
      <c r="O5" s="127"/>
      <c r="P5" s="127"/>
      <c r="Q5" s="127"/>
    </row>
    <row r="6" spans="2:17">
      <c r="B6" s="132" t="s">
        <v>293</v>
      </c>
      <c r="C6" s="122"/>
      <c r="D6" s="122"/>
      <c r="E6" s="122"/>
      <c r="F6" s="119"/>
      <c r="G6" s="119"/>
      <c r="I6" s="122"/>
      <c r="J6" s="122"/>
      <c r="K6" s="122"/>
    </row>
    <row r="7" spans="2:17">
      <c r="B7" s="120"/>
      <c r="C7" s="121"/>
      <c r="D7" s="121"/>
      <c r="E7" s="121"/>
      <c r="F7" s="121"/>
      <c r="G7" s="121"/>
    </row>
    <row r="8" spans="2:17">
      <c r="B8" s="549" t="s">
        <v>289</v>
      </c>
      <c r="C8" s="550"/>
      <c r="D8" s="550"/>
      <c r="E8" s="550"/>
      <c r="F8" s="551"/>
      <c r="G8" s="3"/>
      <c r="H8" s="161"/>
      <c r="I8" s="58"/>
      <c r="J8" s="58"/>
      <c r="K8" s="58"/>
      <c r="L8" s="58"/>
    </row>
    <row r="9" spans="2:17">
      <c r="B9" s="371" t="s">
        <v>235</v>
      </c>
      <c r="C9" s="58" t="s">
        <v>156</v>
      </c>
      <c r="D9" s="58" t="s">
        <v>157</v>
      </c>
      <c r="E9" s="58" t="s">
        <v>158</v>
      </c>
      <c r="F9" s="372" t="s">
        <v>225</v>
      </c>
      <c r="G9" s="57"/>
      <c r="H9" s="383"/>
      <c r="I9" s="278"/>
      <c r="J9" s="278"/>
      <c r="K9" s="384"/>
      <c r="L9" s="161"/>
    </row>
    <row r="10" spans="2:17">
      <c r="B10" s="319" t="s">
        <v>232</v>
      </c>
      <c r="C10" s="373">
        <f>D4</f>
        <v>53</v>
      </c>
      <c r="D10" s="373">
        <f>D4</f>
        <v>53</v>
      </c>
      <c r="E10" s="373">
        <f>14+18+D4</f>
        <v>85</v>
      </c>
      <c r="F10" s="374">
        <f>D4</f>
        <v>53</v>
      </c>
      <c r="G10" s="16"/>
      <c r="H10" s="383"/>
      <c r="I10" s="278"/>
      <c r="J10" s="278"/>
      <c r="K10" s="384"/>
      <c r="L10" s="161"/>
    </row>
    <row r="11" spans="2:17">
      <c r="B11" s="375" t="s">
        <v>290</v>
      </c>
      <c r="C11" s="373">
        <f>D5</f>
        <v>69</v>
      </c>
      <c r="D11" s="373">
        <f>D5</f>
        <v>69</v>
      </c>
      <c r="E11" s="373">
        <f>D5+14+18</f>
        <v>101</v>
      </c>
      <c r="F11" s="374">
        <f>D5</f>
        <v>69</v>
      </c>
      <c r="G11" s="16"/>
      <c r="H11" s="383"/>
      <c r="I11" s="278"/>
      <c r="J11" s="278"/>
      <c r="K11" s="384"/>
      <c r="L11" s="161"/>
    </row>
    <row r="12" spans="2:17">
      <c r="B12" s="337" t="s">
        <v>233</v>
      </c>
      <c r="C12" s="373">
        <f>$D$4*2</f>
        <v>106</v>
      </c>
      <c r="D12" s="373">
        <f>$D$4*2</f>
        <v>106</v>
      </c>
      <c r="E12" s="373">
        <f>($D$4*2)+14+18</f>
        <v>138</v>
      </c>
      <c r="F12" s="374">
        <f>$D$4*2</f>
        <v>106</v>
      </c>
      <c r="G12" s="16"/>
      <c r="H12" s="383"/>
      <c r="I12" s="278"/>
      <c r="J12" s="278"/>
      <c r="K12" s="384"/>
      <c r="L12" s="161"/>
    </row>
    <row r="13" spans="2:17">
      <c r="B13" s="337" t="s">
        <v>291</v>
      </c>
      <c r="C13" s="376">
        <f>D5*2</f>
        <v>138</v>
      </c>
      <c r="D13" s="376">
        <f>D5*2</f>
        <v>138</v>
      </c>
      <c r="E13" s="376">
        <f>18+14+D5*2</f>
        <v>170</v>
      </c>
      <c r="F13" s="377">
        <f>D5*2</f>
        <v>138</v>
      </c>
      <c r="G13" s="20"/>
      <c r="H13" s="383"/>
      <c r="I13" s="278"/>
      <c r="J13" s="278"/>
      <c r="K13" s="384"/>
      <c r="L13" s="161"/>
    </row>
    <row r="14" spans="2:17">
      <c r="B14" s="160"/>
      <c r="C14" s="378"/>
      <c r="D14" s="378"/>
      <c r="E14" s="378"/>
      <c r="F14" s="379"/>
      <c r="G14" s="16"/>
      <c r="H14" s="383"/>
      <c r="I14" s="278"/>
      <c r="J14" s="278"/>
      <c r="K14" s="384"/>
      <c r="L14" s="161"/>
    </row>
    <row r="15" spans="2:17">
      <c r="B15" s="174" t="s">
        <v>234</v>
      </c>
      <c r="C15" s="133">
        <f>C10+C12</f>
        <v>159</v>
      </c>
      <c r="D15" s="133">
        <f t="shared" ref="D15:E16" si="0">D10+D12</f>
        <v>159</v>
      </c>
      <c r="E15" s="133">
        <f t="shared" si="0"/>
        <v>223</v>
      </c>
      <c r="F15" s="380">
        <f>F10+F12</f>
        <v>159</v>
      </c>
      <c r="G15" s="16"/>
      <c r="H15" s="383"/>
      <c r="I15" s="278"/>
      <c r="J15" s="278"/>
      <c r="K15" s="384"/>
      <c r="L15" s="161"/>
    </row>
    <row r="16" spans="2:17">
      <c r="B16" s="286" t="s">
        <v>288</v>
      </c>
      <c r="C16" s="381">
        <f>C11+C13</f>
        <v>207</v>
      </c>
      <c r="D16" s="381">
        <f t="shared" si="0"/>
        <v>207</v>
      </c>
      <c r="E16" s="381">
        <f>E11+E13</f>
        <v>271</v>
      </c>
      <c r="F16" s="382">
        <f>F11+F13</f>
        <v>207</v>
      </c>
      <c r="H16" s="383"/>
      <c r="I16" s="278"/>
      <c r="J16" s="278"/>
      <c r="K16" s="384"/>
      <c r="L16" s="161"/>
    </row>
    <row r="17" spans="2:12">
      <c r="H17" s="383"/>
      <c r="I17" s="278"/>
      <c r="J17" s="278"/>
      <c r="K17" s="384"/>
      <c r="L17" s="161"/>
    </row>
    <row r="18" spans="2:12">
      <c r="H18" s="383"/>
      <c r="I18" s="278"/>
      <c r="J18" s="278"/>
      <c r="K18" s="384"/>
      <c r="L18" s="161"/>
    </row>
    <row r="19" spans="2:12">
      <c r="C19" s="56"/>
      <c r="D19" s="56"/>
      <c r="E19" s="56"/>
      <c r="F19" s="56"/>
      <c r="G19" s="19"/>
      <c r="H19" s="383"/>
      <c r="I19" s="278"/>
      <c r="J19" s="278"/>
      <c r="K19" s="384"/>
      <c r="L19" s="161"/>
    </row>
    <row r="20" spans="2:12">
      <c r="F20" s="14"/>
      <c r="H20" s="383"/>
      <c r="I20" s="278"/>
      <c r="J20" s="278"/>
      <c r="K20" s="384"/>
      <c r="L20" s="161"/>
    </row>
    <row r="21" spans="2:12">
      <c r="H21" s="383"/>
      <c r="I21" s="278"/>
      <c r="J21" s="278"/>
      <c r="K21" s="384"/>
      <c r="L21" s="161"/>
    </row>
    <row r="22" spans="2:12">
      <c r="B22" s="556" t="s">
        <v>392</v>
      </c>
      <c r="C22" s="557"/>
      <c r="D22" s="558"/>
      <c r="H22" s="383"/>
      <c r="I22" s="278"/>
      <c r="J22" s="278"/>
      <c r="K22" s="384"/>
      <c r="L22" s="161"/>
    </row>
    <row r="23" spans="2:12">
      <c r="B23" s="368" t="s">
        <v>294</v>
      </c>
      <c r="C23" s="161">
        <v>60</v>
      </c>
      <c r="D23" s="275">
        <f>C23*((D4+D5)/2)</f>
        <v>3660</v>
      </c>
      <c r="H23" s="383"/>
      <c r="I23" s="278"/>
      <c r="J23" s="278"/>
      <c r="K23" s="384"/>
      <c r="L23" s="161"/>
    </row>
    <row r="24" spans="2:12">
      <c r="B24" s="369" t="s">
        <v>295</v>
      </c>
      <c r="C24" s="161">
        <v>120</v>
      </c>
      <c r="D24" s="275">
        <f>C24*((D4+D5)/2)</f>
        <v>7320</v>
      </c>
      <c r="H24" s="383"/>
      <c r="I24" s="278"/>
      <c r="J24" s="278"/>
      <c r="K24" s="384"/>
      <c r="L24" s="161"/>
    </row>
    <row r="25" spans="2:12">
      <c r="B25" s="160"/>
      <c r="C25" s="161"/>
      <c r="D25" s="169"/>
      <c r="H25" s="383"/>
      <c r="I25" s="278"/>
      <c r="J25" s="278"/>
      <c r="K25" s="384"/>
      <c r="L25" s="161"/>
    </row>
    <row r="26" spans="2:12">
      <c r="B26" s="160" t="s">
        <v>470</v>
      </c>
      <c r="C26" s="161"/>
      <c r="D26" s="275">
        <f>D23+D24</f>
        <v>10980</v>
      </c>
      <c r="H26" s="383"/>
      <c r="I26" s="278"/>
      <c r="J26" s="278"/>
      <c r="K26" s="384"/>
      <c r="L26" s="161"/>
    </row>
    <row r="27" spans="2:12">
      <c r="B27" s="171" t="s">
        <v>471</v>
      </c>
      <c r="C27" s="242"/>
      <c r="D27" s="370">
        <f>D26*4</f>
        <v>43920</v>
      </c>
      <c r="H27" s="383"/>
      <c r="I27" s="278"/>
      <c r="J27" s="278"/>
      <c r="K27" s="384"/>
      <c r="L27" s="161"/>
    </row>
    <row r="28" spans="2:12">
      <c r="H28" s="383"/>
      <c r="I28" s="278"/>
      <c r="J28" s="278"/>
      <c r="K28" s="384"/>
      <c r="L28" s="161"/>
    </row>
    <row r="29" spans="2:12">
      <c r="D29" s="165">
        <f>D27*12</f>
        <v>527040</v>
      </c>
      <c r="H29" s="383"/>
      <c r="I29" s="278"/>
      <c r="J29" s="278"/>
      <c r="K29" s="384"/>
      <c r="L29" s="161"/>
    </row>
    <row r="30" spans="2:12">
      <c r="H30" s="383"/>
      <c r="I30" s="278"/>
      <c r="J30" s="278"/>
      <c r="K30" s="384"/>
      <c r="L30" s="161"/>
    </row>
    <row r="31" spans="2:12">
      <c r="H31" s="383"/>
      <c r="I31" s="278"/>
      <c r="J31" s="278"/>
      <c r="K31" s="384"/>
      <c r="L31" s="161"/>
    </row>
    <row r="32" spans="2:12">
      <c r="H32" s="383"/>
      <c r="I32" s="278"/>
      <c r="J32" s="278"/>
      <c r="K32" s="384"/>
      <c r="L32" s="161"/>
    </row>
    <row r="36" spans="5:5">
      <c r="E36" s="167"/>
    </row>
  </sheetData>
  <mergeCells count="3">
    <mergeCell ref="B2:E2"/>
    <mergeCell ref="B8:F8"/>
    <mergeCell ref="B22:D22"/>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Nullalternativ</vt:lpstr>
      <vt:lpstr>Alternativ 1</vt:lpstr>
      <vt:lpstr>Biler, investering</vt:lpstr>
      <vt:lpstr>Dieselpriser, variable</vt:lpstr>
      <vt:lpstr>Lønn</vt:lpstr>
      <vt:lpstr>Bransjetall</vt:lpstr>
      <vt:lpstr>Trafikkdata, nullalt.</vt:lpstr>
      <vt:lpstr>Trafikkdata, alt. 1</vt:lpstr>
      <vt:lpstr>Bomstasjoner og priser</vt:lpstr>
      <vt:lpstr>Deponi, prisliste</vt:lpstr>
      <vt:lpstr>CO2</vt:lpstr>
      <vt:lpstr>Sammenligning</vt:lpstr>
    </vt:vector>
  </TitlesOfParts>
  <Company>BI Norwegian School of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Wilhelmsen, Lise Marie</cp:lastModifiedBy>
  <dcterms:created xsi:type="dcterms:W3CDTF">2019-04-08T11:37:20Z</dcterms:created>
  <dcterms:modified xsi:type="dcterms:W3CDTF">2019-10-07T10:50:55Z</dcterms:modified>
</cp:coreProperties>
</file>