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defaultThemeVersion="124226"/>
  <mc:AlternateContent xmlns:mc="http://schemas.openxmlformats.org/markup-compatibility/2006">
    <mc:Choice Requires="x15">
      <x15ac:absPath xmlns:x15ac="http://schemas.microsoft.com/office/spreadsheetml/2010/11/ac" url="/Users/andrealovisenro/Desktop/"/>
    </mc:Choice>
  </mc:AlternateContent>
  <xr:revisionPtr revIDLastSave="0" documentId="8_{AB3C86A6-CB86-A54D-BD83-B1C07966F26A}" xr6:coauthVersionLast="43" xr6:coauthVersionMax="43" xr10:uidLastSave="{00000000-0000-0000-0000-000000000000}"/>
  <bookViews>
    <workbookView xWindow="260" yWindow="460" windowWidth="28800" windowHeight="16500" xr2:uid="{00000000-000D-0000-FFFF-FFFF00000000}"/>
  </bookViews>
  <sheets>
    <sheet name="V5  INFO" sheetId="57" r:id="rId1"/>
    <sheet name="V5  Ark 1, Bil 1" sheetId="9" r:id="rId2"/>
    <sheet name="V5  Ark 2, beregning hastighet" sheetId="40" r:id="rId3"/>
    <sheet name="V5 Ark 3, Input sonepriser" sheetId="42" r:id="rId4"/>
    <sheet name="V5 Ark 4,Sonepriser" sheetId="27" r:id="rId5"/>
    <sheet name="V5 Ark 5, U-grad Aust-Agder" sheetId="33" r:id="rId6"/>
    <sheet name="V5 Ark 6, U-grad effekt " sheetId="51" r:id="rId7"/>
    <sheet name="V5 Ark 7, Forutsetning 1" sheetId="52" r:id="rId8"/>
    <sheet name="V5 Ark 8, Forutsetning 2" sheetId="54" r:id="rId9"/>
    <sheet name="V5 Ark 9, Endring prisformat" sheetId="56" r:id="rId10"/>
    <sheet name="V1 Oppsummering" sheetId="60" r:id="rId11"/>
    <sheet name="V1 Kalkyle bil 1" sheetId="62" r:id="rId12"/>
    <sheet name="V1 Grunnlag alle kalkyler" sheetId="61" r:id="rId13"/>
    <sheet name="V2 Kube transportører" sheetId="64" r:id="rId14"/>
    <sheet name="V2 Kube leveranser kommune" sheetId="63" r:id="rId15"/>
    <sheet name="V2 Planleggingsområder" sheetId="66" r:id="rId16"/>
    <sheet name="V2Kube varer avregnet transport" sheetId="65" r:id="rId17"/>
    <sheet name="V3 Stykkpris " sheetId="69" r:id="rId18"/>
    <sheet name="V4 distansematrisen " sheetId="70" r:id="rId19"/>
  </sheets>
  <externalReferences>
    <externalReference r:id="rId20"/>
    <externalReference r:id="rId21"/>
    <externalReference r:id="rId22"/>
    <externalReference r:id="rId23"/>
  </externalReferences>
  <definedNames>
    <definedName name="_xlnm._FilterDatabase" localSheetId="15" hidden="1">'V2 Planleggingsområder'!$A$1:$V$165</definedName>
    <definedName name="_xlnm._FilterDatabase" localSheetId="18" hidden="1">'V4 distansematrisen '!$A$1:$E$435</definedName>
    <definedName name="_xlnm.Print_Area" localSheetId="12">'V1 Grunnlag alle kalkyler'!$A$1:$H$68</definedName>
    <definedName name="_xlnm.Print_Area" localSheetId="11">'V1 Kalkyle bil 1'!$A$1:$H$152</definedName>
    <definedName name="_xlnm.Print_Area" localSheetId="10">'V1 Oppsummering'!$A$2:$I$11</definedName>
    <definedName name="_xlnm.Print_Area" localSheetId="13">'V2 Kube transportører'!$A$3:$E$42</definedName>
    <definedName name="_xlnm.Print_Area" localSheetId="17">'V3 Stykkpris '!$A$1:$N$66</definedName>
    <definedName name="_xlnm.Print_Titles" localSheetId="11">'V1 Kalkyle bil 1'!$1:$3</definedName>
  </definedNames>
  <calcPr calcId="191029"/>
  <pivotCaches>
    <pivotCache cacheId="6" r:id="rId24"/>
    <pivotCache cacheId="7" r:id="rId25"/>
    <pivotCache cacheId="8" r:id="rId2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95" i="70" l="1"/>
  <c r="G41" i="69" l="1"/>
  <c r="AA28" i="69"/>
  <c r="V12" i="69"/>
  <c r="V11" i="69"/>
  <c r="W11" i="69" s="1"/>
  <c r="X10" i="69"/>
  <c r="W10" i="69"/>
  <c r="V10" i="69"/>
  <c r="T10" i="69"/>
  <c r="P10" i="69"/>
  <c r="V13" i="69" l="1"/>
  <c r="W12" i="69"/>
  <c r="P11" i="69"/>
  <c r="S10" i="69"/>
  <c r="U10" i="69"/>
  <c r="R10" i="69"/>
  <c r="Q10" i="69"/>
  <c r="X11" i="69"/>
  <c r="Y10" i="69"/>
  <c r="Z10" i="69"/>
  <c r="T11" i="69" l="1"/>
  <c r="R11" i="69"/>
  <c r="P12" i="69"/>
  <c r="S11" i="69"/>
  <c r="U11" i="69"/>
  <c r="Q11" i="69"/>
  <c r="Z11" i="69"/>
  <c r="X12" i="69"/>
  <c r="Y11" i="69"/>
  <c r="V14" i="69"/>
  <c r="W13" i="69"/>
  <c r="U12" i="69" l="1"/>
  <c r="Q12" i="69"/>
  <c r="T12" i="69"/>
  <c r="P13" i="69"/>
  <c r="S12" i="69"/>
  <c r="R12" i="69"/>
  <c r="W14" i="69"/>
  <c r="V15" i="69"/>
  <c r="Y12" i="69"/>
  <c r="X13" i="69"/>
  <c r="Z12" i="69"/>
  <c r="W15" i="69" l="1"/>
  <c r="V16" i="69"/>
  <c r="R13" i="69"/>
  <c r="T13" i="69"/>
  <c r="U13" i="69"/>
  <c r="Q13" i="69"/>
  <c r="S13" i="69"/>
  <c r="P14" i="69"/>
  <c r="Z13" i="69"/>
  <c r="Y13" i="69"/>
  <c r="X14" i="69"/>
  <c r="V17" i="69" l="1"/>
  <c r="W16" i="69"/>
  <c r="P15" i="69"/>
  <c r="S14" i="69"/>
  <c r="Q14" i="69"/>
  <c r="R14" i="69"/>
  <c r="U14" i="69"/>
  <c r="T14" i="69"/>
  <c r="X15" i="69"/>
  <c r="Y14" i="69"/>
  <c r="Z14" i="69"/>
  <c r="T15" i="69" l="1"/>
  <c r="P16" i="69"/>
  <c r="S15" i="69"/>
  <c r="R15" i="69"/>
  <c r="U15" i="69"/>
  <c r="Q15" i="69"/>
  <c r="X16" i="69"/>
  <c r="Z15" i="69"/>
  <c r="Y15" i="69"/>
  <c r="V18" i="69"/>
  <c r="W17" i="69"/>
  <c r="Y16" i="69" l="1"/>
  <c r="X17" i="69"/>
  <c r="Z16" i="69"/>
  <c r="W18" i="69"/>
  <c r="V19" i="69"/>
  <c r="U16" i="69"/>
  <c r="Q16" i="69"/>
  <c r="S16" i="69"/>
  <c r="T16" i="69"/>
  <c r="P17" i="69"/>
  <c r="R16" i="69"/>
  <c r="R17" i="69" l="1"/>
  <c r="T17" i="69"/>
  <c r="U17" i="69"/>
  <c r="Q17" i="69"/>
  <c r="S17" i="69"/>
  <c r="P18" i="69"/>
  <c r="Z17" i="69"/>
  <c r="Y17" i="69"/>
  <c r="X18" i="69"/>
  <c r="W19" i="69"/>
  <c r="V20" i="69"/>
  <c r="V21" i="69" l="1"/>
  <c r="W20" i="69"/>
  <c r="P19" i="69"/>
  <c r="S18" i="69"/>
  <c r="U18" i="69"/>
  <c r="R18" i="69"/>
  <c r="Q18" i="69"/>
  <c r="T18" i="69"/>
  <c r="X19" i="69"/>
  <c r="Z18" i="69"/>
  <c r="Y18" i="69"/>
  <c r="T19" i="69" l="1"/>
  <c r="R19" i="69"/>
  <c r="P20" i="69"/>
  <c r="S19" i="69"/>
  <c r="Q19" i="69"/>
  <c r="U19" i="69"/>
  <c r="Z19" i="69"/>
  <c r="X20" i="69"/>
  <c r="Y19" i="69"/>
  <c r="W21" i="69"/>
  <c r="V22" i="69"/>
  <c r="Y20" i="69" l="1"/>
  <c r="X21" i="69"/>
  <c r="Z20" i="69"/>
  <c r="W22" i="69"/>
  <c r="V23" i="69"/>
  <c r="U20" i="69"/>
  <c r="Q20" i="69"/>
  <c r="T20" i="69"/>
  <c r="P21" i="69"/>
  <c r="S20" i="69"/>
  <c r="R20" i="69"/>
  <c r="Z21" i="69" l="1"/>
  <c r="Y21" i="69"/>
  <c r="X22" i="69"/>
  <c r="R21" i="69"/>
  <c r="T21" i="69"/>
  <c r="U21" i="69"/>
  <c r="Q21" i="69"/>
  <c r="P22" i="69"/>
  <c r="S21" i="69"/>
  <c r="V24" i="69"/>
  <c r="W23" i="69"/>
  <c r="P23" i="69" l="1"/>
  <c r="S22" i="69"/>
  <c r="Q22" i="69"/>
  <c r="T22" i="69"/>
  <c r="R22" i="69"/>
  <c r="U22" i="69"/>
  <c r="X23" i="69"/>
  <c r="Z22" i="69"/>
  <c r="Y22" i="69"/>
  <c r="V25" i="69"/>
  <c r="W24" i="69"/>
  <c r="Y23" i="69" l="1"/>
  <c r="X24" i="69"/>
  <c r="Z23" i="69"/>
  <c r="V26" i="69"/>
  <c r="W25" i="69"/>
  <c r="T23" i="69"/>
  <c r="Q23" i="69"/>
  <c r="P24" i="69"/>
  <c r="S23" i="69"/>
  <c r="R23" i="69"/>
  <c r="U23" i="69"/>
  <c r="W26" i="69" l="1"/>
  <c r="V27" i="69"/>
  <c r="W27" i="69" s="1"/>
  <c r="U24" i="69"/>
  <c r="Q24" i="69"/>
  <c r="T24" i="69"/>
  <c r="P25" i="69"/>
  <c r="S24" i="69"/>
  <c r="R24" i="69"/>
  <c r="Y24" i="69"/>
  <c r="X25" i="69"/>
  <c r="Z24" i="69"/>
  <c r="Z25" i="69" l="1"/>
  <c r="Y25" i="69"/>
  <c r="X26" i="69"/>
  <c r="R25" i="69"/>
  <c r="P26" i="69"/>
  <c r="S25" i="69"/>
  <c r="U25" i="69"/>
  <c r="Q25" i="69"/>
  <c r="T25" i="69"/>
  <c r="X27" i="69" l="1"/>
  <c r="Z26" i="69"/>
  <c r="Y26" i="69"/>
  <c r="P27" i="69"/>
  <c r="S26" i="69"/>
  <c r="T26" i="69"/>
  <c r="R26" i="69"/>
  <c r="U26" i="69"/>
  <c r="Q26" i="69"/>
  <c r="T27" i="69" l="1"/>
  <c r="Q27" i="69"/>
  <c r="S27" i="69"/>
  <c r="R27" i="69"/>
  <c r="U27" i="69"/>
  <c r="Y27" i="69"/>
  <c r="Z27" i="69"/>
  <c r="T166" i="66" l="1"/>
  <c r="R166" i="66"/>
  <c r="Q166" i="66"/>
  <c r="P166" i="66"/>
  <c r="O166" i="66"/>
  <c r="N166" i="66"/>
  <c r="M166" i="66"/>
  <c r="L166" i="66"/>
  <c r="H166" i="66"/>
  <c r="G166" i="66"/>
  <c r="F166" i="66"/>
  <c r="E166" i="66"/>
  <c r="W166" i="66" s="1"/>
  <c r="W165" i="66"/>
  <c r="T165" i="66"/>
  <c r="R165" i="66"/>
  <c r="Q165" i="66"/>
  <c r="W164" i="66"/>
  <c r="T164" i="66"/>
  <c r="R164" i="66"/>
  <c r="Q164" i="66"/>
  <c r="W163" i="66"/>
  <c r="T163" i="66"/>
  <c r="R163" i="66"/>
  <c r="Q163" i="66"/>
  <c r="W162" i="66"/>
  <c r="T162" i="66"/>
  <c r="R162" i="66"/>
  <c r="Q162" i="66"/>
  <c r="W161" i="66"/>
  <c r="T161" i="66"/>
  <c r="R161" i="66"/>
  <c r="Q161" i="66"/>
  <c r="W160" i="66"/>
  <c r="T160" i="66"/>
  <c r="R160" i="66"/>
  <c r="Q160" i="66"/>
  <c r="W159" i="66"/>
  <c r="T159" i="66"/>
  <c r="R159" i="66"/>
  <c r="Q159" i="66"/>
  <c r="W158" i="66"/>
  <c r="T158" i="66"/>
  <c r="R158" i="66"/>
  <c r="Q158" i="66"/>
  <c r="W157" i="66"/>
  <c r="T157" i="66"/>
  <c r="R157" i="66"/>
  <c r="Q157" i="66"/>
  <c r="W156" i="66"/>
  <c r="T156" i="66"/>
  <c r="R156" i="66"/>
  <c r="Q156" i="66"/>
  <c r="W155" i="66"/>
  <c r="T155" i="66"/>
  <c r="R155" i="66"/>
  <c r="Q155" i="66"/>
  <c r="W154" i="66"/>
  <c r="T154" i="66"/>
  <c r="R154" i="66"/>
  <c r="Q154" i="66"/>
  <c r="W153" i="66"/>
  <c r="T153" i="66"/>
  <c r="R153" i="66"/>
  <c r="Q153" i="66"/>
  <c r="W152" i="66"/>
  <c r="T152" i="66"/>
  <c r="R152" i="66"/>
  <c r="Q152" i="66"/>
  <c r="W151" i="66"/>
  <c r="T151" i="66"/>
  <c r="R151" i="66"/>
  <c r="Q151" i="66"/>
  <c r="T150" i="66"/>
  <c r="R150" i="66"/>
  <c r="Q150" i="66"/>
  <c r="P150" i="66"/>
  <c r="O150" i="66"/>
  <c r="N150" i="66"/>
  <c r="M150" i="66"/>
  <c r="L150" i="66"/>
  <c r="H150" i="66"/>
  <c r="G150" i="66"/>
  <c r="F150" i="66"/>
  <c r="E150" i="66"/>
  <c r="W150" i="66" s="1"/>
  <c r="W149" i="66"/>
  <c r="T149" i="66"/>
  <c r="R149" i="66"/>
  <c r="Q149" i="66"/>
  <c r="W148" i="66"/>
  <c r="T148" i="66"/>
  <c r="R148" i="66"/>
  <c r="Q148" i="66"/>
  <c r="W147" i="66"/>
  <c r="T147" i="66"/>
  <c r="R147" i="66"/>
  <c r="Q147" i="66"/>
  <c r="W146" i="66"/>
  <c r="T146" i="66"/>
  <c r="R146" i="66"/>
  <c r="Q146" i="66"/>
  <c r="W145" i="66"/>
  <c r="T145" i="66"/>
  <c r="R145" i="66"/>
  <c r="Q145" i="66"/>
  <c r="W144" i="66"/>
  <c r="T144" i="66"/>
  <c r="R144" i="66"/>
  <c r="Q144" i="66"/>
  <c r="W143" i="66"/>
  <c r="T143" i="66"/>
  <c r="R143" i="66"/>
  <c r="Q143" i="66"/>
  <c r="W142" i="66"/>
  <c r="T142" i="66"/>
  <c r="R142" i="66"/>
  <c r="Q142" i="66"/>
  <c r="W141" i="66"/>
  <c r="T141" i="66"/>
  <c r="R141" i="66"/>
  <c r="Q141" i="66"/>
  <c r="W140" i="66"/>
  <c r="T140" i="66"/>
  <c r="R140" i="66"/>
  <c r="Q140" i="66"/>
  <c r="W139" i="66"/>
  <c r="T139" i="66"/>
  <c r="R139" i="66"/>
  <c r="Q139" i="66"/>
  <c r="W138" i="66"/>
  <c r="T138" i="66"/>
  <c r="R138" i="66"/>
  <c r="Q138" i="66"/>
  <c r="W137" i="66"/>
  <c r="T137" i="66"/>
  <c r="R137" i="66"/>
  <c r="Q137" i="66"/>
  <c r="W136" i="66"/>
  <c r="T136" i="66"/>
  <c r="R136" i="66"/>
  <c r="Q136" i="66"/>
  <c r="W135" i="66"/>
  <c r="T135" i="66"/>
  <c r="R135" i="66"/>
  <c r="Q135" i="66"/>
  <c r="W134" i="66"/>
  <c r="T134" i="66"/>
  <c r="R134" i="66"/>
  <c r="Q134" i="66"/>
  <c r="W133" i="66"/>
  <c r="T133" i="66"/>
  <c r="R133" i="66"/>
  <c r="Q133" i="66"/>
  <c r="W132" i="66"/>
  <c r="T132" i="66"/>
  <c r="R132" i="66"/>
  <c r="Q132" i="66"/>
  <c r="R131" i="66"/>
  <c r="Q131" i="66"/>
  <c r="P131" i="66"/>
  <c r="O131" i="66"/>
  <c r="N131" i="66"/>
  <c r="M131" i="66"/>
  <c r="L131" i="66"/>
  <c r="H131" i="66"/>
  <c r="G131" i="66"/>
  <c r="F131" i="66"/>
  <c r="E131" i="66"/>
  <c r="T131" i="66" s="1"/>
  <c r="W130" i="66"/>
  <c r="T130" i="66"/>
  <c r="R130" i="66"/>
  <c r="Q130" i="66"/>
  <c r="W129" i="66"/>
  <c r="T129" i="66"/>
  <c r="R129" i="66"/>
  <c r="Q129" i="66"/>
  <c r="W128" i="66"/>
  <c r="T128" i="66"/>
  <c r="R128" i="66"/>
  <c r="Q128" i="66"/>
  <c r="W127" i="66"/>
  <c r="T127" i="66"/>
  <c r="R127" i="66"/>
  <c r="Q127" i="66"/>
  <c r="W126" i="66"/>
  <c r="T126" i="66"/>
  <c r="R126" i="66"/>
  <c r="Q126" i="66"/>
  <c r="W125" i="66"/>
  <c r="T125" i="66"/>
  <c r="R125" i="66"/>
  <c r="Q125" i="66"/>
  <c r="W124" i="66"/>
  <c r="T124" i="66"/>
  <c r="R124" i="66"/>
  <c r="Q124" i="66"/>
  <c r="W123" i="66"/>
  <c r="T123" i="66"/>
  <c r="R123" i="66"/>
  <c r="Q123" i="66"/>
  <c r="W122" i="66"/>
  <c r="T122" i="66"/>
  <c r="R122" i="66"/>
  <c r="Q122" i="66"/>
  <c r="W121" i="66"/>
  <c r="T121" i="66"/>
  <c r="R121" i="66"/>
  <c r="Q121" i="66"/>
  <c r="W120" i="66"/>
  <c r="T120" i="66"/>
  <c r="R120" i="66"/>
  <c r="Q120" i="66"/>
  <c r="W119" i="66"/>
  <c r="T119" i="66"/>
  <c r="R119" i="66"/>
  <c r="Q119" i="66"/>
  <c r="W118" i="66"/>
  <c r="T118" i="66"/>
  <c r="R118" i="66"/>
  <c r="Q118" i="66"/>
  <c r="W117" i="66"/>
  <c r="T117" i="66"/>
  <c r="R117" i="66"/>
  <c r="Q117" i="66"/>
  <c r="W116" i="66"/>
  <c r="T116" i="66"/>
  <c r="R116" i="66"/>
  <c r="Q116" i="66"/>
  <c r="W115" i="66"/>
  <c r="T115" i="66"/>
  <c r="R115" i="66"/>
  <c r="Q115" i="66"/>
  <c r="W114" i="66"/>
  <c r="T114" i="66"/>
  <c r="R114" i="66"/>
  <c r="Q114" i="66"/>
  <c r="W113" i="66"/>
  <c r="T113" i="66"/>
  <c r="R113" i="66"/>
  <c r="Q113" i="66"/>
  <c r="W112" i="66"/>
  <c r="T112" i="66"/>
  <c r="R112" i="66"/>
  <c r="Q112" i="66"/>
  <c r="W111" i="66"/>
  <c r="T111" i="66"/>
  <c r="R111" i="66"/>
  <c r="Q111" i="66"/>
  <c r="W110" i="66"/>
  <c r="T110" i="66"/>
  <c r="R110" i="66"/>
  <c r="Q110" i="66"/>
  <c r="W109" i="66"/>
  <c r="T109" i="66"/>
  <c r="R109" i="66"/>
  <c r="Q109" i="66"/>
  <c r="W108" i="66"/>
  <c r="T108" i="66"/>
  <c r="R108" i="66"/>
  <c r="Q108" i="66"/>
  <c r="W107" i="66"/>
  <c r="T107" i="66"/>
  <c r="R107" i="66"/>
  <c r="Q107" i="66"/>
  <c r="W106" i="66"/>
  <c r="T106" i="66"/>
  <c r="R106" i="66"/>
  <c r="Q106" i="66"/>
  <c r="W105" i="66"/>
  <c r="T105" i="66"/>
  <c r="R105" i="66"/>
  <c r="Q105" i="66"/>
  <c r="W104" i="66"/>
  <c r="T104" i="66"/>
  <c r="R104" i="66"/>
  <c r="Q104" i="66"/>
  <c r="W103" i="66"/>
  <c r="T103" i="66"/>
  <c r="R103" i="66"/>
  <c r="Q103" i="66"/>
  <c r="W102" i="66"/>
  <c r="T102" i="66"/>
  <c r="R102" i="66"/>
  <c r="Q102" i="66"/>
  <c r="W101" i="66"/>
  <c r="T101" i="66"/>
  <c r="R101" i="66"/>
  <c r="Q101" i="66"/>
  <c r="W100" i="66"/>
  <c r="T100" i="66"/>
  <c r="R100" i="66"/>
  <c r="Q100" i="66"/>
  <c r="W99" i="66"/>
  <c r="T99" i="66"/>
  <c r="R99" i="66"/>
  <c r="Q99" i="66"/>
  <c r="R98" i="66"/>
  <c r="Q98" i="66"/>
  <c r="P98" i="66"/>
  <c r="O98" i="66"/>
  <c r="N98" i="66"/>
  <c r="M98" i="66"/>
  <c r="L98" i="66"/>
  <c r="H98" i="66"/>
  <c r="G98" i="66"/>
  <c r="F98" i="66"/>
  <c r="E98" i="66"/>
  <c r="W98" i="66" s="1"/>
  <c r="W97" i="66"/>
  <c r="T97" i="66"/>
  <c r="R97" i="66"/>
  <c r="Q97" i="66"/>
  <c r="W96" i="66"/>
  <c r="T96" i="66"/>
  <c r="R96" i="66"/>
  <c r="Q96" i="66"/>
  <c r="W95" i="66"/>
  <c r="T95" i="66"/>
  <c r="R95" i="66"/>
  <c r="Q95" i="66"/>
  <c r="W94" i="66"/>
  <c r="T94" i="66"/>
  <c r="R94" i="66"/>
  <c r="Q94" i="66"/>
  <c r="W93" i="66"/>
  <c r="T93" i="66"/>
  <c r="R93" i="66"/>
  <c r="Q93" i="66"/>
  <c r="W92" i="66"/>
  <c r="T92" i="66"/>
  <c r="R92" i="66"/>
  <c r="Q92" i="66"/>
  <c r="W91" i="66"/>
  <c r="T91" i="66"/>
  <c r="R91" i="66"/>
  <c r="Q91" i="66"/>
  <c r="W90" i="66"/>
  <c r="T90" i="66"/>
  <c r="R90" i="66"/>
  <c r="Q90" i="66"/>
  <c r="W89" i="66"/>
  <c r="T89" i="66"/>
  <c r="R89" i="66"/>
  <c r="Q89" i="66"/>
  <c r="W88" i="66"/>
  <c r="T88" i="66"/>
  <c r="R88" i="66"/>
  <c r="Q88" i="66"/>
  <c r="W87" i="66"/>
  <c r="T87" i="66"/>
  <c r="R87" i="66"/>
  <c r="Q87" i="66"/>
  <c r="W86" i="66"/>
  <c r="T86" i="66"/>
  <c r="R86" i="66"/>
  <c r="Q86" i="66"/>
  <c r="T85" i="66"/>
  <c r="R85" i="66"/>
  <c r="Q85" i="66"/>
  <c r="P85" i="66"/>
  <c r="O85" i="66"/>
  <c r="N85" i="66"/>
  <c r="M85" i="66"/>
  <c r="L85" i="66"/>
  <c r="H85" i="66"/>
  <c r="G85" i="66"/>
  <c r="F85" i="66"/>
  <c r="E85" i="66"/>
  <c r="W85" i="66" s="1"/>
  <c r="W84" i="66"/>
  <c r="T84" i="66"/>
  <c r="R84" i="66"/>
  <c r="Q84" i="66"/>
  <c r="W83" i="66"/>
  <c r="T83" i="66"/>
  <c r="R83" i="66"/>
  <c r="Q83" i="66"/>
  <c r="W82" i="66"/>
  <c r="T82" i="66"/>
  <c r="R82" i="66"/>
  <c r="Q82" i="66"/>
  <c r="W81" i="66"/>
  <c r="T81" i="66"/>
  <c r="R81" i="66"/>
  <c r="Q81" i="66"/>
  <c r="W80" i="66"/>
  <c r="T80" i="66"/>
  <c r="R80" i="66"/>
  <c r="Q80" i="66"/>
  <c r="W79" i="66"/>
  <c r="T79" i="66"/>
  <c r="R79" i="66"/>
  <c r="Q79" i="66"/>
  <c r="W78" i="66"/>
  <c r="T78" i="66"/>
  <c r="R78" i="66"/>
  <c r="Q78" i="66"/>
  <c r="W77" i="66"/>
  <c r="T77" i="66"/>
  <c r="R77" i="66"/>
  <c r="Q77" i="66"/>
  <c r="W76" i="66"/>
  <c r="T76" i="66"/>
  <c r="R76" i="66"/>
  <c r="Q76" i="66"/>
  <c r="W75" i="66"/>
  <c r="T75" i="66"/>
  <c r="R75" i="66"/>
  <c r="Q75" i="66"/>
  <c r="T74" i="66"/>
  <c r="R74" i="66"/>
  <c r="Q74" i="66"/>
  <c r="P74" i="66"/>
  <c r="O74" i="66"/>
  <c r="N74" i="66"/>
  <c r="M74" i="66"/>
  <c r="L74" i="66"/>
  <c r="H74" i="66"/>
  <c r="G74" i="66"/>
  <c r="F74" i="66"/>
  <c r="E74" i="66"/>
  <c r="W74" i="66" s="1"/>
  <c r="W73" i="66"/>
  <c r="T73" i="66"/>
  <c r="R73" i="66"/>
  <c r="Q73" i="66"/>
  <c r="W72" i="66"/>
  <c r="T72" i="66"/>
  <c r="R72" i="66"/>
  <c r="Q72" i="66"/>
  <c r="W71" i="66"/>
  <c r="T71" i="66"/>
  <c r="R71" i="66"/>
  <c r="Q71" i="66"/>
  <c r="W70" i="66"/>
  <c r="T70" i="66"/>
  <c r="R70" i="66"/>
  <c r="Q70" i="66"/>
  <c r="W69" i="66"/>
  <c r="T69" i="66"/>
  <c r="R69" i="66"/>
  <c r="Q69" i="66"/>
  <c r="W68" i="66"/>
  <c r="T68" i="66"/>
  <c r="R68" i="66"/>
  <c r="Q68" i="66"/>
  <c r="R67" i="66"/>
  <c r="Q67" i="66"/>
  <c r="P67" i="66"/>
  <c r="O67" i="66"/>
  <c r="N67" i="66"/>
  <c r="M67" i="66"/>
  <c r="L67" i="66"/>
  <c r="H67" i="66"/>
  <c r="G67" i="66"/>
  <c r="F67" i="66"/>
  <c r="E67" i="66"/>
  <c r="T67" i="66" s="1"/>
  <c r="W66" i="66"/>
  <c r="T66" i="66"/>
  <c r="R66" i="66"/>
  <c r="Q66" i="66"/>
  <c r="W65" i="66"/>
  <c r="T65" i="66"/>
  <c r="R65" i="66"/>
  <c r="Q65" i="66"/>
  <c r="W64" i="66"/>
  <c r="T64" i="66"/>
  <c r="R64" i="66"/>
  <c r="Q64" i="66"/>
  <c r="W63" i="66"/>
  <c r="T63" i="66"/>
  <c r="R63" i="66"/>
  <c r="Q63" i="66"/>
  <c r="W62" i="66"/>
  <c r="T62" i="66"/>
  <c r="R62" i="66"/>
  <c r="Q62" i="66"/>
  <c r="W61" i="66"/>
  <c r="T61" i="66"/>
  <c r="R61" i="66"/>
  <c r="Q61" i="66"/>
  <c r="W60" i="66"/>
  <c r="T60" i="66"/>
  <c r="R60" i="66"/>
  <c r="Q60" i="66"/>
  <c r="W59" i="66"/>
  <c r="T59" i="66"/>
  <c r="R59" i="66"/>
  <c r="Q59" i="66"/>
  <c r="R58" i="66"/>
  <c r="Q58" i="66"/>
  <c r="P58" i="66"/>
  <c r="O58" i="66"/>
  <c r="N58" i="66"/>
  <c r="M58" i="66"/>
  <c r="L58" i="66"/>
  <c r="H58" i="66"/>
  <c r="G58" i="66"/>
  <c r="F58" i="66"/>
  <c r="E58" i="66"/>
  <c r="W58" i="66" s="1"/>
  <c r="W57" i="66"/>
  <c r="T57" i="66"/>
  <c r="R57" i="66"/>
  <c r="Q57" i="66"/>
  <c r="W56" i="66"/>
  <c r="T56" i="66"/>
  <c r="R56" i="66"/>
  <c r="Q56" i="66"/>
  <c r="W55" i="66"/>
  <c r="T55" i="66"/>
  <c r="R55" i="66"/>
  <c r="Q55" i="66"/>
  <c r="W54" i="66"/>
  <c r="T54" i="66"/>
  <c r="R54" i="66"/>
  <c r="Q54" i="66"/>
  <c r="W53" i="66"/>
  <c r="T53" i="66"/>
  <c r="R53" i="66"/>
  <c r="Q53" i="66"/>
  <c r="W52" i="66"/>
  <c r="T52" i="66"/>
  <c r="R52" i="66"/>
  <c r="Q52" i="66"/>
  <c r="W51" i="66"/>
  <c r="T51" i="66"/>
  <c r="R51" i="66"/>
  <c r="Q51" i="66"/>
  <c r="W50" i="66"/>
  <c r="T50" i="66"/>
  <c r="R50" i="66"/>
  <c r="Q50" i="66"/>
  <c r="W49" i="66"/>
  <c r="T49" i="66"/>
  <c r="R49" i="66"/>
  <c r="Q49" i="66"/>
  <c r="W48" i="66"/>
  <c r="T48" i="66"/>
  <c r="R48" i="66"/>
  <c r="Q48" i="66"/>
  <c r="W47" i="66"/>
  <c r="T47" i="66"/>
  <c r="R47" i="66"/>
  <c r="Q47" i="66"/>
  <c r="W46" i="66"/>
  <c r="T46" i="66"/>
  <c r="R46" i="66"/>
  <c r="Q46" i="66"/>
  <c r="W45" i="66"/>
  <c r="T45" i="66"/>
  <c r="R45" i="66"/>
  <c r="Q45" i="66"/>
  <c r="T44" i="66"/>
  <c r="R44" i="66"/>
  <c r="Q44" i="66"/>
  <c r="P44" i="66"/>
  <c r="O44" i="66"/>
  <c r="N44" i="66"/>
  <c r="M44" i="66"/>
  <c r="L44" i="66"/>
  <c r="H44" i="66"/>
  <c r="G44" i="66"/>
  <c r="F44" i="66"/>
  <c r="E44" i="66"/>
  <c r="W44" i="66" s="1"/>
  <c r="W43" i="66"/>
  <c r="R43" i="66"/>
  <c r="Q43" i="66"/>
  <c r="W42" i="66"/>
  <c r="R42" i="66"/>
  <c r="Q42" i="66"/>
  <c r="W41" i="66"/>
  <c r="R41" i="66"/>
  <c r="Q41" i="66"/>
  <c r="W40" i="66"/>
  <c r="R40" i="66"/>
  <c r="Q40" i="66"/>
  <c r="W39" i="66"/>
  <c r="R39" i="66"/>
  <c r="Q39" i="66"/>
  <c r="W38" i="66"/>
  <c r="R38" i="66"/>
  <c r="Q38" i="66"/>
  <c r="W37" i="66"/>
  <c r="R37" i="66"/>
  <c r="Q37" i="66"/>
  <c r="W36" i="66"/>
  <c r="R36" i="66"/>
  <c r="Q36" i="66"/>
  <c r="W35" i="66"/>
  <c r="R35" i="66"/>
  <c r="Q35" i="66"/>
  <c r="W34" i="66"/>
  <c r="R34" i="66"/>
  <c r="Q34" i="66"/>
  <c r="W33" i="66"/>
  <c r="R33" i="66"/>
  <c r="Q33" i="66"/>
  <c r="W32" i="66"/>
  <c r="R32" i="66"/>
  <c r="Q32" i="66"/>
  <c r="W31" i="66"/>
  <c r="R31" i="66"/>
  <c r="Q31" i="66"/>
  <c r="W30" i="66"/>
  <c r="R30" i="66"/>
  <c r="Q30" i="66"/>
  <c r="W29" i="66"/>
  <c r="R29" i="66"/>
  <c r="Q29" i="66"/>
  <c r="P28" i="66"/>
  <c r="P167" i="66" s="1"/>
  <c r="O28" i="66"/>
  <c r="O167" i="66" s="1"/>
  <c r="N28" i="66"/>
  <c r="N167" i="66" s="1"/>
  <c r="M28" i="66"/>
  <c r="M167" i="66" s="1"/>
  <c r="L28" i="66"/>
  <c r="L167" i="66" s="1"/>
  <c r="H28" i="66"/>
  <c r="H167" i="66" s="1"/>
  <c r="G28" i="66"/>
  <c r="G167" i="66" s="1"/>
  <c r="F28" i="66"/>
  <c r="F167" i="66" s="1"/>
  <c r="E28" i="66"/>
  <c r="E167" i="66" s="1"/>
  <c r="R27" i="66"/>
  <c r="Q27" i="66"/>
  <c r="R26" i="66"/>
  <c r="Q26" i="66"/>
  <c r="R25" i="66"/>
  <c r="Q25" i="66"/>
  <c r="R24" i="66"/>
  <c r="Q24" i="66"/>
  <c r="R23" i="66"/>
  <c r="Q23" i="66"/>
  <c r="R22" i="66"/>
  <c r="Q22" i="66"/>
  <c r="R21" i="66"/>
  <c r="Q21" i="66"/>
  <c r="R20" i="66"/>
  <c r="Q20" i="66"/>
  <c r="R19" i="66"/>
  <c r="Q19" i="66"/>
  <c r="R18" i="66"/>
  <c r="Q18" i="66"/>
  <c r="R17" i="66"/>
  <c r="Q17" i="66"/>
  <c r="R16" i="66"/>
  <c r="Q16" i="66"/>
  <c r="R15" i="66"/>
  <c r="Q15" i="66"/>
  <c r="R14" i="66"/>
  <c r="Q14" i="66"/>
  <c r="R13" i="66"/>
  <c r="Q13" i="66"/>
  <c r="R12" i="66"/>
  <c r="Q12" i="66"/>
  <c r="R11" i="66"/>
  <c r="Q11" i="66"/>
  <c r="R10" i="66"/>
  <c r="Q10" i="66"/>
  <c r="R9" i="66"/>
  <c r="Q9" i="66"/>
  <c r="R8" i="66"/>
  <c r="Q8" i="66"/>
  <c r="R7" i="66"/>
  <c r="Q7" i="66"/>
  <c r="R6" i="66"/>
  <c r="Q6" i="66"/>
  <c r="R5" i="66"/>
  <c r="Q5" i="66"/>
  <c r="R4" i="66"/>
  <c r="Q4" i="66"/>
  <c r="R3" i="66"/>
  <c r="Q3" i="66"/>
  <c r="R2" i="66"/>
  <c r="R28" i="66" s="1"/>
  <c r="Q2" i="66"/>
  <c r="Q28" i="66" s="1"/>
  <c r="W167" i="66" l="1"/>
  <c r="T167" i="66"/>
  <c r="W67" i="66"/>
  <c r="W131" i="66"/>
  <c r="Q167" i="66"/>
  <c r="W28" i="66"/>
  <c r="R167" i="66"/>
  <c r="T58" i="66"/>
  <c r="T98" i="66"/>
  <c r="T28" i="66"/>
  <c r="D426" i="63"/>
  <c r="B426" i="63"/>
  <c r="C426" i="63"/>
  <c r="C141" i="62" l="1"/>
  <c r="E135" i="62"/>
  <c r="E133" i="62"/>
  <c r="E131" i="62"/>
  <c r="E130" i="62"/>
  <c r="E136" i="62" s="1"/>
  <c r="C120" i="62"/>
  <c r="C123" i="62" s="1"/>
  <c r="E115" i="62"/>
  <c r="C110" i="62"/>
  <c r="C127" i="62" s="1"/>
  <c r="C102" i="62"/>
  <c r="C91" i="62"/>
  <c r="C85" i="62"/>
  <c r="C86" i="62" s="1"/>
  <c r="E87" i="62" s="1"/>
  <c r="C80" i="62"/>
  <c r="C75" i="62"/>
  <c r="C70" i="62"/>
  <c r="C61" i="62"/>
  <c r="C53" i="62"/>
  <c r="C44" i="62"/>
  <c r="C39" i="62"/>
  <c r="C40" i="62" s="1"/>
  <c r="G41" i="62" s="1"/>
  <c r="C29" i="62"/>
  <c r="C21" i="62"/>
  <c r="C22" i="62" s="1"/>
  <c r="C24" i="62" s="1"/>
  <c r="C11" i="62"/>
  <c r="C14" i="62" s="1"/>
  <c r="C15" i="62" s="1"/>
  <c r="C7" i="62"/>
  <c r="C140" i="62" s="1"/>
  <c r="C6" i="62"/>
  <c r="C5" i="62"/>
  <c r="C96" i="62" s="1"/>
  <c r="E97" i="62" s="1"/>
  <c r="B3" i="62"/>
  <c r="A3" i="62"/>
  <c r="B2" i="62"/>
  <c r="J1" i="62"/>
  <c r="C68" i="61"/>
  <c r="E51" i="61"/>
  <c r="G51" i="61" s="1"/>
  <c r="C51" i="61"/>
  <c r="G50" i="61"/>
  <c r="G49" i="61"/>
  <c r="G48" i="61"/>
  <c r="G46" i="61"/>
  <c r="E46" i="61"/>
  <c r="C46" i="61"/>
  <c r="G45" i="61"/>
  <c r="G44" i="61"/>
  <c r="G43" i="61"/>
  <c r="N37" i="61"/>
  <c r="O37" i="61" s="1"/>
  <c r="C37" i="61"/>
  <c r="R36" i="61"/>
  <c r="S36" i="61" s="1"/>
  <c r="N36" i="61"/>
  <c r="O36" i="61" s="1"/>
  <c r="T36" i="61" s="1"/>
  <c r="S35" i="61"/>
  <c r="R35" i="61"/>
  <c r="N35" i="61"/>
  <c r="O35" i="61" s="1"/>
  <c r="T35" i="61" s="1"/>
  <c r="C35" i="61"/>
  <c r="R34" i="61"/>
  <c r="R37" i="61" s="1"/>
  <c r="S37" i="61" s="1"/>
  <c r="O34" i="61"/>
  <c r="N34" i="61"/>
  <c r="C33" i="61"/>
  <c r="C39" i="61" s="1"/>
  <c r="C27" i="61"/>
  <c r="C29" i="61" s="1"/>
  <c r="C25" i="61"/>
  <c r="C11" i="61"/>
  <c r="C13" i="61" s="1"/>
  <c r="C15" i="61" s="1"/>
  <c r="F4" i="61"/>
  <c r="B2" i="61"/>
  <c r="A2" i="61"/>
  <c r="L1" i="61"/>
  <c r="B1" i="61"/>
  <c r="G11" i="60"/>
  <c r="F11" i="60"/>
  <c r="E11" i="60"/>
  <c r="D11" i="60"/>
  <c r="C11" i="60"/>
  <c r="B11" i="60"/>
  <c r="D10" i="60"/>
  <c r="G9" i="60"/>
  <c r="D9" i="60"/>
  <c r="C9" i="60"/>
  <c r="G8" i="60"/>
  <c r="F8" i="60"/>
  <c r="C8" i="60"/>
  <c r="B8" i="60"/>
  <c r="D7" i="60"/>
  <c r="C7" i="60"/>
  <c r="B7" i="60"/>
  <c r="H7" i="60" s="1"/>
  <c r="G6" i="60"/>
  <c r="G10" i="60" s="1"/>
  <c r="F6" i="60"/>
  <c r="F9" i="60" s="1"/>
  <c r="E6" i="60"/>
  <c r="E8" i="60" s="1"/>
  <c r="D6" i="60"/>
  <c r="D8" i="60" s="1"/>
  <c r="C6" i="60"/>
  <c r="C10" i="60" s="1"/>
  <c r="B6" i="60"/>
  <c r="B9" i="60" s="1"/>
  <c r="G16" i="62" l="1"/>
  <c r="C28" i="62"/>
  <c r="C30" i="62" s="1"/>
  <c r="G31" i="62" s="1"/>
  <c r="E92" i="62"/>
  <c r="E103" i="62"/>
  <c r="C115" i="62"/>
  <c r="C128" i="62" s="1"/>
  <c r="C129" i="62" s="1"/>
  <c r="G25" i="62"/>
  <c r="E71" i="62"/>
  <c r="E81" i="62"/>
  <c r="C46" i="62"/>
  <c r="C47" i="62" s="1"/>
  <c r="E49" i="62" s="1"/>
  <c r="C55" i="62"/>
  <c r="C56" i="62" s="1"/>
  <c r="E57" i="62" s="1"/>
  <c r="E62" i="62"/>
  <c r="C65" i="62"/>
  <c r="E76" i="62"/>
  <c r="T37" i="61"/>
  <c r="C38" i="61"/>
  <c r="S34" i="61"/>
  <c r="T34" i="61" s="1"/>
  <c r="H8" i="60"/>
  <c r="E10" i="60"/>
  <c r="E9" i="60"/>
  <c r="H9" i="60" s="1"/>
  <c r="B10" i="60"/>
  <c r="F10" i="60"/>
  <c r="H6" i="60"/>
  <c r="B56" i="54"/>
  <c r="B58" i="54"/>
  <c r="B62" i="52"/>
  <c r="N61" i="54"/>
  <c r="O62" i="54"/>
  <c r="M70" i="54"/>
  <c r="M71" i="54"/>
  <c r="N78" i="54" s="1"/>
  <c r="O78" i="54" s="1"/>
  <c r="M72" i="54"/>
  <c r="M75" i="54" s="1"/>
  <c r="L75" i="54"/>
  <c r="N77" i="54"/>
  <c r="O77" i="54" s="1"/>
  <c r="N79" i="54"/>
  <c r="O79" i="54" s="1"/>
  <c r="F36" i="27"/>
  <c r="B9" i="56"/>
  <c r="E45" i="42"/>
  <c r="B64" i="52"/>
  <c r="B65" i="52" s="1"/>
  <c r="H63" i="56"/>
  <c r="H62" i="56"/>
  <c r="H61" i="56"/>
  <c r="H60" i="56"/>
  <c r="H59" i="56"/>
  <c r="H48" i="56"/>
  <c r="H47" i="56"/>
  <c r="H46" i="56"/>
  <c r="H45" i="56"/>
  <c r="H44" i="56"/>
  <c r="H31" i="56"/>
  <c r="H30" i="56"/>
  <c r="H29" i="56"/>
  <c r="H28" i="56"/>
  <c r="H27" i="56"/>
  <c r="C112" i="27"/>
  <c r="B112" i="27"/>
  <c r="B111" i="27"/>
  <c r="C111" i="27" s="1"/>
  <c r="B110" i="27"/>
  <c r="C110" i="27" s="1"/>
  <c r="C131" i="62" l="1"/>
  <c r="C130" i="62"/>
  <c r="C132" i="62" s="1"/>
  <c r="E105" i="62"/>
  <c r="C144" i="62" s="1"/>
  <c r="G105" i="62"/>
  <c r="C145" i="62" s="1"/>
  <c r="H10" i="60"/>
  <c r="H11" i="60" s="1"/>
  <c r="B59" i="54"/>
  <c r="B32" i="56"/>
  <c r="B33" i="56"/>
  <c r="B34" i="56"/>
  <c r="B35" i="56"/>
  <c r="B36" i="56"/>
  <c r="B37" i="56"/>
  <c r="B38" i="56"/>
  <c r="B39" i="56"/>
  <c r="B40" i="56"/>
  <c r="B41" i="56"/>
  <c r="B42" i="56"/>
  <c r="B43" i="56"/>
  <c r="B44" i="56"/>
  <c r="B45" i="56"/>
  <c r="B46" i="56"/>
  <c r="B47" i="56"/>
  <c r="B48" i="56"/>
  <c r="B49" i="56"/>
  <c r="B50" i="56"/>
  <c r="B51" i="56"/>
  <c r="B52" i="56"/>
  <c r="B53" i="56"/>
  <c r="B54" i="56"/>
  <c r="B55" i="56"/>
  <c r="B56" i="56"/>
  <c r="B57" i="56"/>
  <c r="B58" i="56"/>
  <c r="B59" i="56"/>
  <c r="B60" i="56"/>
  <c r="B61" i="56"/>
  <c r="B62" i="56"/>
  <c r="B63" i="56"/>
  <c r="B64" i="56"/>
  <c r="B65" i="56"/>
  <c r="B66" i="56"/>
  <c r="B67" i="56"/>
  <c r="B31" i="56"/>
  <c r="D53" i="52"/>
  <c r="D54" i="52"/>
  <c r="B8" i="56"/>
  <c r="B15" i="56"/>
  <c r="C10" i="52"/>
  <c r="B43" i="54"/>
  <c r="D42" i="54"/>
  <c r="G9" i="54"/>
  <c r="C43" i="54" s="1"/>
  <c r="C9" i="54"/>
  <c r="C42" i="54" s="1"/>
  <c r="G17" i="54"/>
  <c r="C27" i="54"/>
  <c r="G27" i="54" s="1"/>
  <c r="C25" i="54"/>
  <c r="G25" i="54" s="1"/>
  <c r="C24" i="54"/>
  <c r="G24" i="54" s="1"/>
  <c r="C17" i="54"/>
  <c r="F8" i="27"/>
  <c r="C7" i="54" s="1"/>
  <c r="C8" i="54" s="1"/>
  <c r="F9" i="27"/>
  <c r="D28" i="27"/>
  <c r="D29" i="27"/>
  <c r="D30" i="27"/>
  <c r="D14" i="27"/>
  <c r="D15" i="27"/>
  <c r="D16" i="27"/>
  <c r="D17" i="27"/>
  <c r="D18" i="27"/>
  <c r="D19" i="27"/>
  <c r="D20" i="27"/>
  <c r="D21" i="27"/>
  <c r="D22" i="27"/>
  <c r="D23" i="27"/>
  <c r="D24" i="27"/>
  <c r="D25" i="27"/>
  <c r="D26" i="27"/>
  <c r="D27" i="27"/>
  <c r="D13" i="27"/>
  <c r="E14" i="27" s="1"/>
  <c r="F5" i="27"/>
  <c r="H14" i="27" s="1"/>
  <c r="C133" i="62" l="1"/>
  <c r="C134" i="62" s="1"/>
  <c r="C135" i="62" s="1"/>
  <c r="C137" i="62" s="1"/>
  <c r="C138" i="62" s="1"/>
  <c r="C10" i="54"/>
  <c r="E42" i="54"/>
  <c r="H42" i="54" s="1"/>
  <c r="G7" i="54"/>
  <c r="G8" i="54" s="1"/>
  <c r="E43" i="54" s="1"/>
  <c r="H43" i="54" s="1"/>
  <c r="C8" i="52"/>
  <c r="C9" i="52" s="1"/>
  <c r="C11" i="52" s="1"/>
  <c r="C37" i="52" s="1"/>
  <c r="E21" i="27"/>
  <c r="E28" i="27"/>
  <c r="E24" i="27"/>
  <c r="E20" i="27"/>
  <c r="E16" i="27"/>
  <c r="E25" i="27"/>
  <c r="E13" i="27"/>
  <c r="E27" i="27"/>
  <c r="E23" i="27"/>
  <c r="E19" i="27"/>
  <c r="E15" i="27"/>
  <c r="E29" i="27"/>
  <c r="E17" i="27"/>
  <c r="E30" i="27"/>
  <c r="E26" i="27"/>
  <c r="E22" i="27"/>
  <c r="E18" i="27"/>
  <c r="D102" i="27"/>
  <c r="E102" i="27" s="1"/>
  <c r="D101" i="27"/>
  <c r="E101" i="27" s="1"/>
  <c r="D100" i="27"/>
  <c r="E100" i="27" s="1"/>
  <c r="D99" i="27"/>
  <c r="E99" i="27" s="1"/>
  <c r="D98" i="27"/>
  <c r="E98" i="27" s="1"/>
  <c r="D97" i="27"/>
  <c r="E97" i="27" s="1"/>
  <c r="D10" i="40"/>
  <c r="D134" i="40"/>
  <c r="D67" i="40"/>
  <c r="C146" i="62" l="1"/>
  <c r="C147" i="62" s="1"/>
  <c r="E138" i="62"/>
  <c r="G10" i="54"/>
  <c r="C149" i="62" l="1"/>
  <c r="C152" i="62" s="1"/>
  <c r="C150" i="62"/>
  <c r="H44" i="54"/>
  <c r="F32" i="42"/>
  <c r="C16" i="33"/>
  <c r="C15" i="33"/>
  <c r="C14" i="33"/>
  <c r="C13" i="33"/>
  <c r="C12" i="33"/>
  <c r="C11" i="33"/>
  <c r="C10" i="33"/>
  <c r="C26" i="52"/>
  <c r="B32" i="51"/>
  <c r="B40" i="51"/>
  <c r="B39" i="51"/>
  <c r="B38" i="51"/>
  <c r="H13" i="27"/>
  <c r="K44" i="42"/>
  <c r="D44" i="42"/>
  <c r="F44" i="42" s="1"/>
  <c r="C25" i="52"/>
  <c r="C28" i="52"/>
  <c r="C18" i="52"/>
  <c r="B22" i="51"/>
  <c r="B21" i="51"/>
  <c r="B20" i="51"/>
  <c r="B19" i="51"/>
  <c r="B18" i="51"/>
  <c r="B17" i="51"/>
  <c r="B16" i="51"/>
  <c r="B15" i="51"/>
  <c r="B14" i="51"/>
  <c r="A13" i="51"/>
  <c r="B13" i="51" s="1"/>
  <c r="D6" i="33"/>
  <c r="O144" i="33"/>
  <c r="L131" i="33"/>
  <c r="L110" i="33"/>
  <c r="J117" i="33"/>
  <c r="D5" i="33"/>
  <c r="E17" i="33"/>
  <c r="B25" i="42"/>
  <c r="B27" i="42" s="1"/>
  <c r="L44" i="42" l="1"/>
  <c r="E44" i="42"/>
  <c r="D7" i="33"/>
  <c r="J116" i="33"/>
  <c r="J118" i="33"/>
  <c r="J119" i="33" s="1"/>
  <c r="J120" i="33" s="1"/>
  <c r="J121" i="33" s="1"/>
  <c r="J122" i="33" s="1"/>
  <c r="J123" i="33" s="1"/>
  <c r="J124" i="33" s="1"/>
  <c r="J125" i="33" s="1"/>
  <c r="J126" i="33" s="1"/>
  <c r="K117" i="33"/>
  <c r="L117" i="33" s="1"/>
  <c r="K116" i="33"/>
  <c r="L116" i="33" s="1"/>
  <c r="K118" i="33" l="1"/>
  <c r="K120" i="33"/>
  <c r="L120" i="33" s="1"/>
  <c r="M120" i="33" s="1"/>
  <c r="K119" i="33"/>
  <c r="L119" i="33" s="1"/>
  <c r="N119" i="33" s="1"/>
  <c r="N120" i="33"/>
  <c r="M117" i="33"/>
  <c r="N117" i="33"/>
  <c r="N116" i="33"/>
  <c r="M116" i="33"/>
  <c r="L118" i="33"/>
  <c r="F17" i="33"/>
  <c r="M119" i="33" l="1"/>
  <c r="M118" i="33"/>
  <c r="N118" i="33"/>
  <c r="K121" i="33"/>
  <c r="L121" i="33" s="1"/>
  <c r="C34" i="27"/>
  <c r="M121" i="33" l="1"/>
  <c r="N121" i="33"/>
  <c r="K122" i="33"/>
  <c r="L122" i="33"/>
  <c r="E51" i="27"/>
  <c r="E50" i="27"/>
  <c r="C22" i="54" s="1"/>
  <c r="G22" i="54" s="1"/>
  <c r="E52" i="27"/>
  <c r="C24" i="52" l="1"/>
  <c r="C23" i="54"/>
  <c r="G23" i="54" s="1"/>
  <c r="C22" i="52"/>
  <c r="C21" i="54"/>
  <c r="G21" i="54" s="1"/>
  <c r="E73" i="27"/>
  <c r="E77" i="27"/>
  <c r="E81" i="27"/>
  <c r="E85" i="27"/>
  <c r="E71" i="27"/>
  <c r="E75" i="27"/>
  <c r="E79" i="27"/>
  <c r="E69" i="27"/>
  <c r="E72" i="27"/>
  <c r="E80" i="27"/>
  <c r="E84" i="27"/>
  <c r="E70" i="27"/>
  <c r="E74" i="27"/>
  <c r="E78" i="27"/>
  <c r="E82" i="27"/>
  <c r="E86" i="27"/>
  <c r="E83" i="27"/>
  <c r="C23" i="52"/>
  <c r="E76" i="27"/>
  <c r="M122" i="33"/>
  <c r="N122" i="33"/>
  <c r="K123" i="33"/>
  <c r="L123" i="33" s="1"/>
  <c r="D62" i="27"/>
  <c r="N123" i="33" l="1"/>
  <c r="M123" i="33"/>
  <c r="K124" i="33"/>
  <c r="L124" i="33" s="1"/>
  <c r="K116" i="42"/>
  <c r="L116" i="42" s="1"/>
  <c r="F116" i="42"/>
  <c r="E116" i="42"/>
  <c r="K110" i="42"/>
  <c r="L110" i="42" s="1"/>
  <c r="K111" i="42"/>
  <c r="L111" i="42" s="1"/>
  <c r="K112" i="42"/>
  <c r="L112" i="42" s="1"/>
  <c r="K113" i="42"/>
  <c r="L113" i="42" s="1"/>
  <c r="K114" i="42"/>
  <c r="L114" i="42" s="1"/>
  <c r="F110" i="42"/>
  <c r="F111" i="42"/>
  <c r="F112" i="42"/>
  <c r="F113" i="42"/>
  <c r="F114" i="42"/>
  <c r="D15" i="33" s="1"/>
  <c r="E110" i="42"/>
  <c r="E111" i="42"/>
  <c r="E112" i="42"/>
  <c r="E113" i="42"/>
  <c r="E114" i="42"/>
  <c r="K105" i="42"/>
  <c r="L105" i="42" s="1"/>
  <c r="K106" i="42"/>
  <c r="L106" i="42" s="1"/>
  <c r="F105" i="42"/>
  <c r="F106" i="42"/>
  <c r="D14" i="33" s="1"/>
  <c r="K102" i="42"/>
  <c r="L102" i="42" s="1"/>
  <c r="E105" i="42"/>
  <c r="E106" i="42"/>
  <c r="K101" i="42"/>
  <c r="L101" i="42" s="1"/>
  <c r="K103" i="42"/>
  <c r="L103" i="42" s="1"/>
  <c r="F101" i="42"/>
  <c r="F102" i="42"/>
  <c r="F103" i="42"/>
  <c r="K94" i="42"/>
  <c r="L94" i="42" s="1"/>
  <c r="E101" i="42"/>
  <c r="E102" i="42"/>
  <c r="E103" i="42"/>
  <c r="K95" i="42"/>
  <c r="L95" i="42" s="1"/>
  <c r="K96" i="42"/>
  <c r="L96" i="42" s="1"/>
  <c r="K97" i="42"/>
  <c r="L97" i="42" s="1"/>
  <c r="K98" i="42"/>
  <c r="L98" i="42" s="1"/>
  <c r="F94" i="42"/>
  <c r="F95" i="42"/>
  <c r="F96" i="42"/>
  <c r="F97" i="42"/>
  <c r="F98" i="42"/>
  <c r="D12" i="33" s="1"/>
  <c r="E94" i="42"/>
  <c r="E95" i="42"/>
  <c r="E96" i="42"/>
  <c r="E97" i="42"/>
  <c r="E98" i="42"/>
  <c r="K90" i="42"/>
  <c r="K91" i="42"/>
  <c r="L91" i="42" s="1"/>
  <c r="K87" i="42"/>
  <c r="L87" i="42" s="1"/>
  <c r="K88" i="42"/>
  <c r="L88" i="42" s="1"/>
  <c r="E90" i="42"/>
  <c r="E91" i="42"/>
  <c r="F90" i="42"/>
  <c r="D11" i="33" s="1"/>
  <c r="F91" i="42"/>
  <c r="F87" i="42"/>
  <c r="F88" i="42"/>
  <c r="E87" i="42"/>
  <c r="E88" i="42"/>
  <c r="K79" i="42"/>
  <c r="K80" i="42"/>
  <c r="K81" i="42"/>
  <c r="K82" i="42"/>
  <c r="L82" i="42" s="1"/>
  <c r="K83" i="42"/>
  <c r="L83" i="42" s="1"/>
  <c r="K84" i="42"/>
  <c r="L84" i="42" s="1"/>
  <c r="K85" i="42"/>
  <c r="L85" i="42" s="1"/>
  <c r="K77" i="42"/>
  <c r="L77" i="42" s="1"/>
  <c r="F77" i="42"/>
  <c r="E78" i="42"/>
  <c r="E79" i="42"/>
  <c r="E80" i="42"/>
  <c r="E81" i="42"/>
  <c r="E82" i="42"/>
  <c r="E83" i="42"/>
  <c r="E84" i="42"/>
  <c r="E85" i="42"/>
  <c r="E77" i="42"/>
  <c r="K64" i="42"/>
  <c r="L64" i="42" s="1"/>
  <c r="K65" i="42"/>
  <c r="L65" i="42" s="1"/>
  <c r="K66" i="42"/>
  <c r="L66" i="42" s="1"/>
  <c r="K67" i="42"/>
  <c r="L67" i="42" s="1"/>
  <c r="K68" i="42"/>
  <c r="L68" i="42" s="1"/>
  <c r="K69" i="42"/>
  <c r="L69" i="42" s="1"/>
  <c r="K70" i="42"/>
  <c r="L70" i="42" s="1"/>
  <c r="K71" i="42"/>
  <c r="L71" i="42" s="1"/>
  <c r="K72" i="42"/>
  <c r="L72" i="42" s="1"/>
  <c r="K73" i="42"/>
  <c r="L73" i="42" s="1"/>
  <c r="K74" i="42"/>
  <c r="L74" i="42" s="1"/>
  <c r="K75" i="42"/>
  <c r="L75" i="42" s="1"/>
  <c r="K63" i="42"/>
  <c r="L63" i="42" s="1"/>
  <c r="F64" i="42"/>
  <c r="F65" i="42"/>
  <c r="F66" i="42"/>
  <c r="F67" i="42"/>
  <c r="F68" i="42"/>
  <c r="F69" i="42"/>
  <c r="F70" i="42"/>
  <c r="F71" i="42"/>
  <c r="F72" i="42"/>
  <c r="F73" i="42"/>
  <c r="F74" i="42"/>
  <c r="F75" i="42"/>
  <c r="F63" i="42"/>
  <c r="E65" i="42"/>
  <c r="E66" i="42"/>
  <c r="E67" i="42"/>
  <c r="E68" i="42"/>
  <c r="E69" i="42"/>
  <c r="E70" i="42"/>
  <c r="E71" i="42"/>
  <c r="E72" i="42"/>
  <c r="E73" i="42"/>
  <c r="E74" i="42"/>
  <c r="E75" i="42"/>
  <c r="E63" i="42"/>
  <c r="K51" i="42"/>
  <c r="L51" i="42" s="1"/>
  <c r="K47" i="42"/>
  <c r="L47" i="42" s="1"/>
  <c r="K48" i="42"/>
  <c r="L48" i="42" s="1"/>
  <c r="K49" i="42"/>
  <c r="K50" i="42"/>
  <c r="L50" i="42" s="1"/>
  <c r="K52" i="42"/>
  <c r="L52" i="42" s="1"/>
  <c r="K53" i="42"/>
  <c r="L53" i="42" s="1"/>
  <c r="K54" i="42"/>
  <c r="L54" i="42" s="1"/>
  <c r="K55" i="42"/>
  <c r="L55" i="42" s="1"/>
  <c r="K56" i="42"/>
  <c r="L56" i="42" s="1"/>
  <c r="K57" i="42"/>
  <c r="L57" i="42" s="1"/>
  <c r="K58" i="42"/>
  <c r="L58" i="42" s="1"/>
  <c r="K59" i="42"/>
  <c r="L59" i="42" s="1"/>
  <c r="K60" i="42"/>
  <c r="L60" i="42" s="1"/>
  <c r="K61" i="42"/>
  <c r="L61" i="42" s="1"/>
  <c r="L49" i="42"/>
  <c r="K37" i="42"/>
  <c r="L37" i="42" s="1"/>
  <c r="K38" i="42"/>
  <c r="L38" i="42" s="1"/>
  <c r="K39" i="42"/>
  <c r="L39" i="42" s="1"/>
  <c r="K40" i="42"/>
  <c r="L40" i="42" s="1"/>
  <c r="K41" i="42"/>
  <c r="L41" i="42" s="1"/>
  <c r="K42" i="42"/>
  <c r="L42" i="42" s="1"/>
  <c r="K43" i="42"/>
  <c r="L43" i="42" s="1"/>
  <c r="F37" i="42"/>
  <c r="F38" i="42"/>
  <c r="F39" i="42"/>
  <c r="F40" i="42"/>
  <c r="F41" i="42"/>
  <c r="F42" i="42"/>
  <c r="F43" i="42"/>
  <c r="E37" i="42"/>
  <c r="E38" i="42"/>
  <c r="E39" i="42"/>
  <c r="E40" i="42"/>
  <c r="E41" i="42"/>
  <c r="E42" i="42"/>
  <c r="E43" i="42"/>
  <c r="K33" i="42"/>
  <c r="L33" i="42" s="1"/>
  <c r="K34" i="42"/>
  <c r="L34" i="42" s="1"/>
  <c r="F33" i="42"/>
  <c r="F34" i="42"/>
  <c r="E33" i="42"/>
  <c r="E34" i="42"/>
  <c r="F85" i="42"/>
  <c r="F83" i="42"/>
  <c r="F82" i="42"/>
  <c r="K126" i="33" l="1"/>
  <c r="L126" i="33" s="1"/>
  <c r="N124" i="33"/>
  <c r="M124" i="33"/>
  <c r="K125" i="33"/>
  <c r="L125" i="33" s="1"/>
  <c r="F47" i="42"/>
  <c r="F48" i="42"/>
  <c r="F49" i="42"/>
  <c r="F50" i="42"/>
  <c r="F51" i="42"/>
  <c r="F52" i="42"/>
  <c r="F53" i="42"/>
  <c r="F54" i="42"/>
  <c r="F55" i="42"/>
  <c r="F56" i="42"/>
  <c r="F57" i="42"/>
  <c r="F58" i="42"/>
  <c r="F59" i="42"/>
  <c r="F60" i="42"/>
  <c r="F61" i="42"/>
  <c r="E61" i="42"/>
  <c r="E60" i="42"/>
  <c r="E58" i="42"/>
  <c r="E57" i="42"/>
  <c r="E56" i="42"/>
  <c r="E55" i="42"/>
  <c r="E53" i="42"/>
  <c r="E51" i="42"/>
  <c r="E48" i="42"/>
  <c r="D91" i="40"/>
  <c r="E91" i="40" s="1"/>
  <c r="D89" i="40"/>
  <c r="E89" i="40" s="1"/>
  <c r="D88" i="40"/>
  <c r="E88" i="40" s="1"/>
  <c r="D86" i="40"/>
  <c r="E86" i="40" s="1"/>
  <c r="D81" i="40"/>
  <c r="E81" i="40" s="1"/>
  <c r="D80" i="40"/>
  <c r="E80" i="40" s="1"/>
  <c r="D78" i="40"/>
  <c r="E78" i="40" s="1"/>
  <c r="D77" i="40"/>
  <c r="E77" i="40" s="1"/>
  <c r="D73" i="40"/>
  <c r="E73" i="40" s="1"/>
  <c r="D71" i="40"/>
  <c r="E71" i="40" s="1"/>
  <c r="D69" i="40"/>
  <c r="E69" i="40" s="1"/>
  <c r="D66" i="40"/>
  <c r="E66" i="40" s="1"/>
  <c r="D63" i="40"/>
  <c r="E63" i="40" s="1"/>
  <c r="D62" i="40"/>
  <c r="E62" i="40" s="1"/>
  <c r="D60" i="40"/>
  <c r="E60" i="40" s="1"/>
  <c r="D58" i="40"/>
  <c r="E58" i="40" s="1"/>
  <c r="D57" i="40"/>
  <c r="E57" i="40" s="1"/>
  <c r="D52" i="40"/>
  <c r="E52" i="40" s="1"/>
  <c r="D50" i="40"/>
  <c r="E50" i="40" s="1"/>
  <c r="D49" i="40"/>
  <c r="E49" i="40" s="1"/>
  <c r="D45" i="40"/>
  <c r="E45" i="40" s="1"/>
  <c r="D43" i="40"/>
  <c r="E43" i="40" s="1"/>
  <c r="D41" i="40"/>
  <c r="E41" i="40" s="1"/>
  <c r="D38" i="40"/>
  <c r="E38" i="40" s="1"/>
  <c r="D36" i="40"/>
  <c r="E36" i="40" s="1"/>
  <c r="D34" i="40"/>
  <c r="E34" i="40" s="1"/>
  <c r="D33" i="40"/>
  <c r="E33" i="40" s="1"/>
  <c r="D32" i="40"/>
  <c r="E32" i="40" s="1"/>
  <c r="D31" i="40"/>
  <c r="E31" i="40" s="1"/>
  <c r="D30" i="40"/>
  <c r="E30" i="40" s="1"/>
  <c r="D28" i="40"/>
  <c r="E28" i="40" s="1"/>
  <c r="D26" i="40"/>
  <c r="E26" i="40" s="1"/>
  <c r="D23" i="40"/>
  <c r="E23" i="40" s="1"/>
  <c r="D19" i="40"/>
  <c r="E19" i="40" s="1"/>
  <c r="D14" i="40"/>
  <c r="E14" i="40" s="1"/>
  <c r="G102" i="42" l="1"/>
  <c r="H102" i="42"/>
  <c r="G51" i="42"/>
  <c r="H51" i="42"/>
  <c r="G74" i="42"/>
  <c r="H74" i="42"/>
  <c r="G39" i="42"/>
  <c r="H39" i="42"/>
  <c r="H58" i="42"/>
  <c r="G66" i="42"/>
  <c r="G75" i="42"/>
  <c r="G85" i="42"/>
  <c r="G94" i="42"/>
  <c r="H57" i="42"/>
  <c r="G68" i="42"/>
  <c r="G96" i="42"/>
  <c r="H96" i="42"/>
  <c r="G114" i="42"/>
  <c r="H114" i="42"/>
  <c r="H59" i="42"/>
  <c r="G48" i="42"/>
  <c r="H48" i="42"/>
  <c r="H61" i="42"/>
  <c r="G70" i="42"/>
  <c r="H70" i="42"/>
  <c r="G98" i="42"/>
  <c r="H98" i="42"/>
  <c r="G63" i="42"/>
  <c r="H44" i="42"/>
  <c r="G44" i="42"/>
  <c r="M125" i="33"/>
  <c r="N125" i="33"/>
  <c r="M126" i="33"/>
  <c r="N126" i="33"/>
  <c r="H56" i="42"/>
  <c r="G56" i="42"/>
  <c r="H91" i="42"/>
  <c r="G91" i="42"/>
  <c r="G83" i="42"/>
  <c r="H83" i="42"/>
  <c r="G55" i="42"/>
  <c r="H55" i="42"/>
  <c r="H68" i="42"/>
  <c r="G82" i="42"/>
  <c r="H82" i="42"/>
  <c r="G87" i="42"/>
  <c r="H88" i="42"/>
  <c r="G88" i="42"/>
  <c r="H63" i="42"/>
  <c r="H66" i="42"/>
  <c r="G105" i="42"/>
  <c r="G111" i="42"/>
  <c r="H111" i="42"/>
  <c r="H75" i="42"/>
  <c r="G116" i="42"/>
  <c r="H53" i="42"/>
  <c r="G53" i="42"/>
  <c r="G103" i="42"/>
  <c r="H103" i="42"/>
  <c r="G106" i="42"/>
  <c r="H106" i="42"/>
  <c r="G113" i="42"/>
  <c r="H113" i="42"/>
  <c r="G59" i="42"/>
  <c r="G61" i="42"/>
  <c r="H94" i="42"/>
  <c r="G58" i="42"/>
  <c r="G57" i="42"/>
  <c r="G77" i="42"/>
  <c r="H85" i="42"/>
  <c r="F154" i="42"/>
  <c r="F155" i="42"/>
  <c r="F156" i="42"/>
  <c r="F157" i="42"/>
  <c r="F158" i="42"/>
  <c r="F153" i="42"/>
  <c r="F148" i="42"/>
  <c r="F149" i="42"/>
  <c r="F150" i="42"/>
  <c r="F151" i="42"/>
  <c r="F147" i="42"/>
  <c r="F143" i="42"/>
  <c r="F144" i="42"/>
  <c r="F145" i="42"/>
  <c r="F142" i="42"/>
  <c r="K153" i="42"/>
  <c r="L153" i="42" s="1"/>
  <c r="K154" i="42"/>
  <c r="L154" i="42" s="1"/>
  <c r="E153" i="42"/>
  <c r="E154" i="42"/>
  <c r="K150" i="42"/>
  <c r="L150" i="42" s="1"/>
  <c r="E150" i="42"/>
  <c r="F137" i="42"/>
  <c r="F138" i="42"/>
  <c r="F139" i="42"/>
  <c r="F140" i="42"/>
  <c r="F136" i="42"/>
  <c r="F130" i="42"/>
  <c r="F131" i="42"/>
  <c r="F132" i="42"/>
  <c r="F133" i="42"/>
  <c r="F134" i="42"/>
  <c r="F129" i="42"/>
  <c r="F127" i="42"/>
  <c r="F126" i="42"/>
  <c r="F122" i="42"/>
  <c r="F123" i="42"/>
  <c r="F124" i="42"/>
  <c r="F121" i="42"/>
  <c r="D16" i="33" s="1"/>
  <c r="F118" i="42"/>
  <c r="F119" i="42"/>
  <c r="F117" i="42"/>
  <c r="F109" i="42"/>
  <c r="F107" i="42"/>
  <c r="F100" i="42"/>
  <c r="D13" i="33" s="1"/>
  <c r="F93" i="42"/>
  <c r="F89" i="42"/>
  <c r="D10" i="33" s="1"/>
  <c r="F79" i="42"/>
  <c r="F80" i="42"/>
  <c r="F81" i="42"/>
  <c r="F84" i="42"/>
  <c r="F78" i="42"/>
  <c r="F46" i="42"/>
  <c r="F36" i="42"/>
  <c r="K142" i="42"/>
  <c r="L142" i="42" s="1"/>
  <c r="E142" i="42"/>
  <c r="D129" i="40"/>
  <c r="E129" i="40" s="1"/>
  <c r="D128" i="40"/>
  <c r="E128" i="40" s="1"/>
  <c r="D126" i="40"/>
  <c r="E126" i="40" s="1"/>
  <c r="D125" i="40"/>
  <c r="E125" i="40" s="1"/>
  <c r="D123" i="40"/>
  <c r="E123" i="40" s="1"/>
  <c r="D117" i="40"/>
  <c r="E117" i="40" s="1"/>
  <c r="D111" i="40"/>
  <c r="E111" i="40" s="1"/>
  <c r="K136" i="42"/>
  <c r="L136" i="42" s="1"/>
  <c r="E136" i="42"/>
  <c r="K134" i="42"/>
  <c r="L134" i="42" s="1"/>
  <c r="E134" i="42"/>
  <c r="K130" i="42"/>
  <c r="L130" i="42" s="1"/>
  <c r="E130" i="42"/>
  <c r="K126" i="42"/>
  <c r="E126" i="42"/>
  <c r="K123" i="42"/>
  <c r="L123" i="42" s="1"/>
  <c r="E123" i="42"/>
  <c r="K119" i="42"/>
  <c r="L119" i="42" s="1"/>
  <c r="E119" i="42"/>
  <c r="K109" i="42"/>
  <c r="L109" i="42" s="1"/>
  <c r="E109" i="42"/>
  <c r="D101" i="40"/>
  <c r="E101" i="40" s="1"/>
  <c r="D109" i="40"/>
  <c r="E109" i="40" s="1"/>
  <c r="D105" i="40"/>
  <c r="E105" i="40" s="1"/>
  <c r="D98" i="40"/>
  <c r="E98" i="40" s="1"/>
  <c r="D94" i="40"/>
  <c r="E94" i="40" s="1"/>
  <c r="D87" i="40"/>
  <c r="E87" i="40" s="1"/>
  <c r="D85" i="40"/>
  <c r="E85" i="40" s="1"/>
  <c r="D84" i="40"/>
  <c r="E84" i="40" s="1"/>
  <c r="D82" i="40"/>
  <c r="E82" i="40" s="1"/>
  <c r="D76" i="40"/>
  <c r="E76" i="40" s="1"/>
  <c r="D72" i="40"/>
  <c r="E72" i="40" s="1"/>
  <c r="D70" i="40"/>
  <c r="E70" i="40" s="1"/>
  <c r="D68" i="40"/>
  <c r="E68" i="40" s="1"/>
  <c r="D56" i="40"/>
  <c r="E56" i="40" s="1"/>
  <c r="D54" i="40"/>
  <c r="E54" i="40" s="1"/>
  <c r="D53" i="40"/>
  <c r="E53" i="40" s="1"/>
  <c r="D47" i="40"/>
  <c r="E47" i="40" s="1"/>
  <c r="D46" i="40"/>
  <c r="E46" i="40" s="1"/>
  <c r="D40" i="40"/>
  <c r="E40" i="40" s="1"/>
  <c r="D29" i="40"/>
  <c r="E29" i="40" s="1"/>
  <c r="D27" i="40"/>
  <c r="E27" i="40" s="1"/>
  <c r="D21" i="40"/>
  <c r="E21" i="40" s="1"/>
  <c r="D18" i="40"/>
  <c r="E18" i="40" s="1"/>
  <c r="D13" i="40"/>
  <c r="E13" i="40" s="1"/>
  <c r="D12" i="40"/>
  <c r="E12" i="40" s="1"/>
  <c r="G71" i="42" l="1"/>
  <c r="H71" i="42"/>
  <c r="G72" i="42"/>
  <c r="H72" i="42"/>
  <c r="G37" i="42"/>
  <c r="G38" i="42"/>
  <c r="H38" i="42"/>
  <c r="G43" i="42"/>
  <c r="H43" i="42"/>
  <c r="G65" i="42"/>
  <c r="H65" i="42"/>
  <c r="F86" i="42"/>
  <c r="G17" i="27" s="1"/>
  <c r="L126" i="42"/>
  <c r="G112" i="42"/>
  <c r="H112" i="42"/>
  <c r="H54" i="42"/>
  <c r="G54" i="42"/>
  <c r="G101" i="42"/>
  <c r="H101" i="42"/>
  <c r="H37" i="42"/>
  <c r="H87" i="42"/>
  <c r="H105" i="42"/>
  <c r="G109" i="42"/>
  <c r="G148" i="42"/>
  <c r="H148" i="42"/>
  <c r="H77" i="42"/>
  <c r="G97" i="42"/>
  <c r="H97" i="42"/>
  <c r="H134" i="42"/>
  <c r="G150" i="42"/>
  <c r="H150" i="42"/>
  <c r="H116" i="42"/>
  <c r="G110" i="42"/>
  <c r="H110" i="42"/>
  <c r="G52" i="42"/>
  <c r="H52" i="42"/>
  <c r="G151" i="42"/>
  <c r="H151" i="42"/>
  <c r="G153" i="42"/>
  <c r="G95" i="42"/>
  <c r="H95" i="42"/>
  <c r="F76" i="42"/>
  <c r="G16" i="27" s="1"/>
  <c r="E83" i="40"/>
  <c r="H119" i="42"/>
  <c r="G119" i="42"/>
  <c r="F135" i="42"/>
  <c r="G26" i="27" s="1"/>
  <c r="F146" i="42"/>
  <c r="G28" i="27" s="1"/>
  <c r="G136" i="42"/>
  <c r="H136" i="42"/>
  <c r="G154" i="42"/>
  <c r="H154" i="42"/>
  <c r="G130" i="42"/>
  <c r="H130" i="42"/>
  <c r="G126" i="42"/>
  <c r="H126" i="42"/>
  <c r="H123" i="42"/>
  <c r="H142" i="42"/>
  <c r="G134" i="42"/>
  <c r="H109" i="42"/>
  <c r="F125" i="42"/>
  <c r="G24" i="27" s="1"/>
  <c r="F141" i="42"/>
  <c r="G27" i="27" s="1"/>
  <c r="G123" i="42"/>
  <c r="F45" i="42"/>
  <c r="G14" i="27" s="1"/>
  <c r="F62" i="42"/>
  <c r="G15" i="27" s="1"/>
  <c r="F152" i="42"/>
  <c r="G29" i="27" s="1"/>
  <c r="F92" i="42"/>
  <c r="G18" i="27" s="1"/>
  <c r="F115" i="42"/>
  <c r="G22" i="27" s="1"/>
  <c r="F99" i="42"/>
  <c r="G19" i="27" s="1"/>
  <c r="G142" i="42"/>
  <c r="F128" i="42"/>
  <c r="G25" i="27" s="1"/>
  <c r="F159" i="42"/>
  <c r="G30" i="27" s="1"/>
  <c r="F120" i="42"/>
  <c r="G23" i="27" s="1"/>
  <c r="F104" i="42"/>
  <c r="G20" i="27" s="1"/>
  <c r="F108" i="42"/>
  <c r="G21" i="27" s="1"/>
  <c r="K156" i="42"/>
  <c r="K157" i="42"/>
  <c r="L157" i="42" s="1"/>
  <c r="K158" i="42"/>
  <c r="L158" i="42" s="1"/>
  <c r="K155" i="42"/>
  <c r="L155" i="42" s="1"/>
  <c r="E156" i="42"/>
  <c r="E157" i="42"/>
  <c r="E158" i="42"/>
  <c r="E155" i="42"/>
  <c r="K148" i="42"/>
  <c r="L148" i="42" s="1"/>
  <c r="K149" i="42"/>
  <c r="L149" i="42" s="1"/>
  <c r="K151" i="42"/>
  <c r="L151" i="42" s="1"/>
  <c r="K147" i="42"/>
  <c r="L147" i="42" s="1"/>
  <c r="H78" i="42" l="1"/>
  <c r="L152" i="42"/>
  <c r="L29" i="27" s="1"/>
  <c r="H153" i="42"/>
  <c r="K152" i="42"/>
  <c r="K159" i="42"/>
  <c r="L156" i="42"/>
  <c r="E148" i="42"/>
  <c r="E149" i="42"/>
  <c r="E151" i="42"/>
  <c r="E147" i="42"/>
  <c r="K144" i="42"/>
  <c r="L144" i="42" s="1"/>
  <c r="K145" i="42"/>
  <c r="L145" i="42" s="1"/>
  <c r="K143" i="42"/>
  <c r="L143" i="42" s="1"/>
  <c r="E144" i="42"/>
  <c r="E145" i="42"/>
  <c r="E143" i="42"/>
  <c r="K138" i="42"/>
  <c r="L138" i="42" s="1"/>
  <c r="K139" i="42"/>
  <c r="L139" i="42" s="1"/>
  <c r="K140" i="42"/>
  <c r="L140" i="42" s="1"/>
  <c r="K137" i="42"/>
  <c r="L137" i="42" s="1"/>
  <c r="E138" i="42"/>
  <c r="E139" i="42"/>
  <c r="E140" i="42"/>
  <c r="E137" i="42"/>
  <c r="K131" i="42"/>
  <c r="L131" i="42" s="1"/>
  <c r="K132" i="42"/>
  <c r="L132" i="42" s="1"/>
  <c r="K133" i="42"/>
  <c r="L133" i="42" s="1"/>
  <c r="K129" i="42"/>
  <c r="L129" i="42" s="1"/>
  <c r="E131" i="42"/>
  <c r="E132" i="42"/>
  <c r="E133" i="42"/>
  <c r="E129" i="42"/>
  <c r="K127" i="42"/>
  <c r="E127" i="42"/>
  <c r="K122" i="42"/>
  <c r="L122" i="42" s="1"/>
  <c r="K124" i="42"/>
  <c r="L124" i="42" s="1"/>
  <c r="K121" i="42"/>
  <c r="E122" i="42"/>
  <c r="E124" i="42"/>
  <c r="E121" i="42"/>
  <c r="K117" i="42"/>
  <c r="K118" i="42"/>
  <c r="L118" i="42" s="1"/>
  <c r="E118" i="42"/>
  <c r="E117" i="42"/>
  <c r="L115" i="42"/>
  <c r="L22" i="27" s="1"/>
  <c r="K107" i="42"/>
  <c r="L107" i="42" s="1"/>
  <c r="H107" i="42"/>
  <c r="G107" i="42"/>
  <c r="E107" i="42"/>
  <c r="K100" i="42"/>
  <c r="L100" i="42" s="1"/>
  <c r="E100" i="42"/>
  <c r="K93" i="42"/>
  <c r="L93" i="42" s="1"/>
  <c r="H93" i="42"/>
  <c r="G93" i="42"/>
  <c r="G99" i="42" s="1"/>
  <c r="E93" i="42"/>
  <c r="K89" i="42"/>
  <c r="L89" i="42" s="1"/>
  <c r="L90" i="42"/>
  <c r="E89" i="42"/>
  <c r="L79" i="42"/>
  <c r="L80" i="42"/>
  <c r="L81" i="42"/>
  <c r="K78" i="42"/>
  <c r="G79" i="42"/>
  <c r="G81" i="42"/>
  <c r="G78" i="42"/>
  <c r="E21" i="42"/>
  <c r="E20" i="42"/>
  <c r="E19" i="42"/>
  <c r="E18" i="42"/>
  <c r="E17" i="42"/>
  <c r="E16" i="42"/>
  <c r="E15" i="42"/>
  <c r="E14" i="42"/>
  <c r="E13" i="42"/>
  <c r="E12" i="42"/>
  <c r="E11" i="42"/>
  <c r="E10" i="42"/>
  <c r="E9" i="42"/>
  <c r="E8" i="42"/>
  <c r="E7" i="42"/>
  <c r="E6" i="42"/>
  <c r="E5" i="42"/>
  <c r="E4" i="42"/>
  <c r="K86" i="42" l="1"/>
  <c r="L78" i="42"/>
  <c r="L86" i="42" s="1"/>
  <c r="L17" i="27" s="1"/>
  <c r="L127" i="42"/>
  <c r="L128" i="42" s="1"/>
  <c r="L25" i="27" s="1"/>
  <c r="K128" i="42"/>
  <c r="L146" i="42"/>
  <c r="L28" i="27" s="1"/>
  <c r="L135" i="42"/>
  <c r="L26" i="27" s="1"/>
  <c r="L141" i="42"/>
  <c r="L27" i="27" s="1"/>
  <c r="L76" i="42"/>
  <c r="L16" i="27" s="1"/>
  <c r="K146" i="42"/>
  <c r="K141" i="42"/>
  <c r="K135" i="42"/>
  <c r="H108" i="42"/>
  <c r="K108" i="42"/>
  <c r="K120" i="42"/>
  <c r="K104" i="42"/>
  <c r="K125" i="42"/>
  <c r="L121" i="42"/>
  <c r="L125" i="42" s="1"/>
  <c r="L24" i="27" s="1"/>
  <c r="L108" i="42"/>
  <c r="L21" i="27" s="1"/>
  <c r="K99" i="42"/>
  <c r="K115" i="42"/>
  <c r="L117" i="42"/>
  <c r="L104" i="42"/>
  <c r="L20" i="27" s="1"/>
  <c r="K92" i="42"/>
  <c r="L99" i="42"/>
  <c r="L19" i="27" s="1"/>
  <c r="K76" i="42"/>
  <c r="L92" i="42"/>
  <c r="L18" i="27" s="1"/>
  <c r="L120" i="42" l="1"/>
  <c r="L23" i="27" s="1"/>
  <c r="E64" i="42" l="1"/>
  <c r="E46" i="42"/>
  <c r="K46" i="42"/>
  <c r="L46" i="42" s="1"/>
  <c r="H46" i="42"/>
  <c r="G46" i="42"/>
  <c r="E59" i="42"/>
  <c r="E52" i="42"/>
  <c r="E49" i="42"/>
  <c r="E36" i="42"/>
  <c r="E47" i="42"/>
  <c r="E50" i="42"/>
  <c r="E54" i="42"/>
  <c r="K36" i="42"/>
  <c r="L36" i="42" s="1"/>
  <c r="E32" i="42"/>
  <c r="F35" i="42" l="1"/>
  <c r="G13" i="27" s="1"/>
  <c r="G31" i="27" s="1"/>
  <c r="L62" i="42"/>
  <c r="L15" i="27" s="1"/>
  <c r="L45" i="42"/>
  <c r="L14" i="27" s="1"/>
  <c r="K62" i="42"/>
  <c r="K45" i="42"/>
  <c r="D15" i="40"/>
  <c r="E15" i="40" s="1"/>
  <c r="K32" i="42"/>
  <c r="L32" i="42" s="1"/>
  <c r="C37" i="27"/>
  <c r="D9" i="40"/>
  <c r="E9" i="40" s="1"/>
  <c r="A37" i="40"/>
  <c r="A61" i="40" s="1"/>
  <c r="A67" i="40" s="1"/>
  <c r="A74" i="40" s="1"/>
  <c r="A79" i="40" s="1"/>
  <c r="A83" i="40" s="1"/>
  <c r="D133" i="40"/>
  <c r="D132" i="40"/>
  <c r="D131" i="40"/>
  <c r="D130" i="40"/>
  <c r="D124" i="40"/>
  <c r="E124" i="40" s="1"/>
  <c r="D59" i="40"/>
  <c r="E59" i="40" s="1"/>
  <c r="D55" i="40"/>
  <c r="E55" i="40" s="1"/>
  <c r="D122" i="40"/>
  <c r="E122" i="40" s="1"/>
  <c r="D120" i="40"/>
  <c r="E120" i="40" s="1"/>
  <c r="D48" i="40"/>
  <c r="E48" i="40" s="1"/>
  <c r="D119" i="40"/>
  <c r="E119" i="40" s="1"/>
  <c r="D118" i="40"/>
  <c r="E118" i="40" s="1"/>
  <c r="D44" i="40"/>
  <c r="E44" i="40" s="1"/>
  <c r="D115" i="40"/>
  <c r="E115" i="40" s="1"/>
  <c r="D114" i="40"/>
  <c r="E114" i="40" s="1"/>
  <c r="D42" i="40"/>
  <c r="E42" i="40" s="1"/>
  <c r="D113" i="40"/>
  <c r="E113" i="40" s="1"/>
  <c r="D112" i="40"/>
  <c r="E112" i="40" s="1"/>
  <c r="D108" i="40"/>
  <c r="E108" i="40" s="1"/>
  <c r="D39" i="40"/>
  <c r="E39" i="40" s="1"/>
  <c r="D107" i="40"/>
  <c r="E107" i="40" s="1"/>
  <c r="D106" i="40"/>
  <c r="E106" i="40" s="1"/>
  <c r="D104" i="40"/>
  <c r="D35" i="40"/>
  <c r="E35" i="40" s="1"/>
  <c r="D102" i="40"/>
  <c r="E102" i="40" s="1"/>
  <c r="D25" i="40"/>
  <c r="E25" i="40" s="1"/>
  <c r="D99" i="40"/>
  <c r="E99" i="40" s="1"/>
  <c r="D97" i="40"/>
  <c r="E97" i="40" s="1"/>
  <c r="D24" i="40"/>
  <c r="E24" i="40" s="1"/>
  <c r="D96" i="40"/>
  <c r="D22" i="40"/>
  <c r="E22" i="40" s="1"/>
  <c r="D93" i="40"/>
  <c r="E93" i="40" s="1"/>
  <c r="D17" i="40"/>
  <c r="E17" i="40" s="1"/>
  <c r="D92" i="40"/>
  <c r="D16" i="40"/>
  <c r="E16" i="40" s="1"/>
  <c r="D11" i="40"/>
  <c r="E11" i="40" s="1"/>
  <c r="D75" i="40"/>
  <c r="E75" i="40" s="1"/>
  <c r="D8" i="40"/>
  <c r="E8" i="40" s="1"/>
  <c r="D65" i="40"/>
  <c r="E65" i="40" s="1"/>
  <c r="D7" i="40"/>
  <c r="E7" i="40" s="1"/>
  <c r="D64" i="40"/>
  <c r="E64" i="40" s="1"/>
  <c r="C20" i="52" l="1"/>
  <c r="C19" i="54"/>
  <c r="G19" i="54" s="1"/>
  <c r="G41" i="42"/>
  <c r="G73" i="42"/>
  <c r="G42" i="42"/>
  <c r="H42" i="42"/>
  <c r="G69" i="42"/>
  <c r="G67" i="42"/>
  <c r="H67" i="42"/>
  <c r="G40" i="42"/>
  <c r="E67" i="40"/>
  <c r="E79" i="40"/>
  <c r="E10" i="40"/>
  <c r="H36" i="42"/>
  <c r="E20" i="40"/>
  <c r="G36" i="42"/>
  <c r="G64" i="42"/>
  <c r="E51" i="40"/>
  <c r="E37" i="40"/>
  <c r="H24" i="27"/>
  <c r="H26" i="27"/>
  <c r="H19" i="27"/>
  <c r="H16" i="27"/>
  <c r="H27" i="27"/>
  <c r="H18" i="27"/>
  <c r="H20" i="27"/>
  <c r="H15" i="27"/>
  <c r="H17" i="27"/>
  <c r="H28" i="27"/>
  <c r="H30" i="27"/>
  <c r="H22" i="27"/>
  <c r="H23" i="27"/>
  <c r="H25" i="27"/>
  <c r="H29" i="27"/>
  <c r="H21" i="27"/>
  <c r="G47" i="42"/>
  <c r="H47" i="42"/>
  <c r="H64" i="42"/>
  <c r="H49" i="42"/>
  <c r="G49" i="42"/>
  <c r="H50" i="42"/>
  <c r="G50" i="42"/>
  <c r="H34" i="42"/>
  <c r="G34" i="42"/>
  <c r="H69" i="42"/>
  <c r="H40" i="42"/>
  <c r="H90" i="42"/>
  <c r="H41" i="42"/>
  <c r="G33" i="42"/>
  <c r="H33" i="42"/>
  <c r="G84" i="42"/>
  <c r="H84" i="42"/>
  <c r="H73" i="42"/>
  <c r="G60" i="42"/>
  <c r="G149" i="42"/>
  <c r="H149" i="42"/>
  <c r="E92" i="40"/>
  <c r="E132" i="40"/>
  <c r="E133" i="40"/>
  <c r="E96" i="40"/>
  <c r="E104" i="40"/>
  <c r="E130" i="40"/>
  <c r="H80" i="42"/>
  <c r="E131" i="40"/>
  <c r="L35" i="42"/>
  <c r="G143" i="42"/>
  <c r="H143" i="42"/>
  <c r="H147" i="42"/>
  <c r="G89" i="42"/>
  <c r="G147" i="42"/>
  <c r="G131" i="42"/>
  <c r="H118" i="42"/>
  <c r="G124" i="42"/>
  <c r="H144" i="42"/>
  <c r="H127" i="42"/>
  <c r="G133" i="42"/>
  <c r="H133" i="42"/>
  <c r="G140" i="42"/>
  <c r="H140" i="42"/>
  <c r="G145" i="42"/>
  <c r="G80" i="42"/>
  <c r="G137" i="42"/>
  <c r="G108" i="42"/>
  <c r="J21" i="27" s="1"/>
  <c r="H81" i="42"/>
  <c r="G100" i="42"/>
  <c r="G104" i="42" s="1"/>
  <c r="H100" i="42"/>
  <c r="H79" i="42"/>
  <c r="H145" i="42"/>
  <c r="G90" i="42"/>
  <c r="H122" i="42"/>
  <c r="H131" i="42"/>
  <c r="G138" i="42"/>
  <c r="G132" i="42"/>
  <c r="H124" i="42"/>
  <c r="G127" i="42"/>
  <c r="G118" i="42"/>
  <c r="G122" i="42"/>
  <c r="H132" i="42"/>
  <c r="G139" i="42"/>
  <c r="H138" i="42"/>
  <c r="G144" i="42"/>
  <c r="H139" i="42"/>
  <c r="G32" i="42"/>
  <c r="H32" i="42"/>
  <c r="E121" i="40"/>
  <c r="K35" i="42"/>
  <c r="A90" i="40"/>
  <c r="A95" i="40" s="1"/>
  <c r="A100" i="40" s="1"/>
  <c r="A103" i="40" s="1"/>
  <c r="A110" i="40" s="1"/>
  <c r="A116" i="40" s="1"/>
  <c r="A121" i="40" s="1"/>
  <c r="A127" i="40" s="1"/>
  <c r="E74" i="40"/>
  <c r="E127" i="40"/>
  <c r="H137" i="42"/>
  <c r="H89" i="42"/>
  <c r="E90" i="40"/>
  <c r="E103" i="40"/>
  <c r="E116" i="40"/>
  <c r="E134" i="40" l="1"/>
  <c r="G76" i="42"/>
  <c r="J16" i="27" s="1"/>
  <c r="G45" i="42"/>
  <c r="J14" i="27" s="1"/>
  <c r="E110" i="40"/>
  <c r="G158" i="42"/>
  <c r="H158" i="42"/>
  <c r="G62" i="42"/>
  <c r="J15" i="27" s="1"/>
  <c r="G86" i="42"/>
  <c r="J17" i="27" s="1"/>
  <c r="G92" i="42"/>
  <c r="L159" i="42"/>
  <c r="L30" i="27" s="1"/>
  <c r="L13" i="27"/>
  <c r="H156" i="42"/>
  <c r="H157" i="42"/>
  <c r="G157" i="42"/>
  <c r="H60" i="42"/>
  <c r="E95" i="40"/>
  <c r="G117" i="42"/>
  <c r="G120" i="42" s="1"/>
  <c r="J23" i="27" s="1"/>
  <c r="G155" i="42"/>
  <c r="G121" i="42"/>
  <c r="G125" i="42" s="1"/>
  <c r="J24" i="27" s="1"/>
  <c r="G129" i="42"/>
  <c r="G135" i="42" s="1"/>
  <c r="J26" i="27" s="1"/>
  <c r="E100" i="40"/>
  <c r="G35" i="42"/>
  <c r="G156" i="42"/>
  <c r="G115" i="42"/>
  <c r="J22" i="27" s="1"/>
  <c r="H35" i="42"/>
  <c r="H99" i="42"/>
  <c r="G146" i="42"/>
  <c r="J28" i="27" s="1"/>
  <c r="J19" i="27"/>
  <c r="G12" i="54" s="1"/>
  <c r="G13" i="54" s="1"/>
  <c r="J20" i="27"/>
  <c r="G128" i="42"/>
  <c r="J25" i="27" s="1"/>
  <c r="H141" i="42"/>
  <c r="H76" i="42"/>
  <c r="G152" i="42"/>
  <c r="J29" i="27" s="1"/>
  <c r="H146" i="42"/>
  <c r="G141" i="42"/>
  <c r="J27" i="27" s="1"/>
  <c r="H92" i="42"/>
  <c r="H86" i="42"/>
  <c r="H45" i="42"/>
  <c r="H128" i="42"/>
  <c r="H62" i="42"/>
  <c r="H115" i="42"/>
  <c r="H104" i="42"/>
  <c r="J18" i="27" l="1"/>
  <c r="J13" i="27"/>
  <c r="L31" i="27"/>
  <c r="D60" i="27" s="1"/>
  <c r="H129" i="42"/>
  <c r="H135" i="42" s="1"/>
  <c r="H121" i="42"/>
  <c r="H125" i="42" s="1"/>
  <c r="H155" i="42"/>
  <c r="H159" i="42" s="1"/>
  <c r="H117" i="42"/>
  <c r="H120" i="42" s="1"/>
  <c r="G159" i="42"/>
  <c r="J30" i="27" s="1"/>
  <c r="H152" i="42"/>
  <c r="G13" i="33"/>
  <c r="G10" i="33"/>
  <c r="G11" i="33"/>
  <c r="G12" i="33"/>
  <c r="G14" i="33"/>
  <c r="G15" i="33"/>
  <c r="G16" i="33"/>
  <c r="C12" i="54" l="1"/>
  <c r="C13" i="54" s="1"/>
  <c r="C13" i="52"/>
  <c r="G17" i="33"/>
  <c r="H10" i="33"/>
  <c r="H16" i="33"/>
  <c r="H14" i="33"/>
  <c r="H11" i="33"/>
  <c r="H13" i="33"/>
  <c r="H15" i="33"/>
  <c r="H12" i="33"/>
  <c r="H17" i="33" l="1"/>
  <c r="I13" i="27" l="1"/>
  <c r="F14" i="27" l="1"/>
  <c r="I14" i="27" s="1"/>
  <c r="F30" i="27"/>
  <c r="I30" i="27" s="1"/>
  <c r="F29" i="27"/>
  <c r="I29" i="27" s="1"/>
  <c r="F28" i="27"/>
  <c r="I28" i="27" s="1"/>
  <c r="F27" i="27"/>
  <c r="I27" i="27" s="1"/>
  <c r="F26" i="27"/>
  <c r="I26" i="27" s="1"/>
  <c r="F25" i="27"/>
  <c r="I25" i="27" s="1"/>
  <c r="F24" i="27"/>
  <c r="I24" i="27" s="1"/>
  <c r="F23" i="27"/>
  <c r="I23" i="27" s="1"/>
  <c r="F22" i="27"/>
  <c r="I22" i="27" s="1"/>
  <c r="F21" i="27"/>
  <c r="I21" i="27" s="1"/>
  <c r="F20" i="27"/>
  <c r="I20" i="27" s="1"/>
  <c r="E49" i="27"/>
  <c r="C21" i="52" l="1"/>
  <c r="C20" i="54"/>
  <c r="F72" i="27"/>
  <c r="F76" i="27"/>
  <c r="F80" i="27"/>
  <c r="F84" i="27"/>
  <c r="F73" i="27"/>
  <c r="F77" i="27"/>
  <c r="F81" i="27"/>
  <c r="F85" i="27"/>
  <c r="F71" i="27"/>
  <c r="F79" i="27"/>
  <c r="F83" i="27"/>
  <c r="F69" i="27"/>
  <c r="F70" i="27"/>
  <c r="F74" i="27"/>
  <c r="F78" i="27"/>
  <c r="F82" i="27"/>
  <c r="F86" i="27"/>
  <c r="F75" i="27"/>
  <c r="K23" i="27"/>
  <c r="B79" i="27" s="1"/>
  <c r="K21" i="27"/>
  <c r="K27" i="27"/>
  <c r="B83" i="27" s="1"/>
  <c r="K20" i="27"/>
  <c r="B76" i="27" s="1"/>
  <c r="K24" i="27"/>
  <c r="B80" i="27" s="1"/>
  <c r="K28" i="27"/>
  <c r="B84" i="27" s="1"/>
  <c r="K25" i="27"/>
  <c r="B81" i="27" s="1"/>
  <c r="K29" i="27"/>
  <c r="B85" i="27" s="1"/>
  <c r="K22" i="27"/>
  <c r="B78" i="27" s="1"/>
  <c r="K26" i="27"/>
  <c r="B82" i="27" s="1"/>
  <c r="K30" i="27"/>
  <c r="B86" i="27" s="1"/>
  <c r="K13" i="27"/>
  <c r="B69" i="27" s="1"/>
  <c r="F19" i="27"/>
  <c r="I19" i="27" s="1"/>
  <c r="F18" i="27"/>
  <c r="I18" i="27" s="1"/>
  <c r="F17" i="27"/>
  <c r="I17" i="27" s="1"/>
  <c r="F16" i="27"/>
  <c r="F15" i="27"/>
  <c r="I15" i="27" s="1"/>
  <c r="G20" i="54" l="1"/>
  <c r="G30" i="54" s="1"/>
  <c r="C30" i="54"/>
  <c r="B77" i="27"/>
  <c r="C69" i="27"/>
  <c r="K15" i="27"/>
  <c r="B71" i="27" s="1"/>
  <c r="D85" i="27"/>
  <c r="D82" i="27"/>
  <c r="C82" i="27"/>
  <c r="C76" i="27"/>
  <c r="D76" i="27"/>
  <c r="K17" i="27"/>
  <c r="B73" i="27" s="1"/>
  <c r="D86" i="27"/>
  <c r="C86" i="27"/>
  <c r="C81" i="27"/>
  <c r="D81" i="27"/>
  <c r="C80" i="27"/>
  <c r="D80" i="27"/>
  <c r="D79" i="27"/>
  <c r="C79" i="27"/>
  <c r="C84" i="27"/>
  <c r="D84" i="27"/>
  <c r="D78" i="27"/>
  <c r="C78" i="27"/>
  <c r="D83" i="27"/>
  <c r="C83" i="27"/>
  <c r="K19" i="27"/>
  <c r="B75" i="27" s="1"/>
  <c r="B5" i="56" s="1"/>
  <c r="I16" i="27"/>
  <c r="C20" i="56" l="1"/>
  <c r="C15" i="56"/>
  <c r="C18" i="56"/>
  <c r="C14" i="56"/>
  <c r="C11" i="56"/>
  <c r="C19" i="56"/>
  <c r="C17" i="56"/>
  <c r="C16" i="56"/>
  <c r="C12" i="56"/>
  <c r="C13" i="56"/>
  <c r="C21" i="56"/>
  <c r="G43" i="54"/>
  <c r="I43" i="54" s="1"/>
  <c r="D77" i="27"/>
  <c r="C77" i="27"/>
  <c r="C71" i="27"/>
  <c r="C14" i="52"/>
  <c r="K18" i="27"/>
  <c r="C85" i="27"/>
  <c r="C75" i="27"/>
  <c r="D75" i="27"/>
  <c r="D71" i="27"/>
  <c r="D73" i="27"/>
  <c r="C73" i="27"/>
  <c r="K16" i="27"/>
  <c r="B72" i="27" s="1"/>
  <c r="K14" i="27"/>
  <c r="B70" i="27" s="1"/>
  <c r="G34" i="54" l="1"/>
  <c r="G32" i="54"/>
  <c r="B27" i="56"/>
  <c r="D14" i="56"/>
  <c r="D19" i="56"/>
  <c r="D16" i="56"/>
  <c r="D12" i="56"/>
  <c r="D17" i="56"/>
  <c r="D18" i="56"/>
  <c r="D13" i="56"/>
  <c r="D15" i="56"/>
  <c r="D20" i="56"/>
  <c r="D21" i="56"/>
  <c r="D11" i="56"/>
  <c r="B74" i="27"/>
  <c r="C52" i="52" s="1"/>
  <c r="C72" i="27"/>
  <c r="D70" i="27"/>
  <c r="H23" i="56" l="1"/>
  <c r="B29" i="56"/>
  <c r="E54" i="52"/>
  <c r="F54" i="52" s="1"/>
  <c r="E53" i="52"/>
  <c r="F53" i="52" s="1"/>
  <c r="G42" i="54"/>
  <c r="B8" i="51"/>
  <c r="D74" i="27"/>
  <c r="C74" i="27"/>
  <c r="D72" i="27"/>
  <c r="C70" i="27"/>
  <c r="C33" i="52" l="1"/>
  <c r="C32" i="54"/>
  <c r="I42" i="54"/>
  <c r="G44" i="54"/>
  <c r="I61" i="56"/>
  <c r="I59" i="56"/>
  <c r="I63" i="56"/>
  <c r="I60" i="56"/>
  <c r="I62" i="56"/>
  <c r="I48" i="56"/>
  <c r="I27" i="56"/>
  <c r="C43" i="56"/>
  <c r="C63" i="56"/>
  <c r="C65" i="56"/>
  <c r="C48" i="56"/>
  <c r="C34" i="56"/>
  <c r="C60" i="56"/>
  <c r="C62" i="56"/>
  <c r="C56" i="56"/>
  <c r="C37" i="56"/>
  <c r="I45" i="56"/>
  <c r="I46" i="56"/>
  <c r="I30" i="56"/>
  <c r="C55" i="56"/>
  <c r="C67" i="56"/>
  <c r="C49" i="56"/>
  <c r="C32" i="56"/>
  <c r="C61" i="56"/>
  <c r="C44" i="56"/>
  <c r="C46" i="56"/>
  <c r="C58" i="56"/>
  <c r="C31" i="56"/>
  <c r="I47" i="56"/>
  <c r="I31" i="56"/>
  <c r="I28" i="56"/>
  <c r="C39" i="56"/>
  <c r="C54" i="56"/>
  <c r="C33" i="56"/>
  <c r="C66" i="56"/>
  <c r="C45" i="56"/>
  <c r="C41" i="56"/>
  <c r="C57" i="56"/>
  <c r="C42" i="56"/>
  <c r="C52" i="56"/>
  <c r="C36" i="56"/>
  <c r="I44" i="56"/>
  <c r="I29" i="56"/>
  <c r="C47" i="56"/>
  <c r="C59" i="56"/>
  <c r="C38" i="56"/>
  <c r="C64" i="56"/>
  <c r="C50" i="56"/>
  <c r="C51" i="56"/>
  <c r="C40" i="56"/>
  <c r="C35" i="56"/>
  <c r="C53" i="56"/>
  <c r="C35" i="52"/>
  <c r="C34" i="54"/>
  <c r="H40" i="56"/>
  <c r="H25" i="56"/>
  <c r="C19" i="51"/>
  <c r="C17" i="51"/>
  <c r="C14" i="51"/>
  <c r="C22" i="51"/>
  <c r="C18" i="51"/>
  <c r="C20" i="51"/>
  <c r="B30" i="51"/>
  <c r="C39" i="51" s="1"/>
  <c r="C13" i="51"/>
  <c r="C15" i="51"/>
  <c r="C16" i="51"/>
  <c r="C21" i="51"/>
  <c r="B35" i="9"/>
  <c r="B106" i="9" s="1"/>
  <c r="B46" i="9"/>
  <c r="B111" i="9" s="1"/>
  <c r="B54" i="9"/>
  <c r="B112" i="9" s="1"/>
  <c r="B58" i="9"/>
  <c r="B113" i="9" s="1"/>
  <c r="B67" i="9"/>
  <c r="B115" i="9" s="1"/>
  <c r="B71" i="9"/>
  <c r="B75" i="9"/>
  <c r="B117" i="9" s="1"/>
  <c r="B81" i="9"/>
  <c r="B118" i="9" s="1"/>
  <c r="B85" i="9"/>
  <c r="B119" i="9" s="1"/>
  <c r="B88" i="9"/>
  <c r="B120" i="9" s="1"/>
  <c r="B94" i="9"/>
  <c r="B121" i="9" s="1"/>
  <c r="B128" i="9"/>
  <c r="B127" i="9" s="1"/>
  <c r="B100" i="9"/>
  <c r="B101" i="9"/>
  <c r="B102" i="9"/>
  <c r="B103" i="9"/>
  <c r="B104" i="9"/>
  <c r="B105" i="9"/>
  <c r="B114" i="9"/>
  <c r="B116" i="9"/>
  <c r="H42" i="56" l="1"/>
  <c r="H55" i="56"/>
  <c r="H57" i="56" s="1"/>
  <c r="C40" i="51"/>
  <c r="B33" i="51"/>
  <c r="C38" i="51"/>
  <c r="B107" i="9"/>
  <c r="B108" i="9" s="1"/>
  <c r="B132" i="9" s="1"/>
  <c r="B122" i="9"/>
  <c r="B133" i="9" s="1"/>
  <c r="B134" i="9" l="1"/>
  <c r="B137" i="9" l="1"/>
  <c r="D69"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Torbjørn Kristensen</author>
  </authors>
  <commentList>
    <comment ref="C56" authorId="0" shapeId="0" xr:uid="{190F1D98-1B0E-C445-941E-97EDF4038BE0}">
      <text>
        <r>
          <rPr>
            <b/>
            <sz val="9"/>
            <color indexed="81"/>
            <rFont val="Tahoma"/>
            <family val="2"/>
          </rPr>
          <t>Torbjørn Kristensen:</t>
        </r>
        <r>
          <rPr>
            <sz val="9"/>
            <color indexed="81"/>
            <rFont val="Tahoma"/>
            <family val="2"/>
          </rPr>
          <t xml:space="preserve">
Justert til rett pris for trekkvogn og tralle
</t>
        </r>
      </text>
    </comment>
    <comment ref="C90" authorId="0" shapeId="0" xr:uid="{27620CCF-489B-D640-AF78-72CEC3103BF1}">
      <text>
        <r>
          <rPr>
            <b/>
            <sz val="9"/>
            <color indexed="81"/>
            <rFont val="Tahoma"/>
            <family val="2"/>
          </rPr>
          <t>Torbjørn Kristensen:</t>
        </r>
        <r>
          <rPr>
            <sz val="9"/>
            <color indexed="81"/>
            <rFont val="Tahoma"/>
            <family val="2"/>
          </rPr>
          <t xml:space="preserve">
Hansker og sko
</t>
        </r>
      </text>
    </comment>
    <comment ref="C95" authorId="0" shapeId="0" xr:uid="{A0EBA1A9-9B9C-D84B-BF97-5284E2FC5FCA}">
      <text>
        <r>
          <rPr>
            <b/>
            <sz val="9"/>
            <color indexed="81"/>
            <rFont val="Tahoma"/>
            <family val="2"/>
          </rPr>
          <t>Torbjørn Kristensen:</t>
        </r>
        <r>
          <rPr>
            <sz val="9"/>
            <color indexed="81"/>
            <rFont val="Tahoma"/>
            <family val="2"/>
          </rPr>
          <t xml:space="preserve">
parkering av Semi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dm AS Medlem BI DM Medlem" description="Avregning" type="5" refreshedVersion="6" background="1" saveData="1">
    <dbPr connection="Provider=MSOLAP.8;Integrated Security=SSPI;Persist Security Info=True;Initial Catalog=AS Medlem;Data Source=dm;MDX Compatibility=1;Safety Options=2;MDX Missing Member Mode=Error;Update Isolation Level=2" command="BI DM Medlem" commandType="1"/>
    <olapPr sendLocale="1" rowDrillCount="1000"/>
  </connection>
  <connection id="2" xr16:uid="{00000000-0015-0000-FFFF-FFFF01000000}" keepAlive="1" name="dm AS Medlem BI DM Medlem1" description="Avregning" type="5" refreshedVersion="6" background="1" saveData="1">
    <dbPr connection="Provider=MSOLAP.7;Integrated Security=SSPI;Persist Security Info=True;Initial Catalog=AS Medlem;Data Source=dm;MDX Compatibility=1;Safety Options=2;MDX Missing Member Mode=Error;Update Isolation Level=2" command="BI DM Medlem"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1">
    <s v="dm AS Medlem BI DM Medlem1"/>
    <s v="{[Vare].[Varevariantkode].&amp;[00],[Vare].[Varevariantkode].&amp;[01],[Vare].[Varevariantkode].&amp;[02],[Vare].[Varevariantkode].&amp;[03],[Vare].[Varevariantkode].&amp;[04],[Vare].[Varevariantkode].&amp;[06],[Vare].[Varevariantkode].&amp;[07],[Vare].[Varevariantkode].&amp;[08],[Vare].[Varevariantkode].&amp;[10],[Vare].[Varevariantkode].&amp;[11],[Vare].[Varevariantkode].&amp;[12],[Vare].[Varevariantkode].&amp;[13],[Vare].[Varevariantkode].&amp;[21],[Vare].[Varevariantkode].&amp;[23],[Vare].[Varevariantkode].&amp;[24],[Vare].[Varevariantkode].&amp;[30],[Vare].[Varevariantkode].&amp;[31],[Vare].[Varevariantkode].&amp;[32],[Vare].[Varevariantkode].&amp;[40],[Vare].[Varevariantkode].&amp;[41],[Vare].[Varevariantkode].&amp;[42],[Vare].[Varevariantkode].&amp;[43],[Vare].[Varevariantkode].&amp;[44],[Vare].[Varevariantkode].&amp;[51],[Vare].[Varevariantkode].&amp;[52],[Vare].[Varevariantkode].&amp;[61],[Vare].[Varevariantkode].&amp;[62],[Vare].[Varevariantkode].&amp;[63],[Vare].[Varevariantkode].&amp;[64],[Vare].[Varevariantkode].&amp;[71],[Vare].[Varevariantkode].&amp;[72],[Vare].[Varevariantkode].&amp;[87],[Vare].[Varevariantkode].&amp;[88],[Vare].[Varevariantkode].&amp;[90],[Vare].[Varevariantkode].&amp;[96],[Vare].[Varevariantkode].&amp;[97],[Vare].[Varevariantkode].&amp;[Ukjent]}"/>
    <s v="{[Vare].[Avregningstype hierarki].[Avregningsundertype].&amp;[1. Slakt, ull og egg]&amp;[Gris],[Vare].[Avregningstype hierarki].[Avregningsundertype].&amp;[1. Slakt, ull og egg]&amp;[Småfe],[Vare].[Avregningstype hierarki].[Avregningsundertype].&amp;[1. Slakt, ull og egg]&amp;[Storfe]}"/>
    <s v="{[Mottatt Periode].[Regnskaps År - Måned - Dag].[Regnskapsår].&amp;[2018]}"/>
    <s v="{[Leverandør].[Produsentgeografi].[Alle]}"/>
    <s v="dm AS Medlem BI DM Medlem"/>
    <s v="{[Leverandør].[Produsentgeografi].[Fylke].&amp;[04],[Leverandør].[Produsentgeografi].[Fylke].&amp;[05]}"/>
    <s v="{[Leverandør].[Leverandoer Gruppe].&amp;[Dyretransportører]}"/>
    <s v="{[Vare].[Varevariantkode].[Alle]}"/>
    <s v="{[Vare].[Avregningstype hierarki].[Avregningstype1].[GROUPMEMBER.[AvregningsundertypeXl_Grp_1]].[Vare]].[Avregningstype hierarki]].[Avregningstype]].&amp;[5. Avregning transport]]]}"/>
    <s v="{[Leverandør].[Leverandoernr Navn Hoved].[Alle]}"/>
  </metadataStrings>
  <mdxMetadata count="11">
    <mdx n="0" f="s">
      <ms ns="1" c="0"/>
    </mdx>
    <mdx n="0" f="s">
      <ms ns="2" c="0"/>
    </mdx>
    <mdx n="0" f="s">
      <ms ns="3" c="0"/>
    </mdx>
    <mdx n="0" f="s">
      <ms ns="4" c="0"/>
    </mdx>
    <mdx n="5" f="s">
      <ms ns="1" c="0"/>
    </mdx>
    <mdx n="5" f="s">
      <ms ns="3" c="0"/>
    </mdx>
    <mdx n="5" f="s">
      <ms ns="6" c="0"/>
    </mdx>
    <mdx n="5" f="s">
      <ms ns="7" c="0"/>
    </mdx>
    <mdx n="5" f="s">
      <ms ns="8" c="0"/>
    </mdx>
    <mdx n="5" f="s">
      <ms ns="9" c="0"/>
    </mdx>
    <mdx n="5" f="s">
      <ms ns="10" c="0"/>
    </mdx>
  </mdxMetadata>
  <valueMetadata count="11">
    <bk>
      <rc t="1" v="0"/>
    </bk>
    <bk>
      <rc t="1" v="1"/>
    </bk>
    <bk>
      <rc t="1" v="2"/>
    </bk>
    <bk>
      <rc t="1" v="3"/>
    </bk>
    <bk>
      <rc t="1" v="4"/>
    </bk>
    <bk>
      <rc t="1" v="5"/>
    </bk>
    <bk>
      <rc t="1" v="6"/>
    </bk>
    <bk>
      <rc t="1" v="7"/>
    </bk>
    <bk>
      <rc t="1" v="8"/>
    </bk>
    <bk>
      <rc t="1" v="9"/>
    </bk>
    <bk>
      <rc t="1" v="10"/>
    </bk>
  </valueMetadata>
</metadata>
</file>

<file path=xl/sharedStrings.xml><?xml version="1.0" encoding="utf-8"?>
<sst xmlns="http://schemas.openxmlformats.org/spreadsheetml/2006/main" count="4521" uniqueCount="1725">
  <si>
    <t>km/år</t>
  </si>
  <si>
    <t>FASTE KOSTNADER</t>
  </si>
  <si>
    <t>kr</t>
  </si>
  <si>
    <t>år</t>
  </si>
  <si>
    <t>%</t>
  </si>
  <si>
    <t>Forsikring</t>
  </si>
  <si>
    <t>kr/år</t>
  </si>
  <si>
    <t>Administrasjon</t>
  </si>
  <si>
    <t>Vektårsavgift</t>
  </si>
  <si>
    <t>kr/km</t>
  </si>
  <si>
    <t>LØNNSKOSTNADER</t>
  </si>
  <si>
    <t>kr/t</t>
  </si>
  <si>
    <t>km/t</t>
  </si>
  <si>
    <t>km</t>
  </si>
  <si>
    <t>Avskrivning chassis</t>
  </si>
  <si>
    <t>Avskrivning påbygg</t>
  </si>
  <si>
    <t>VARIABLE KOSTNADER</t>
  </si>
  <si>
    <t>Rentekostnad</t>
  </si>
  <si>
    <t>INPUT</t>
  </si>
  <si>
    <t>Lønnskostnad</t>
  </si>
  <si>
    <t>Løyvegaranti</t>
  </si>
  <si>
    <t>Kjetting</t>
  </si>
  <si>
    <t>t</t>
  </si>
  <si>
    <t>min</t>
  </si>
  <si>
    <t>Kjøretid</t>
  </si>
  <si>
    <t>Turpris</t>
  </si>
  <si>
    <t>Service</t>
  </si>
  <si>
    <t>BIL 1</t>
  </si>
  <si>
    <t>Avtale:</t>
  </si>
  <si>
    <t>Sigve Krageboen</t>
  </si>
  <si>
    <t>SEMI</t>
  </si>
  <si>
    <t>Fra dato:</t>
  </si>
  <si>
    <t>PD 36820</t>
  </si>
  <si>
    <t>Euro 5</t>
  </si>
  <si>
    <t>PZ 8987</t>
  </si>
  <si>
    <t>Antall biler</t>
  </si>
  <si>
    <t>stk</t>
  </si>
  <si>
    <t>Helge</t>
  </si>
  <si>
    <t>Sum km pr år</t>
  </si>
  <si>
    <t>INPUT:</t>
  </si>
  <si>
    <t>Chassis</t>
  </si>
  <si>
    <t xml:space="preserve">Innkjøpspris eks. dekk </t>
  </si>
  <si>
    <t>Avskrivningstid</t>
  </si>
  <si>
    <t>Restverdi i %</t>
  </si>
  <si>
    <t>Restverdi i kr</t>
  </si>
  <si>
    <t>Påbygg</t>
  </si>
  <si>
    <t>Innkjøpspris</t>
  </si>
  <si>
    <t>Renter</t>
  </si>
  <si>
    <t>Grunnlag</t>
  </si>
  <si>
    <t>Rentesats</t>
  </si>
  <si>
    <t>Forsikring/vektårsavgift/løyvegaranti</t>
  </si>
  <si>
    <t>Forsikring matriell</t>
  </si>
  <si>
    <t>Eurostandard</t>
  </si>
  <si>
    <t>Vektårsavgift tilhenger</t>
  </si>
  <si>
    <t>Drivstoff</t>
  </si>
  <si>
    <t>Pris pr liter</t>
  </si>
  <si>
    <t>kr/liter</t>
  </si>
  <si>
    <t>Liter pr km</t>
  </si>
  <si>
    <t>liter</t>
  </si>
  <si>
    <t>Liter pr år</t>
  </si>
  <si>
    <t>Gj.sn. hastighet</t>
  </si>
  <si>
    <t>Tillegg AD Blue</t>
  </si>
  <si>
    <t>Dieselkostnad pr km</t>
  </si>
  <si>
    <t>Dekk</t>
  </si>
  <si>
    <t>Antall dekk på bil</t>
  </si>
  <si>
    <t>Pris pr dekk</t>
  </si>
  <si>
    <t>Distanse pr dekk</t>
  </si>
  <si>
    <t>Antall dekk pr år</t>
  </si>
  <si>
    <t>Dekkostnad pr km</t>
  </si>
  <si>
    <t>Sum Kjetting</t>
  </si>
  <si>
    <t>Kjettingkostnad pr km</t>
  </si>
  <si>
    <t>Årskostnad</t>
  </si>
  <si>
    <t>Servicekostnad pr km</t>
  </si>
  <si>
    <t>Rep. og vedlikehold av påbygg</t>
  </si>
  <si>
    <t>Sum rep. og vedlikehold</t>
  </si>
  <si>
    <t>kostnad rep. og vedlikehold pr km</t>
  </si>
  <si>
    <t>Skade</t>
  </si>
  <si>
    <t>Sum skade</t>
  </si>
  <si>
    <t xml:space="preserve">Skadekostnad pr km </t>
  </si>
  <si>
    <t>Telefonkostnader</t>
  </si>
  <si>
    <t>Sum telefon</t>
  </si>
  <si>
    <t>Telefonkostnad pr km</t>
  </si>
  <si>
    <t>Andre sjåførkostnader</t>
  </si>
  <si>
    <t>Diettdager</t>
  </si>
  <si>
    <t>dager</t>
  </si>
  <si>
    <t>Diettsats pr dag</t>
  </si>
  <si>
    <t>Sum diett</t>
  </si>
  <si>
    <t>Diettkostnad pr km</t>
  </si>
  <si>
    <t>Antall vask kjeledress</t>
  </si>
  <si>
    <t>Kostnad pr vask</t>
  </si>
  <si>
    <t>Kostnad vask kjeledress pr km</t>
  </si>
  <si>
    <t xml:space="preserve">Andre kostnader </t>
  </si>
  <si>
    <t>Sum andre kostnader pr km</t>
  </si>
  <si>
    <t>Bruk av personbil</t>
  </si>
  <si>
    <t>Antall km</t>
  </si>
  <si>
    <t xml:space="preserve">Sats pr km </t>
  </si>
  <si>
    <t>Beløp bruk personbil</t>
  </si>
  <si>
    <t>Kostnader bruk av personbil pr km</t>
  </si>
  <si>
    <t>Utlønnende timer</t>
  </si>
  <si>
    <t xml:space="preserve">Total lønnskostnad </t>
  </si>
  <si>
    <t>ÅRSKALKYLE</t>
  </si>
  <si>
    <t>Faste kostnader pr km</t>
  </si>
  <si>
    <t xml:space="preserve">Dieselkostnad pr km </t>
  </si>
  <si>
    <t xml:space="preserve">Dekkostnad pr km </t>
  </si>
  <si>
    <t>Kostnad kjetting pr km</t>
  </si>
  <si>
    <t>Rep. og vedlikehold kostnad pr km</t>
  </si>
  <si>
    <t>Skadekostnad pr km</t>
  </si>
  <si>
    <t>Andre kostnader pr km</t>
  </si>
  <si>
    <t>OPPSUMMERING</t>
  </si>
  <si>
    <t>TURPRIS</t>
  </si>
  <si>
    <t>SUM faste kostnader</t>
  </si>
  <si>
    <t>SUM variable kostnader pr km</t>
  </si>
  <si>
    <t>Adminiastrasjon</t>
  </si>
  <si>
    <t>SUM NETTO KOSTNADER PR KM</t>
  </si>
  <si>
    <t>Fortjeneste</t>
  </si>
  <si>
    <t>SUM BRUTTO KOSTNADER PR KM</t>
  </si>
  <si>
    <t>Pris pr km</t>
  </si>
  <si>
    <t>Antall turer</t>
  </si>
  <si>
    <t>Lossetid</t>
  </si>
  <si>
    <t>Lastetid</t>
  </si>
  <si>
    <t>Kommune</t>
  </si>
  <si>
    <t xml:space="preserve">min </t>
  </si>
  <si>
    <t>Antall årlige kilometer</t>
  </si>
  <si>
    <t>Variable kostnader pr km</t>
  </si>
  <si>
    <t>Tidsprosesser</t>
  </si>
  <si>
    <t>Fast administrativ tid</t>
  </si>
  <si>
    <t>Ventetid pr stopp</t>
  </si>
  <si>
    <t>SONE 1</t>
  </si>
  <si>
    <t>SONE 2</t>
  </si>
  <si>
    <t>SONE 3</t>
  </si>
  <si>
    <t>SONE 4</t>
  </si>
  <si>
    <t>SONE 5</t>
  </si>
  <si>
    <t>SONE 6</t>
  </si>
  <si>
    <t>SONE 7</t>
  </si>
  <si>
    <t>SONE 8</t>
  </si>
  <si>
    <t>SONE 9</t>
  </si>
  <si>
    <t>SONE 10</t>
  </si>
  <si>
    <t>SONE 11</t>
  </si>
  <si>
    <t>SONE 12</t>
  </si>
  <si>
    <t>SONE 13</t>
  </si>
  <si>
    <t>SONE 14</t>
  </si>
  <si>
    <t>SONE 15</t>
  </si>
  <si>
    <t>SONE 16</t>
  </si>
  <si>
    <t>SONE 17</t>
  </si>
  <si>
    <t>SONE 18</t>
  </si>
  <si>
    <t>Kapasitet bil 1</t>
  </si>
  <si>
    <t>gris</t>
  </si>
  <si>
    <t>Tillegg pr stopp</t>
  </si>
  <si>
    <t xml:space="preserve">I beregningene antar vi at kapasiteten på bilen er </t>
  </si>
  <si>
    <t xml:space="preserve">Gj.sn antall gris på bilen </t>
  </si>
  <si>
    <t>Fremmøtekostnad</t>
  </si>
  <si>
    <t>FRA</t>
  </si>
  <si>
    <t>TIL</t>
  </si>
  <si>
    <t>Gj.sn hastighet km/t</t>
  </si>
  <si>
    <t>Gj.sn kjøretid i timer</t>
  </si>
  <si>
    <t>Tønsberg</t>
  </si>
  <si>
    <t>For å se oppdragskalkyle i de ulike sonene, se arket "soneinndeling"</t>
  </si>
  <si>
    <t>SUM FASTE KOSTNADER PR KM</t>
  </si>
  <si>
    <t>SUM VARIABLE KOSTNADER PR KM</t>
  </si>
  <si>
    <t>Sone</t>
  </si>
  <si>
    <t xml:space="preserve">Antall kjøresedler </t>
  </si>
  <si>
    <t>Utnyttelsesgrad</t>
  </si>
  <si>
    <t>Kapasitet bil</t>
  </si>
  <si>
    <t>Gj.sn antall gris per tur</t>
  </si>
  <si>
    <t>Gj.sn antall gris på bil</t>
  </si>
  <si>
    <t>Gj.sn utnyttelsesgad</t>
  </si>
  <si>
    <t>AVSTAND</t>
  </si>
  <si>
    <t>pris pr gris</t>
  </si>
  <si>
    <t>SUM betalt hver sone tur/retur</t>
  </si>
  <si>
    <t>Sone 1 hele sonen</t>
  </si>
  <si>
    <t>TOTAL MERKOSTNAD</t>
  </si>
  <si>
    <t>Avstand en vei</t>
  </si>
  <si>
    <t>Antall gris per år</t>
  </si>
  <si>
    <t>Antall stopp utover 1</t>
  </si>
  <si>
    <t>Prosent betalt i sonen</t>
  </si>
  <si>
    <t>Pris per gris</t>
  </si>
  <si>
    <t>Pris per km</t>
  </si>
  <si>
    <t>Atall gris fraktet</t>
  </si>
  <si>
    <t>Antall km kjørt</t>
  </si>
  <si>
    <t>Antall gris utgangspunkt</t>
  </si>
  <si>
    <t>Avvik</t>
  </si>
  <si>
    <t xml:space="preserve">Hvis Nortura velger at transportør skal ha betalt for 50 % i sonen (277 km) , men de faktiske antall km er på 300 km, vil turprisen som egentlig er på 6675 nåer på 7229. Hadde de fra start valgt å basere turprisen på at de skal få betalt for 100 % i sonen ville turprisen da blitt 7128. Det betyr at om de kjører 50% mer enn beregnet vil turprien kun øke med </t>
  </si>
  <si>
    <t>og det antas at sannsynligheten for at de alltid kjører så mye over er lite sannsynlig, og at også i noen tilefeller vil kjøre færre kilometer slik at den lille summen gjevner seg ut</t>
  </si>
  <si>
    <t xml:space="preserve">Pris per gris beregnes ut ifra en utnyttelsesgrad på 54%. Hvis transportør klarer åutnytte tilen 100 prosent samtidig som antall km er 300 km vil den bergnede turprisen på antall gris være 11590 kr, men den beregnede turprisen er 6674. Dette gir et avvik på 4916 kr. Vi kan se at et avvik i antall gris gir større konsekvenser enn et avvik i antall km. </t>
  </si>
  <si>
    <t>Avstand tur/retur</t>
  </si>
  <si>
    <t>Beregnet kjøretid tur/retur</t>
  </si>
  <si>
    <t>Beregnet på utnyttelsesgrad over</t>
  </si>
  <si>
    <t>Differanse</t>
  </si>
  <si>
    <t xml:space="preserve">Andel km betalt innenfor sone </t>
  </si>
  <si>
    <t>Tillegg per stopp</t>
  </si>
  <si>
    <t>Prosent i sonen</t>
  </si>
  <si>
    <t>Antall turer tur/retur</t>
  </si>
  <si>
    <t>Halden</t>
  </si>
  <si>
    <t>Sarpsborg</t>
  </si>
  <si>
    <t>Fredrikstad</t>
  </si>
  <si>
    <t>Marker</t>
  </si>
  <si>
    <t>Trøgstad</t>
  </si>
  <si>
    <t>Spydeberg</t>
  </si>
  <si>
    <t>Askim</t>
  </si>
  <si>
    <t>Rakkestad</t>
  </si>
  <si>
    <t>Rygge</t>
  </si>
  <si>
    <t>Hobøl</t>
  </si>
  <si>
    <t>Vestby</t>
  </si>
  <si>
    <t>Bærum</t>
  </si>
  <si>
    <t>Asker</t>
  </si>
  <si>
    <t>Aurskog-Høland</t>
  </si>
  <si>
    <t>Enebakk</t>
  </si>
  <si>
    <t>Lørenskog</t>
  </si>
  <si>
    <t>Nes</t>
  </si>
  <si>
    <t>Drammen</t>
  </si>
  <si>
    <t>Kongsberg</t>
  </si>
  <si>
    <t>Ringerike</t>
  </si>
  <si>
    <t>Hole</t>
  </si>
  <si>
    <t>Flå</t>
  </si>
  <si>
    <t>Gol</t>
  </si>
  <si>
    <t>Hemsedal</t>
  </si>
  <si>
    <t>Ål</t>
  </si>
  <si>
    <t>Hol</t>
  </si>
  <si>
    <t>Sigdal</t>
  </si>
  <si>
    <t>Krødsherad</t>
  </si>
  <si>
    <t>Modum</t>
  </si>
  <si>
    <t>Lier</t>
  </si>
  <si>
    <t>Røyken</t>
  </si>
  <si>
    <t>Hurum</t>
  </si>
  <si>
    <t>Rollag</t>
  </si>
  <si>
    <t>Horten</t>
  </si>
  <si>
    <t>Sandefjord</t>
  </si>
  <si>
    <t>Sande</t>
  </si>
  <si>
    <t>Re</t>
  </si>
  <si>
    <t>Porsgrunn</t>
  </si>
  <si>
    <t>Skien</t>
  </si>
  <si>
    <t>Notodden</t>
  </si>
  <si>
    <t>Siljan</t>
  </si>
  <si>
    <t>Bamble</t>
  </si>
  <si>
    <t>Kragerø</t>
  </si>
  <si>
    <t>Drangedal</t>
  </si>
  <si>
    <t>Nome</t>
  </si>
  <si>
    <t>Sauherad</t>
  </si>
  <si>
    <t>Tinn</t>
  </si>
  <si>
    <t>Hjartdal</t>
  </si>
  <si>
    <t>Seljord</t>
  </si>
  <si>
    <t>Kviteseid</t>
  </si>
  <si>
    <t>Fyresdal</t>
  </si>
  <si>
    <t>Tokke</t>
  </si>
  <si>
    <t>Vinje</t>
  </si>
  <si>
    <t>Grimstad</t>
  </si>
  <si>
    <t>Vegårshei</t>
  </si>
  <si>
    <t>Tvedestrand</t>
  </si>
  <si>
    <t>Froland</t>
  </si>
  <si>
    <t>Birkenes</t>
  </si>
  <si>
    <t>Iveland</t>
  </si>
  <si>
    <t>Bygland</t>
  </si>
  <si>
    <t>Mandal</t>
  </si>
  <si>
    <t>Farsund</t>
  </si>
  <si>
    <t>Flekkefjord</t>
  </si>
  <si>
    <t>Vennesla</t>
  </si>
  <si>
    <t>Søgne</t>
  </si>
  <si>
    <t>Marnardal</t>
  </si>
  <si>
    <t>Audnedal</t>
  </si>
  <si>
    <t>Lindesnes</t>
  </si>
  <si>
    <t>Lyngdal</t>
  </si>
  <si>
    <t>Hægebostad</t>
  </si>
  <si>
    <t>Kvinesdal</t>
  </si>
  <si>
    <t>Kristiansand</t>
  </si>
  <si>
    <t>Sandnes</t>
  </si>
  <si>
    <t>Sokndal</t>
  </si>
  <si>
    <t>Lund</t>
  </si>
  <si>
    <t>Bjerkreim</t>
  </si>
  <si>
    <t>Hå</t>
  </si>
  <si>
    <t>Klepp</t>
  </si>
  <si>
    <t>Time</t>
  </si>
  <si>
    <t>Gjesdal</t>
  </si>
  <si>
    <t>Hjelmeland</t>
  </si>
  <si>
    <t>Suldal</t>
  </si>
  <si>
    <t>Sauda</t>
  </si>
  <si>
    <t>Finnøy</t>
  </si>
  <si>
    <t>Tysvær</t>
  </si>
  <si>
    <t>Vindafjord</t>
  </si>
  <si>
    <t>Etne</t>
  </si>
  <si>
    <t>Sveio</t>
  </si>
  <si>
    <t>Kvinnherad</t>
  </si>
  <si>
    <t>Odda</t>
  </si>
  <si>
    <t>Voss</t>
  </si>
  <si>
    <t>Sogndal</t>
  </si>
  <si>
    <t>Aurland</t>
  </si>
  <si>
    <t>Lærdal</t>
  </si>
  <si>
    <t>Luster</t>
  </si>
  <si>
    <t>Avstand</t>
  </si>
  <si>
    <t>Transportør kjører av beregnet hastighet</t>
  </si>
  <si>
    <t xml:space="preserve">Råde </t>
  </si>
  <si>
    <t xml:space="preserve">Holmestrand </t>
  </si>
  <si>
    <t xml:space="preserve">Larvik </t>
  </si>
  <si>
    <t>Bø (i Telemark)</t>
  </si>
  <si>
    <t>Skiptveit</t>
  </si>
  <si>
    <t xml:space="preserve">Øvre Eiker </t>
  </si>
  <si>
    <t xml:space="preserve">Eidsberg </t>
  </si>
  <si>
    <t>Våler i Buskerud</t>
  </si>
  <si>
    <t>Egersund</t>
  </si>
  <si>
    <t>)</t>
  </si>
  <si>
    <t>Gj.sn km/t</t>
  </si>
  <si>
    <t>Merkostnad per stopp</t>
  </si>
  <si>
    <t>Modell 1</t>
  </si>
  <si>
    <t>Modell 2</t>
  </si>
  <si>
    <t>Modell</t>
  </si>
  <si>
    <t>Modell 5</t>
  </si>
  <si>
    <t xml:space="preserve">SUM VK+FK </t>
  </si>
  <si>
    <t>Fra</t>
  </si>
  <si>
    <t>Til</t>
  </si>
  <si>
    <t xml:space="preserve">Horten </t>
  </si>
  <si>
    <t>Antall kjøresedler</t>
  </si>
  <si>
    <t>Gj.sn utnyttelsesgrad</t>
  </si>
  <si>
    <t>Maksimal kapasitet bil</t>
  </si>
  <si>
    <t>Hastighet</t>
  </si>
  <si>
    <t>Gj.sn sone</t>
  </si>
  <si>
    <t xml:space="preserve">Ås </t>
  </si>
  <si>
    <t>Nore og Uvdal</t>
  </si>
  <si>
    <t>Våler i Østfold</t>
  </si>
  <si>
    <t>Oslo</t>
  </si>
  <si>
    <t>Nedre Eiker</t>
  </si>
  <si>
    <t>Øvre Eiker</t>
  </si>
  <si>
    <t xml:space="preserve">Notodden </t>
  </si>
  <si>
    <t>Gj.sn utnyttelsesgrad i %</t>
  </si>
  <si>
    <t>Utnyttelsesgraden på bilen uten samkjøring</t>
  </si>
  <si>
    <t>Utnyttelsesgrad ved samkjøring</t>
  </si>
  <si>
    <t>Informasjon utnyttelsesgrad</t>
  </si>
  <si>
    <t>Km inennfor sone tur/retur</t>
  </si>
  <si>
    <t>Antall gris</t>
  </si>
  <si>
    <t xml:space="preserve">Utnyttelsesgrad </t>
  </si>
  <si>
    <t>Antall km betalt</t>
  </si>
  <si>
    <t>Prosent kjørt i sonen</t>
  </si>
  <si>
    <t xml:space="preserve">Sone </t>
  </si>
  <si>
    <t>Gj.snitt i Aust Agder</t>
  </si>
  <si>
    <t>Andel km kjørt i sonen</t>
  </si>
  <si>
    <t>Tur/retur</t>
  </si>
  <si>
    <t>Gj.sn antall gris</t>
  </si>
  <si>
    <t xml:space="preserve">Beregning av sonepriser </t>
  </si>
  <si>
    <t>SONEINNDELING oppgitt i km</t>
  </si>
  <si>
    <t>Analyse av utnyttelsesgradens effekt på stykkpris</t>
  </si>
  <si>
    <t>Kapasitet</t>
  </si>
  <si>
    <t>Turpris sone 6</t>
  </si>
  <si>
    <t>Gjennomsnittlig antall gris på bil</t>
  </si>
  <si>
    <t>Hvordan turpris, pris per gris og pris per kilometer påvirkes av "prosent betalt i sonen"</t>
  </si>
  <si>
    <t>Antall km tur/retur til sone 6</t>
  </si>
  <si>
    <t>Gj.sn hastighet i km/t</t>
  </si>
  <si>
    <t>Andel km betalt i sonen</t>
  </si>
  <si>
    <t>Sum betalt i sonen</t>
  </si>
  <si>
    <t>Gj.sn kjøretidi timer</t>
  </si>
  <si>
    <t>Faste og variable kostnader per km</t>
  </si>
  <si>
    <t>Admin tid</t>
  </si>
  <si>
    <t>Ventetid</t>
  </si>
  <si>
    <t>Lønnskostnad per time</t>
  </si>
  <si>
    <t>Pis per km</t>
  </si>
  <si>
    <t>Antall km i sonen tur/retur</t>
  </si>
  <si>
    <t>Faktisk turpris</t>
  </si>
  <si>
    <t xml:space="preserve">Pris per gris </t>
  </si>
  <si>
    <t>U-grad</t>
  </si>
  <si>
    <t xml:space="preserve">Utnyttelssgrad </t>
  </si>
  <si>
    <t>Antall km til sone</t>
  </si>
  <si>
    <t>i sonen tur/retur</t>
  </si>
  <si>
    <t>sone tur/retur</t>
  </si>
  <si>
    <t>Antall km til</t>
  </si>
  <si>
    <t xml:space="preserve">Hvilken effekt vil det samme scenariet ha på turprisen, når prisformatet er "pris per gris"? </t>
  </si>
  <si>
    <t>Beregnet hastighet</t>
  </si>
  <si>
    <t>Beregnet hastighet km/t</t>
  </si>
  <si>
    <t>Faktisk hastighet km/t</t>
  </si>
  <si>
    <t>Antall gris i 2018</t>
  </si>
  <si>
    <t>Antall km  tur/retur til sone</t>
  </si>
  <si>
    <t>Prosent kjørt i sone</t>
  </si>
  <si>
    <t xml:space="preserve">   </t>
  </si>
  <si>
    <t xml:space="preserve">Prosentvis avvik </t>
  </si>
  <si>
    <t xml:space="preserve">NORTURA </t>
  </si>
  <si>
    <t xml:space="preserve">våre beregninger </t>
  </si>
  <si>
    <t>Faktisk hastighet</t>
  </si>
  <si>
    <t>Pris per gris Nortura</t>
  </si>
  <si>
    <t>Kostnad per gris transportør</t>
  </si>
  <si>
    <t>Sum betalt antall gris Nortura</t>
  </si>
  <si>
    <t xml:space="preserve">PRIS PER GRIS </t>
  </si>
  <si>
    <t>PRIS PER KM</t>
  </si>
  <si>
    <t>Personalkostnad per time</t>
  </si>
  <si>
    <t xml:space="preserve">Lønnskostnad per km </t>
  </si>
  <si>
    <t>Prosent av beregnet hastighet</t>
  </si>
  <si>
    <t>Beregnet hastiget</t>
  </si>
  <si>
    <t>Avvik i kroner</t>
  </si>
  <si>
    <t>Avvik i kr</t>
  </si>
  <si>
    <t>Avvik i prosent</t>
  </si>
  <si>
    <t>Antall km tur/retur til sone 7</t>
  </si>
  <si>
    <t>Km innefor sone tur/retur</t>
  </si>
  <si>
    <t>Km innenfor sone tur/retur</t>
  </si>
  <si>
    <t>Prosent betalt i sone 6</t>
  </si>
  <si>
    <t>Faktisk antall prosent</t>
  </si>
  <si>
    <t>kjørt i sonen</t>
  </si>
  <si>
    <t xml:space="preserve">Antall km faktisk </t>
  </si>
  <si>
    <t>Betalt turpris</t>
  </si>
  <si>
    <t>kjørt i sone tur/retur</t>
  </si>
  <si>
    <t>Parameteren kan endres</t>
  </si>
  <si>
    <t>Faktisk Turpris</t>
  </si>
  <si>
    <t>Km innfor sone</t>
  </si>
  <si>
    <t>Kan endres</t>
  </si>
  <si>
    <t>Alle parametere som er markert i rødt kan endres</t>
  </si>
  <si>
    <t>Km innenfor sonen</t>
  </si>
  <si>
    <t>48% betalt i sonen</t>
  </si>
  <si>
    <t>betalt per km</t>
  </si>
  <si>
    <t>Antall km til sone 6 tur/retur</t>
  </si>
  <si>
    <t>Antall km til sone 7tur/retur</t>
  </si>
  <si>
    <t>100% av sonen</t>
  </si>
  <si>
    <t>5% av sonen</t>
  </si>
  <si>
    <t>Sone 7 (5% inn i sonen)</t>
  </si>
  <si>
    <t>Sone 7 (48% inn i sonen)</t>
  </si>
  <si>
    <t>Sone 7 (100% inn i sonen)</t>
  </si>
  <si>
    <t xml:space="preserve">Antall gris planlagt å hente </t>
  </si>
  <si>
    <t>Sone 6</t>
  </si>
  <si>
    <t>Sone 7</t>
  </si>
  <si>
    <t>Turpris "pris per gris"</t>
  </si>
  <si>
    <t>Turpris "pis per km"</t>
  </si>
  <si>
    <t>Pris per km sone 7</t>
  </si>
  <si>
    <t>Pris per gris sone 7</t>
  </si>
  <si>
    <t>Sone 5</t>
  </si>
  <si>
    <t>Prosent av sonen</t>
  </si>
  <si>
    <t xml:space="preserve">Timelønn </t>
  </si>
  <si>
    <t>Antall stopp</t>
  </si>
  <si>
    <t>Lastetid per stopp i timer</t>
  </si>
  <si>
    <t>Merkostnad</t>
  </si>
  <si>
    <t>Total merkostnad</t>
  </si>
  <si>
    <t>Årlig kjøredistanse</t>
  </si>
  <si>
    <t>Modell 1: Soneinndeling</t>
  </si>
  <si>
    <t>Modell 2: Utnyttelsesgrad i soner</t>
  </si>
  <si>
    <t>Modell 1: Hastighet</t>
  </si>
  <si>
    <t>Utdrag fra modell 1, benyttet i word</t>
  </si>
  <si>
    <t>Modell 1: Input til beregning av sonepriser</t>
  </si>
  <si>
    <t>Modell 2: Tidsprosesser</t>
  </si>
  <si>
    <t>Modell 3: Utnyttelsesgrad vi benytter for bregning av "pris per gris"</t>
  </si>
  <si>
    <t>Modell 4: TURPRIS, "PRIS PER GRIS", "PRIS PER KM"</t>
  </si>
  <si>
    <t>Modell 5: Sammenligning av stykkpriser</t>
  </si>
  <si>
    <t>Modell 1: Utnyttelsesgrad i Aust-Agder</t>
  </si>
  <si>
    <t>Modell 1: Utnyttelsesgradens effekt på stykkpris</t>
  </si>
  <si>
    <t xml:space="preserve">Modell 2: </t>
  </si>
  <si>
    <t>Hvordan påvirkes turprisen når pris per dyr baserer seg på 87% utnyttelsesgrad, men faktisk fyllingsgrad er henholdsvis 10% og 100% ?</t>
  </si>
  <si>
    <t>Modell 1: "Prosent betalt i sonen" effekt på turpris, "pris per gris" og "pris per km"</t>
  </si>
  <si>
    <t>Prosent betalt i  sone 7</t>
  </si>
  <si>
    <t>Utdrag fra modell 2</t>
  </si>
  <si>
    <t>Modell 2:</t>
  </si>
  <si>
    <t xml:space="preserve">Hvordan vil  "pris pr km" påvirkes dersom transportør kjører 100% i sonen, eller 5% over i neste sone, når de får betalt for 48% i sonen, eller per km kjørt? </t>
  </si>
  <si>
    <t>Modell 3:</t>
  </si>
  <si>
    <t>UTDRAG</t>
  </si>
  <si>
    <t>UTDRAG FRA MODELL 2</t>
  </si>
  <si>
    <t>Modell 1: Pris per gris med hensyn til utnyttelsesgrad, ved prisformatet "pris per gris"</t>
  </si>
  <si>
    <t>Modell 2: Kostnader per gris, men hensyn til utnyttelsesgrad, ved prisformatet "pris per km"</t>
  </si>
  <si>
    <t>Gj.sn kjøretid i timer i soner</t>
  </si>
  <si>
    <t>Modell 6: lastetid effekt på merkostnad</t>
  </si>
  <si>
    <t xml:space="preserve">Modell 3: 	Hvordan påvirkes turprisen når prosentandelen av sonen er 48%, men faktisk kjørt distanse er henholdsvis 10% av sonen og 100% av sonen, ved "pris per gris"?								</t>
  </si>
  <si>
    <t>Hvordan påvirkes turprisen når prosentandelen av sonen er 48%, men faktisk kjørt distanse er henholdsvis 10% av sonen og 100% av sonen, ved prisformatet "pris per km"?</t>
  </si>
  <si>
    <t>Pris per gris sone 6</t>
  </si>
  <si>
    <t>Sum pris alle gris</t>
  </si>
  <si>
    <t>Diesel 01.01.19</t>
  </si>
  <si>
    <t>Diesel 1/10-18</t>
  </si>
  <si>
    <t>Lønn 2018</t>
  </si>
  <si>
    <t>Diesel 1/7-18</t>
  </si>
  <si>
    <t>Diesel 01.04.18</t>
  </si>
  <si>
    <t>Statusmøte 29/1-18:</t>
  </si>
  <si>
    <t>Diesel 01.01.18</t>
  </si>
  <si>
    <t>Diesel 02.10.17</t>
  </si>
  <si>
    <t>10 øre/km skal etterbatalast</t>
  </si>
  <si>
    <t>Lønn frå 1.4.17</t>
  </si>
  <si>
    <t>6 øre/km trekkes</t>
  </si>
  <si>
    <t>Diesel 01.07.17</t>
  </si>
  <si>
    <t>Diesel 1.4.17</t>
  </si>
  <si>
    <t>Statusmøte 13.02.2017</t>
  </si>
  <si>
    <t>Diesel 01.01.17</t>
  </si>
  <si>
    <t>Diesel 01.10.16</t>
  </si>
  <si>
    <t>Diesel 1.7.16</t>
  </si>
  <si>
    <t>Lønn 2016</t>
  </si>
  <si>
    <t>Kr/km for biler og innkluderer bruk av hengere</t>
  </si>
  <si>
    <t>Godtgjørelse pr km</t>
  </si>
  <si>
    <t>Diesel 1.4.16</t>
  </si>
  <si>
    <t>Kr/år</t>
  </si>
  <si>
    <t>Sum godtgjørelse</t>
  </si>
  <si>
    <t>Statusmøte 21.01.16</t>
  </si>
  <si>
    <t>Diesel 01.01.16</t>
  </si>
  <si>
    <t>Diesel, 01.10.15</t>
  </si>
  <si>
    <t>Antall sjåførtimer</t>
  </si>
  <si>
    <t>Sum timer</t>
  </si>
  <si>
    <t>Hovedforhandling 2015 (aug)</t>
  </si>
  <si>
    <t>Km alle biler</t>
  </si>
  <si>
    <t>Kjørelengde</t>
  </si>
  <si>
    <t>Oms</t>
  </si>
  <si>
    <t>Kr/km</t>
  </si>
  <si>
    <t>Prisjusteringer</t>
  </si>
  <si>
    <t>Sum</t>
  </si>
  <si>
    <t>Tilhengertype 3</t>
  </si>
  <si>
    <t>Tilhengertype 2</t>
  </si>
  <si>
    <t>Tilhengertype 1</t>
  </si>
  <si>
    <t>Biltype 3</t>
  </si>
  <si>
    <t>Biltype 2</t>
  </si>
  <si>
    <t>Biltype 1</t>
  </si>
  <si>
    <t>Oppsummering avtaleområde:</t>
  </si>
  <si>
    <t>Finnmark fylke</t>
  </si>
  <si>
    <t>Sør-Varanger</t>
  </si>
  <si>
    <t>Båtsfjord</t>
  </si>
  <si>
    <t>Unjárga Nesseby</t>
  </si>
  <si>
    <t>Deatnu Tana</t>
  </si>
  <si>
    <t>Berlevåg</t>
  </si>
  <si>
    <t>Gamvik</t>
  </si>
  <si>
    <t>Lebesby</t>
  </si>
  <si>
    <t>Kárásjohka Karasjok</t>
  </si>
  <si>
    <t>Porsanger Porsángu Porsanki</t>
  </si>
  <si>
    <t>Nordkapp</t>
  </si>
  <si>
    <t>Måsøy</t>
  </si>
  <si>
    <t>Kvalsund</t>
  </si>
  <si>
    <t>Hasvik</t>
  </si>
  <si>
    <t>Loppa</t>
  </si>
  <si>
    <t>Alta</t>
  </si>
  <si>
    <t>Guovdageaidnu Kautokeino</t>
  </si>
  <si>
    <t>Hammerfest</t>
  </si>
  <si>
    <t>Vadsø</t>
  </si>
  <si>
    <t>Vardø</t>
  </si>
  <si>
    <t>Troms fylke</t>
  </si>
  <si>
    <t>Kvænangen</t>
  </si>
  <si>
    <t>Nordreisa</t>
  </si>
  <si>
    <t>Skjervøy</t>
  </si>
  <si>
    <t>Gáivuotna Kåfjord</t>
  </si>
  <si>
    <t>Storfjord</t>
  </si>
  <si>
    <t>Lyngen</t>
  </si>
  <si>
    <t>Karlsøy</t>
  </si>
  <si>
    <t>Balsfjord</t>
  </si>
  <si>
    <t>Lenvik</t>
  </si>
  <si>
    <t>Berg</t>
  </si>
  <si>
    <t>Torsken</t>
  </si>
  <si>
    <t>Tranøy</t>
  </si>
  <si>
    <t>Dyrøy</t>
  </si>
  <si>
    <t>Sørreisa</t>
  </si>
  <si>
    <t>Målselv</t>
  </si>
  <si>
    <t>Salangen</t>
  </si>
  <si>
    <t>Bardu</t>
  </si>
  <si>
    <t>Lavangen</t>
  </si>
  <si>
    <t>Gratangen</t>
  </si>
  <si>
    <t>Ibestad</t>
  </si>
  <si>
    <t>Skånland</t>
  </si>
  <si>
    <t>Kvæfjord</t>
  </si>
  <si>
    <t>4a</t>
  </si>
  <si>
    <t>Tromsø</t>
  </si>
  <si>
    <t>Harstad</t>
  </si>
  <si>
    <t>Nordland fylke</t>
  </si>
  <si>
    <t>Moskenes</t>
  </si>
  <si>
    <t>Andøy</t>
  </si>
  <si>
    <t>Sortland</t>
  </si>
  <si>
    <t>Øksnes</t>
  </si>
  <si>
    <t>Bø</t>
  </si>
  <si>
    <t>Hadsel</t>
  </si>
  <si>
    <t>Vågan</t>
  </si>
  <si>
    <t>Vestvågøy</t>
  </si>
  <si>
    <t>Flakstad</t>
  </si>
  <si>
    <t>Værøy</t>
  </si>
  <si>
    <t>Røst</t>
  </si>
  <si>
    <t>Ballangen</t>
  </si>
  <si>
    <t>Evenes</t>
  </si>
  <si>
    <t>Tjeldsund</t>
  </si>
  <si>
    <t>Lødingen</t>
  </si>
  <si>
    <t>Tysfjord</t>
  </si>
  <si>
    <t>Hamarøy</t>
  </si>
  <si>
    <t>Steigen</t>
  </si>
  <si>
    <t>Sørfold</t>
  </si>
  <si>
    <t>Fauske</t>
  </si>
  <si>
    <t>Saltdal</t>
  </si>
  <si>
    <t>Beiarn</t>
  </si>
  <si>
    <t>Gildeskål</t>
  </si>
  <si>
    <t>Meløy</t>
  </si>
  <si>
    <t>Rødøy</t>
  </si>
  <si>
    <t>Træna</t>
  </si>
  <si>
    <t>Lurøy</t>
  </si>
  <si>
    <t>Rana</t>
  </si>
  <si>
    <t>Hemnes</t>
  </si>
  <si>
    <t>Nesna</t>
  </si>
  <si>
    <t>Dønna</t>
  </si>
  <si>
    <t>Hattfjelldal</t>
  </si>
  <si>
    <t>Grane</t>
  </si>
  <si>
    <t>Vefsn</t>
  </si>
  <si>
    <t>Leirfjord</t>
  </si>
  <si>
    <t>Alstahaug</t>
  </si>
  <si>
    <t>Herøy</t>
  </si>
  <si>
    <t>Vevelstad</t>
  </si>
  <si>
    <t>Vega</t>
  </si>
  <si>
    <t>Brønnøy</t>
  </si>
  <si>
    <t>Sømna</t>
  </si>
  <si>
    <t>Bindal</t>
  </si>
  <si>
    <t>Narvik</t>
  </si>
  <si>
    <t>Bodø</t>
  </si>
  <si>
    <t>Nord-Trøndelag fylke</t>
  </si>
  <si>
    <t>Leka</t>
  </si>
  <si>
    <t>Nærøy</t>
  </si>
  <si>
    <t>Vikna</t>
  </si>
  <si>
    <t>Flatanger</t>
  </si>
  <si>
    <t>Fosnes</t>
  </si>
  <si>
    <t>Overhalla</t>
  </si>
  <si>
    <t>Høylandet</t>
  </si>
  <si>
    <t>Grong</t>
  </si>
  <si>
    <t>Namsskogan</t>
  </si>
  <si>
    <t>Røyrvik</t>
  </si>
  <si>
    <t>Lierne</t>
  </si>
  <si>
    <t>Snåsa</t>
  </si>
  <si>
    <t>Inderøy (området som tidligere var Mosvik kommune)</t>
  </si>
  <si>
    <t>Inderøy (med unntak av området som tidligere var Mosvik kommune)</t>
  </si>
  <si>
    <t>Namdalseid</t>
  </si>
  <si>
    <t>Verran</t>
  </si>
  <si>
    <t>Verdal</t>
  </si>
  <si>
    <t>Levanger</t>
  </si>
  <si>
    <t>1a</t>
  </si>
  <si>
    <t>Leksvik</t>
  </si>
  <si>
    <t>Frosta</t>
  </si>
  <si>
    <t>Stjørdal</t>
  </si>
  <si>
    <t>Meråker</t>
  </si>
  <si>
    <t>Namsos</t>
  </si>
  <si>
    <t>Steinkjer</t>
  </si>
  <si>
    <t>Sør-Trøndelag fylke</t>
  </si>
  <si>
    <t>Tydal</t>
  </si>
  <si>
    <t>Selbu</t>
  </si>
  <si>
    <t>Malvik</t>
  </si>
  <si>
    <t>Klæbu</t>
  </si>
  <si>
    <t>Skaun</t>
  </si>
  <si>
    <t>Melhus</t>
  </si>
  <si>
    <t>Midtre Gauldal</t>
  </si>
  <si>
    <t>Holtålen</t>
  </si>
  <si>
    <t>Røros</t>
  </si>
  <si>
    <t>Orkdal</t>
  </si>
  <si>
    <t>Meldal</t>
  </si>
  <si>
    <t>Rennebu</t>
  </si>
  <si>
    <t>Oppdal</t>
  </si>
  <si>
    <t>Osen</t>
  </si>
  <si>
    <t>Roan</t>
  </si>
  <si>
    <t>Åfjord</t>
  </si>
  <si>
    <t>Bjugn</t>
  </si>
  <si>
    <t>Rissa</t>
  </si>
  <si>
    <t>Agdenes</t>
  </si>
  <si>
    <t>Ørland</t>
  </si>
  <si>
    <t>Frøya</t>
  </si>
  <si>
    <t>Hitra</t>
  </si>
  <si>
    <t>Snillfjord</t>
  </si>
  <si>
    <t>Hemne</t>
  </si>
  <si>
    <t>Trondheim</t>
  </si>
  <si>
    <t>Møre og Romsdal fylke</t>
  </si>
  <si>
    <t>Aure</t>
  </si>
  <si>
    <t>Smøla</t>
  </si>
  <si>
    <t>Halsa</t>
  </si>
  <si>
    <t>Rindal</t>
  </si>
  <si>
    <t>Surnadal</t>
  </si>
  <si>
    <t>Sunndal</t>
  </si>
  <si>
    <t>Tingvoll</t>
  </si>
  <si>
    <t>Gjemnes</t>
  </si>
  <si>
    <t>Averøy</t>
  </si>
  <si>
    <t>Eide</t>
  </si>
  <si>
    <t>Fræna</t>
  </si>
  <si>
    <t>Aukra</t>
  </si>
  <si>
    <t>Sandøy</t>
  </si>
  <si>
    <t>Midsund</t>
  </si>
  <si>
    <t>Nesset</t>
  </si>
  <si>
    <t>Rauma</t>
  </si>
  <si>
    <t>Vestnes</t>
  </si>
  <si>
    <t>Haram</t>
  </si>
  <si>
    <t>Giske</t>
  </si>
  <si>
    <t>Sula</t>
  </si>
  <si>
    <t>Skodje</t>
  </si>
  <si>
    <t>Sykkylven</t>
  </si>
  <si>
    <t>Stordal</t>
  </si>
  <si>
    <t>Stranda</t>
  </si>
  <si>
    <t>Norddal</t>
  </si>
  <si>
    <t>Ørskog</t>
  </si>
  <si>
    <t>Ørsta</t>
  </si>
  <si>
    <t>Volda</t>
  </si>
  <si>
    <t>Hareid</t>
  </si>
  <si>
    <t>Ulstein</t>
  </si>
  <si>
    <t>Vanylven</t>
  </si>
  <si>
    <t>Ålesund</t>
  </si>
  <si>
    <t>Kristiansund</t>
  </si>
  <si>
    <t>Molde</t>
  </si>
  <si>
    <t>Sogn og fjordane fylke</t>
  </si>
  <si>
    <t>Stryn</t>
  </si>
  <si>
    <t>Gloppen</t>
  </si>
  <si>
    <t>Hornindal</t>
  </si>
  <si>
    <t>Eid</t>
  </si>
  <si>
    <t>Selje</t>
  </si>
  <si>
    <t>Vågsøy</t>
  </si>
  <si>
    <t>Bremanger</t>
  </si>
  <si>
    <t>Naustdal</t>
  </si>
  <si>
    <t>Førde</t>
  </si>
  <si>
    <t>Jølster</t>
  </si>
  <si>
    <t>Gaular</t>
  </si>
  <si>
    <t>Fjaler</t>
  </si>
  <si>
    <t>Askvoll</t>
  </si>
  <si>
    <t>Årdal</t>
  </si>
  <si>
    <t>Leikanger</t>
  </si>
  <si>
    <t>Balestrand</t>
  </si>
  <si>
    <t>Vik</t>
  </si>
  <si>
    <t>Høyanger</t>
  </si>
  <si>
    <t>Hyllestad</t>
  </si>
  <si>
    <t>Solund</t>
  </si>
  <si>
    <t>Gulen</t>
  </si>
  <si>
    <t>Flora</t>
  </si>
  <si>
    <t>Hordaland fylke</t>
  </si>
  <si>
    <t>Masfjorden</t>
  </si>
  <si>
    <t>Fedje</t>
  </si>
  <si>
    <t>Austrheim</t>
  </si>
  <si>
    <t>Lindås</t>
  </si>
  <si>
    <t>Radøy</t>
  </si>
  <si>
    <t>Øygarden</t>
  </si>
  <si>
    <t>Meland</t>
  </si>
  <si>
    <t>Osterøy</t>
  </si>
  <si>
    <t>Modalen</t>
  </si>
  <si>
    <t>Vaksdal</t>
  </si>
  <si>
    <t>Askøy</t>
  </si>
  <si>
    <t>Fjell</t>
  </si>
  <si>
    <t>Sund</t>
  </si>
  <si>
    <t>Austevoll</t>
  </si>
  <si>
    <t>Os</t>
  </si>
  <si>
    <t>Samnanger</t>
  </si>
  <si>
    <t>Fusa</t>
  </si>
  <si>
    <t>Kvam</t>
  </si>
  <si>
    <t>Granvin</t>
  </si>
  <si>
    <t>Ulvik</t>
  </si>
  <si>
    <t>Eidfjord</t>
  </si>
  <si>
    <t>Ullensvang</t>
  </si>
  <si>
    <t>Jondal</t>
  </si>
  <si>
    <t>Tysnes</t>
  </si>
  <si>
    <t>Fitjar</t>
  </si>
  <si>
    <t>Stord</t>
  </si>
  <si>
    <t>Bømlo</t>
  </si>
  <si>
    <t>Bergen</t>
  </si>
  <si>
    <t>Rogaland fylke</t>
  </si>
  <si>
    <t>Utsira</t>
  </si>
  <si>
    <t>Karmøy</t>
  </si>
  <si>
    <t>Bokn</t>
  </si>
  <si>
    <t>Kvitsøy</t>
  </si>
  <si>
    <t>Rennesøy</t>
  </si>
  <si>
    <t>Strand</t>
  </si>
  <si>
    <t>Forsand</t>
  </si>
  <si>
    <t>Randaberg</t>
  </si>
  <si>
    <t>Sola</t>
  </si>
  <si>
    <t>Haugesund</t>
  </si>
  <si>
    <t>Stavanger</t>
  </si>
  <si>
    <t>Eigersund</t>
  </si>
  <si>
    <t>Vest-Agder fylke</t>
  </si>
  <si>
    <t>Sirdal</t>
  </si>
  <si>
    <t>Åseral</t>
  </si>
  <si>
    <t>Songdalen</t>
  </si>
  <si>
    <t>Aust-Agder fylke</t>
  </si>
  <si>
    <t>Bykle</t>
  </si>
  <si>
    <t>Valle</t>
  </si>
  <si>
    <t>Evje og Hornnes</t>
  </si>
  <si>
    <t>Åmli</t>
  </si>
  <si>
    <t>Lillesand</t>
  </si>
  <si>
    <t>Gjerstad</t>
  </si>
  <si>
    <t>Arendal</t>
  </si>
  <si>
    <t>Risør</t>
  </si>
  <si>
    <t>Telemark fylke</t>
  </si>
  <si>
    <t>Nissedal</t>
  </si>
  <si>
    <t>Vestfold fylke</t>
  </si>
  <si>
    <t>Lardal</t>
  </si>
  <si>
    <t>Tjøme</t>
  </si>
  <si>
    <t>Nøtterøy</t>
  </si>
  <si>
    <t>Stokke</t>
  </si>
  <si>
    <t>Andebu</t>
  </si>
  <si>
    <t>Hof</t>
  </si>
  <si>
    <t>Svelvik</t>
  </si>
  <si>
    <t>Larvik</t>
  </si>
  <si>
    <t>Holmestrand</t>
  </si>
  <si>
    <t>Buskerud fylke</t>
  </si>
  <si>
    <t>Flesberg</t>
  </si>
  <si>
    <t>Oppland fylke</t>
  </si>
  <si>
    <t>Vang</t>
  </si>
  <si>
    <t>Øystre Slidre</t>
  </si>
  <si>
    <t>Vestre Slidre</t>
  </si>
  <si>
    <t>Nord-Aurdal</t>
  </si>
  <si>
    <t>Etnedal</t>
  </si>
  <si>
    <t>Sør-Aurdal</t>
  </si>
  <si>
    <t>Nordre Land</t>
  </si>
  <si>
    <t>Søndre Land</t>
  </si>
  <si>
    <t>Gran</t>
  </si>
  <si>
    <t>Lunner</t>
  </si>
  <si>
    <t>Jevnaker</t>
  </si>
  <si>
    <t>Vestre Toten</t>
  </si>
  <si>
    <t>Østre Toten</t>
  </si>
  <si>
    <t>Gausdal</t>
  </si>
  <si>
    <t>Øyer</t>
  </si>
  <si>
    <t>Ringebu</t>
  </si>
  <si>
    <t>Sør-Fron</t>
  </si>
  <si>
    <t>Sel</t>
  </si>
  <si>
    <t>Nord-Fron</t>
  </si>
  <si>
    <t>Vågå</t>
  </si>
  <si>
    <t>Lom</t>
  </si>
  <si>
    <t>Skjåk</t>
  </si>
  <si>
    <t>Lesja</t>
  </si>
  <si>
    <t>Dovre</t>
  </si>
  <si>
    <t>Gjøvik</t>
  </si>
  <si>
    <t>Lillehammer</t>
  </si>
  <si>
    <t>Hedmark</t>
  </si>
  <si>
    <t>Folldal</t>
  </si>
  <si>
    <t>Alvdal</t>
  </si>
  <si>
    <t>Tynset</t>
  </si>
  <si>
    <t>Tolga</t>
  </si>
  <si>
    <t>Engerdal</t>
  </si>
  <si>
    <t>Rendalen</t>
  </si>
  <si>
    <t>Stor-Elvdal</t>
  </si>
  <si>
    <t>Åmot</t>
  </si>
  <si>
    <t>Trysil</t>
  </si>
  <si>
    <t>Elverum</t>
  </si>
  <si>
    <t>Våler</t>
  </si>
  <si>
    <t>Åsnes</t>
  </si>
  <si>
    <t>Grue</t>
  </si>
  <si>
    <t>Eidskog</t>
  </si>
  <si>
    <t>Sør-Odal</t>
  </si>
  <si>
    <t>Nord-Odal</t>
  </si>
  <si>
    <t>Stange</t>
  </si>
  <si>
    <t>Løten</t>
  </si>
  <si>
    <t>Ringsaker</t>
  </si>
  <si>
    <t>Hamar</t>
  </si>
  <si>
    <t>Kongsvinger</t>
  </si>
  <si>
    <t>Oslo fylke</t>
  </si>
  <si>
    <t>Akershus</t>
  </si>
  <si>
    <t>Hurdal</t>
  </si>
  <si>
    <t>Nannestad</t>
  </si>
  <si>
    <t>Eidsvoll</t>
  </si>
  <si>
    <t>Ullensaker</t>
  </si>
  <si>
    <t>Gjerdrum</t>
  </si>
  <si>
    <t>Nittedal</t>
  </si>
  <si>
    <t>Skedsmo</t>
  </si>
  <si>
    <t>Rælingen</t>
  </si>
  <si>
    <t>Fet</t>
  </si>
  <si>
    <t>Sørum</t>
  </si>
  <si>
    <t>Oppegård</t>
  </si>
  <si>
    <t>Nesodden</t>
  </si>
  <si>
    <t>Frogn</t>
  </si>
  <si>
    <t>Ås</t>
  </si>
  <si>
    <t>Ski</t>
  </si>
  <si>
    <t>Østfold Fylke</t>
  </si>
  <si>
    <t>Råde</t>
  </si>
  <si>
    <t>Skiptvet</t>
  </si>
  <si>
    <t>Eidsberg</t>
  </si>
  <si>
    <t>Rømskog</t>
  </si>
  <si>
    <t>Aremark</t>
  </si>
  <si>
    <t>Hvaler</t>
  </si>
  <si>
    <t>Moss</t>
  </si>
  <si>
    <t>Fylke</t>
  </si>
  <si>
    <t>Kommunenavn</t>
  </si>
  <si>
    <t>Kommunenr.</t>
  </si>
  <si>
    <t>Rekkefølge: Fylkesvis.</t>
  </si>
  <si>
    <t>Kommunekatalog per 1. januar 2014</t>
  </si>
  <si>
    <t>V</t>
  </si>
  <si>
    <t>Arbeidsgiveravgiftsone</t>
  </si>
  <si>
    <t>7.9 %</t>
  </si>
  <si>
    <t>I V a</t>
  </si>
  <si>
    <t>5.1 %</t>
  </si>
  <si>
    <t>I V</t>
  </si>
  <si>
    <t>6.4 %</t>
  </si>
  <si>
    <t>I I I</t>
  </si>
  <si>
    <t>10.6 %</t>
  </si>
  <si>
    <t>I I</t>
  </si>
  <si>
    <t>I a</t>
  </si>
  <si>
    <t>I</t>
  </si>
  <si>
    <t>Sum arbeidsgiveravg. og annet</t>
  </si>
  <si>
    <t>AFP/pensjon/opplæring</t>
  </si>
  <si>
    <t>Opplæring, arbeidstøy og sko </t>
  </si>
  <si>
    <t xml:space="preserve">Bedriftshelsetjeneste/yrkesskade            </t>
  </si>
  <si>
    <t xml:space="preserve">Arbeidsgiver avgift, se sonetabell under </t>
  </si>
  <si>
    <t>Arbeidsgiveravgift og andre ikke feriepengegrunnlagskostnader</t>
  </si>
  <si>
    <t>Påslag kalkyle</t>
  </si>
  <si>
    <t>Feriepenger</t>
  </si>
  <si>
    <t>Sykelønn egenandel</t>
  </si>
  <si>
    <t>Bevegelige helligdager</t>
  </si>
  <si>
    <t>Sosiale kostnader</t>
  </si>
  <si>
    <t>Sum tilhengere</t>
  </si>
  <si>
    <t>Hengertype 3</t>
  </si>
  <si>
    <t>Hengertype 2</t>
  </si>
  <si>
    <t>Hengertype 1</t>
  </si>
  <si>
    <t>Sum biler</t>
  </si>
  <si>
    <t>Gj.sn.kjørelengde</t>
  </si>
  <si>
    <t>Antall</t>
  </si>
  <si>
    <t>36418 for helt år</t>
  </si>
  <si>
    <t>Henger 18209 km</t>
  </si>
  <si>
    <t>timer</t>
  </si>
  <si>
    <t>Alle biler Sum tidsforbruk</t>
  </si>
  <si>
    <t>Alle bilerGj.sn.hastighet</t>
  </si>
  <si>
    <t>Biltype 3 Sum tidsforbruk</t>
  </si>
  <si>
    <t>Biltype 3 Gj.sn.hastighet</t>
  </si>
  <si>
    <t>Biltype 2 Sum tidsforbruk</t>
  </si>
  <si>
    <t>Biltype 2 Gj.sn.hastighet</t>
  </si>
  <si>
    <t>Gj. Snitt</t>
  </si>
  <si>
    <t>Helt år</t>
  </si>
  <si>
    <t>Timer livd</t>
  </si>
  <si>
    <t>Timer slakt</t>
  </si>
  <si>
    <t>Km livd</t>
  </si>
  <si>
    <t>Km slakt</t>
  </si>
  <si>
    <t>Bil</t>
  </si>
  <si>
    <t>Biltype 1 Sum tidsforbruk</t>
  </si>
  <si>
    <t>Registreringer kvartal 3 og 4 2015</t>
  </si>
  <si>
    <t>Biltype 1 Gj.sn.hastighet</t>
  </si>
  <si>
    <t>Tidsforbruk</t>
  </si>
  <si>
    <t>Benyttet lønnssats</t>
  </si>
  <si>
    <t>Forventet lønnsoppgjør</t>
  </si>
  <si>
    <t>Sum grunnlønn</t>
  </si>
  <si>
    <t>Påslag</t>
  </si>
  <si>
    <t>Lønnsats NLF Godsavtale 35,5 t/u, fagbrev, 6 års ans</t>
  </si>
  <si>
    <t>Timelønn</t>
  </si>
  <si>
    <t>overnatting i bilen</t>
  </si>
  <si>
    <t>Sats pr dag ved overnatting</t>
  </si>
  <si>
    <t>lange dager inntil 12 timer</t>
  </si>
  <si>
    <t>Diettsats</t>
  </si>
  <si>
    <t>Dekkpris tilhenger</t>
  </si>
  <si>
    <t>Dekkpris biler</t>
  </si>
  <si>
    <t>Rabatt</t>
  </si>
  <si>
    <t>Dieselpris eks. moms</t>
  </si>
  <si>
    <t>Transporttillegg</t>
  </si>
  <si>
    <t>Statoil listepris</t>
  </si>
  <si>
    <t>Sum renteomkostninger</t>
  </si>
  <si>
    <t>Her endres alle elementer som er felles for alle biltyper og hengere.</t>
  </si>
  <si>
    <t>Gule felt kan endres</t>
  </si>
  <si>
    <t>Semi</t>
  </si>
  <si>
    <t>Kjørelngde pr bil pr år</t>
  </si>
  <si>
    <t>Denne fases ut høsten 2018</t>
  </si>
  <si>
    <t>Variable kostnader</t>
  </si>
  <si>
    <t>Faste kostnader</t>
  </si>
  <si>
    <t>Avskriving chassis</t>
  </si>
  <si>
    <t>Innkjøpspris pr bil eks. dekk</t>
  </si>
  <si>
    <t>Sum innkjøpspris biler</t>
  </si>
  <si>
    <t>Avskrivingstid chassis</t>
  </si>
  <si>
    <t>Restverdi chassis</t>
  </si>
  <si>
    <t>Avskriving chassis pr år</t>
  </si>
  <si>
    <t>Avskriving chassis pr km</t>
  </si>
  <si>
    <t>Avskriving påbygg</t>
  </si>
  <si>
    <t>Innkjøpspris sum påbygg</t>
  </si>
  <si>
    <t>Overflytting ny bil</t>
  </si>
  <si>
    <t>Sum nytt påbygg</t>
  </si>
  <si>
    <t>Sum innkjøpspris påbygg</t>
  </si>
  <si>
    <t>Avskrivingstid påbygg</t>
  </si>
  <si>
    <t>Sum avskriving påbygg pr år</t>
  </si>
  <si>
    <t>Avskriving påbygg pr km</t>
  </si>
  <si>
    <t>Renter (chassis og påbygg)</t>
  </si>
  <si>
    <t xml:space="preserve"> </t>
  </si>
  <si>
    <t>Renter pr år</t>
  </si>
  <si>
    <t>Renter pr km</t>
  </si>
  <si>
    <t>Forsikring/vektårsavg/løyvegaranti</t>
  </si>
  <si>
    <t>Forsikring materiell</t>
  </si>
  <si>
    <t>Pr bil</t>
  </si>
  <si>
    <t>Forsikring pr km</t>
  </si>
  <si>
    <t>l</t>
  </si>
  <si>
    <t>Dieselkost pr år</t>
  </si>
  <si>
    <t>Disesel pr km</t>
  </si>
  <si>
    <t xml:space="preserve">Dekk </t>
  </si>
  <si>
    <t>Kostnad pr år</t>
  </si>
  <si>
    <t>Dekk pr km</t>
  </si>
  <si>
    <t xml:space="preserve">Kjetting </t>
  </si>
  <si>
    <t>Kjetting pr. bil</t>
  </si>
  <si>
    <t>Kjetting pr år</t>
  </si>
  <si>
    <t>Kjetting pr km</t>
  </si>
  <si>
    <t>Service pr km</t>
  </si>
  <si>
    <t>Sum pr påbygg</t>
  </si>
  <si>
    <t>Dekker alle kostnader iflg regnskap</t>
  </si>
  <si>
    <t>Sum påbygg</t>
  </si>
  <si>
    <t>Rep. påbygg pr km</t>
  </si>
  <si>
    <t>Beløp pr. bil (egenandel)</t>
  </si>
  <si>
    <t>Skade pr km</t>
  </si>
  <si>
    <t>Telefon pr. bil</t>
  </si>
  <si>
    <t>Kostnad telefonkostnad pr km</t>
  </si>
  <si>
    <t>Diettdager pr bil</t>
  </si>
  <si>
    <t>Sum diett pr km</t>
  </si>
  <si>
    <t>Vask av kjeledresser pr bil</t>
  </si>
  <si>
    <t>Kostnad pr kjeledress</t>
  </si>
  <si>
    <t>Sum vask av kjeledress</t>
  </si>
  <si>
    <t>Sum vask av kjeledresser pr km</t>
  </si>
  <si>
    <t>Andre kostander pr bil</t>
  </si>
  <si>
    <t>Kostnad pr stk</t>
  </si>
  <si>
    <t>Sum andre kostnader</t>
  </si>
  <si>
    <t>Sats pr km</t>
  </si>
  <si>
    <t>Beløp bruk av personbil</t>
  </si>
  <si>
    <t>Bruk av personbil pr km</t>
  </si>
  <si>
    <t>Totalkostnader bil</t>
  </si>
  <si>
    <t>Kalkyle lønn inntransport</t>
  </si>
  <si>
    <t>Overtidskostnader</t>
  </si>
  <si>
    <t>Andel overtid/søndag</t>
  </si>
  <si>
    <t>Overtidstillegg</t>
  </si>
  <si>
    <t>ca 250 timer i året med blanding av 100 og 50 %</t>
  </si>
  <si>
    <t>Netto overtidskostnad pr time</t>
  </si>
  <si>
    <t xml:space="preserve">Ubekvemstillegg   kl 21.00 - 06.00  </t>
  </si>
  <si>
    <t>Timesats</t>
  </si>
  <si>
    <t>Andel ubekvem</t>
  </si>
  <si>
    <t>Ubekvemstillegg</t>
  </si>
  <si>
    <t>Netto ubekvemskostnad pr time</t>
  </si>
  <si>
    <t xml:space="preserve">Lønnskostnad </t>
  </si>
  <si>
    <t>Overtids/ubekvemskostnad pr time</t>
  </si>
  <si>
    <t>Kostnad pr time</t>
  </si>
  <si>
    <t>Grunnlag feriepenger</t>
  </si>
  <si>
    <t>Grunnlag arbeidsgiver avgift</t>
  </si>
  <si>
    <t>Ikke feriepengegrunnlag</t>
  </si>
  <si>
    <t>Sum sosiale kostnader</t>
  </si>
  <si>
    <t>Total lønnskostnad pr time</t>
  </si>
  <si>
    <t>Lønnskostnad pr km</t>
  </si>
  <si>
    <t>Utlønnede timer</t>
  </si>
  <si>
    <t>Gjennomsnittsfart pr km</t>
  </si>
  <si>
    <t>Sum kostnader pr type</t>
  </si>
  <si>
    <t>Variable bilkostnader</t>
  </si>
  <si>
    <t>Faste bilkostnader</t>
  </si>
  <si>
    <t>Lønnskostnader</t>
  </si>
  <si>
    <t>Sum netto kostnader</t>
  </si>
  <si>
    <t>Sum brutto kostnader</t>
  </si>
  <si>
    <t>Varevariantkode</t>
  </si>
  <si>
    <t>(Flere elementer)</t>
  </si>
  <si>
    <t>Avregningstype hierarki</t>
  </si>
  <si>
    <t>Periode mottatt (regnskap)</t>
  </si>
  <si>
    <t>2018</t>
  </si>
  <si>
    <t>Produsentgeografi</t>
  </si>
  <si>
    <t>Alle</t>
  </si>
  <si>
    <t>Verdier</t>
  </si>
  <si>
    <t>Avregningsundertype</t>
  </si>
  <si>
    <t>Gris</t>
  </si>
  <si>
    <t>Småfe</t>
  </si>
  <si>
    <t>Storfe</t>
  </si>
  <si>
    <t>0000 Ukjent</t>
  </si>
  <si>
    <t>0101 HALDEN</t>
  </si>
  <si>
    <t>0104 MOSS</t>
  </si>
  <si>
    <t>0105 SARPSBORG</t>
  </si>
  <si>
    <t>0106 FREDRIKSTAD</t>
  </si>
  <si>
    <t>0111 HVALER</t>
  </si>
  <si>
    <t>0118 AREMARK</t>
  </si>
  <si>
    <t>0119 MARKER</t>
  </si>
  <si>
    <t>0121 RØMSKOG</t>
  </si>
  <si>
    <t>0122 TRØGSTAD</t>
  </si>
  <si>
    <t>0123 SPYDEBERG</t>
  </si>
  <si>
    <t>0124 ASKIM</t>
  </si>
  <si>
    <t>0125 EIDSBERG</t>
  </si>
  <si>
    <t>0127 SKIPTVET</t>
  </si>
  <si>
    <t>0128 RAKKESTAD</t>
  </si>
  <si>
    <t>0135 RÅDE</t>
  </si>
  <si>
    <t>0136 RYGGE</t>
  </si>
  <si>
    <t>0137 VÅLER I ØSTFOLD</t>
  </si>
  <si>
    <t>0138 HOBØL</t>
  </si>
  <si>
    <t>0211 VESTBY</t>
  </si>
  <si>
    <t>0213 SKI</t>
  </si>
  <si>
    <t>0214 ÅS</t>
  </si>
  <si>
    <t>0216 NESODDEN</t>
  </si>
  <si>
    <t>0219 BÆRUM</t>
  </si>
  <si>
    <t>0220 ASKER</t>
  </si>
  <si>
    <t>0221 AURSKOG-HØLAND</t>
  </si>
  <si>
    <t>0226 SØRUM</t>
  </si>
  <si>
    <t>0227 FET</t>
  </si>
  <si>
    <t>0228 RÆLINGEN</t>
  </si>
  <si>
    <t>0229 ENEBAKK</t>
  </si>
  <si>
    <t>0230 LØRENSKOG</t>
  </si>
  <si>
    <t>0231 SKEDSMO</t>
  </si>
  <si>
    <t>0233 NITTEDAL</t>
  </si>
  <si>
    <t>0234 GJERDRUM</t>
  </si>
  <si>
    <t>0235 ULLENSAKER</t>
  </si>
  <si>
    <t>0236 NES I AKERSHUS</t>
  </si>
  <si>
    <t>0237 EIDSVOLL</t>
  </si>
  <si>
    <t>0238 NANNESTAD</t>
  </si>
  <si>
    <t>0239 HURDAL</t>
  </si>
  <si>
    <t>0301 OSLO</t>
  </si>
  <si>
    <t>0402 KONGSVINGER</t>
  </si>
  <si>
    <t>0403 HAMAR</t>
  </si>
  <si>
    <t>0412 RINGSAKER</t>
  </si>
  <si>
    <t>0415 LØTEN</t>
  </si>
  <si>
    <t>0417 STANGE</t>
  </si>
  <si>
    <t>0418 NORD-ODAL</t>
  </si>
  <si>
    <t>0419 SØR-ODAL</t>
  </si>
  <si>
    <t>0420 EIDSKOG</t>
  </si>
  <si>
    <t>0423 GRUE</t>
  </si>
  <si>
    <t>0425 ÅSNES</t>
  </si>
  <si>
    <t>0426 VÅLER I HEDMARK</t>
  </si>
  <si>
    <t>0427 ELVERUM</t>
  </si>
  <si>
    <t>0428 TRYSIL</t>
  </si>
  <si>
    <t>0429 ÅMOT</t>
  </si>
  <si>
    <t>0430 STOR-ELVDAL</t>
  </si>
  <si>
    <t>0432 RENDALEN</t>
  </si>
  <si>
    <t>0434 ENGERDAL</t>
  </si>
  <si>
    <t>0436 TOLGA</t>
  </si>
  <si>
    <t>0437 TYNSET</t>
  </si>
  <si>
    <t>0438 ALVDAL</t>
  </si>
  <si>
    <t>0439 FOLLDAL</t>
  </si>
  <si>
    <t>0441 OS I HEDMARK</t>
  </si>
  <si>
    <t>0501 LILLEHAMMER</t>
  </si>
  <si>
    <t>0502 GJØVIK</t>
  </si>
  <si>
    <t>0511 DOVRE</t>
  </si>
  <si>
    <t>0512 LESJA</t>
  </si>
  <si>
    <t>0513 SKJÅK</t>
  </si>
  <si>
    <t>0514 LOM</t>
  </si>
  <si>
    <t>0515 VÅGÅ</t>
  </si>
  <si>
    <t>0516 NORD-FRON</t>
  </si>
  <si>
    <t>0517 SEL</t>
  </si>
  <si>
    <t>0519 SØR-FRON</t>
  </si>
  <si>
    <t>0520 RINGEBU</t>
  </si>
  <si>
    <t>0521 ØYER</t>
  </si>
  <si>
    <t>0522 GAUSDAL</t>
  </si>
  <si>
    <t>0528 ØSTRE TOTEN</t>
  </si>
  <si>
    <t>0529 VESTRE TOTEN</t>
  </si>
  <si>
    <t>0532 JEVNAKER</t>
  </si>
  <si>
    <t>0533 LUNNER</t>
  </si>
  <si>
    <t>0534 GRAN</t>
  </si>
  <si>
    <t>0536 SØNDRE LAND</t>
  </si>
  <si>
    <t>0538 NORDRE LAND</t>
  </si>
  <si>
    <t>0540 SØR-AURDAL</t>
  </si>
  <si>
    <t>0541 ETNEDAL</t>
  </si>
  <si>
    <t>0542 NORD-AURDAL</t>
  </si>
  <si>
    <t>0543 VESTRE SLIDRE</t>
  </si>
  <si>
    <t>0544 ØYSTRE SLIDRE</t>
  </si>
  <si>
    <t>0545 VANG</t>
  </si>
  <si>
    <t>0602 DRAMMEN</t>
  </si>
  <si>
    <t>0604 KONGSBERG</t>
  </si>
  <si>
    <t>0605 RINGERIKE</t>
  </si>
  <si>
    <t>0612 HOLE</t>
  </si>
  <si>
    <t>0615 FLÅ</t>
  </si>
  <si>
    <t>0616 NES I BUSKERUD</t>
  </si>
  <si>
    <t>0617 GOL</t>
  </si>
  <si>
    <t>0618 HEMSEDAL</t>
  </si>
  <si>
    <t>0619 ÅL</t>
  </si>
  <si>
    <t>0620 HOL</t>
  </si>
  <si>
    <t>0621 SIGDAL</t>
  </si>
  <si>
    <t>0622 KRØDSHERAD</t>
  </si>
  <si>
    <t>0623 MODUM</t>
  </si>
  <si>
    <t>0624 ØVRE EIKER</t>
  </si>
  <si>
    <t>0625 NEDRE EIKER</t>
  </si>
  <si>
    <t>0626 LIER</t>
  </si>
  <si>
    <t>0627 RØYKEN</t>
  </si>
  <si>
    <t>0628 HURUM</t>
  </si>
  <si>
    <t>0631 FLESBERG</t>
  </si>
  <si>
    <t>0632 ROLLAG</t>
  </si>
  <si>
    <t>0633 NORE OG UVDAL</t>
  </si>
  <si>
    <t>0701 HORTEN</t>
  </si>
  <si>
    <t>0704 TØNSBERG</t>
  </si>
  <si>
    <t>0710 SANDEFJORD</t>
  </si>
  <si>
    <t>0711 SVELVIK</t>
  </si>
  <si>
    <t>0712 LARVIK</t>
  </si>
  <si>
    <t>0713 SANDE I VESTFOLD</t>
  </si>
  <si>
    <t>0715 HOLMESTRAND</t>
  </si>
  <si>
    <t>0716 RE</t>
  </si>
  <si>
    <t>0723 TJØME</t>
  </si>
  <si>
    <t>0729 FÆRDER</t>
  </si>
  <si>
    <t>0805 PORSGRUNN</t>
  </si>
  <si>
    <t>0806 SKIEN</t>
  </si>
  <si>
    <t>0807 NOTODDEN</t>
  </si>
  <si>
    <t>0811 SILJAN</t>
  </si>
  <si>
    <t>0814 BAMBLE</t>
  </si>
  <si>
    <t>0815 KRAGERØ</t>
  </si>
  <si>
    <t>0817 DRANGEDAL</t>
  </si>
  <si>
    <t>0819 NOME</t>
  </si>
  <si>
    <t>0821 BØ I TELEMARK</t>
  </si>
  <si>
    <t>0822 SAUHERAD</t>
  </si>
  <si>
    <t>0826 TINN</t>
  </si>
  <si>
    <t>0827 HJARTDAL</t>
  </si>
  <si>
    <t>0828 SELJORD</t>
  </si>
  <si>
    <t>0829 KVITESEID</t>
  </si>
  <si>
    <t>0830 NISSEDAL</t>
  </si>
  <si>
    <t>0831 FYRESDAL</t>
  </si>
  <si>
    <t>0833 TOKKE</t>
  </si>
  <si>
    <t>0834 VINJE</t>
  </si>
  <si>
    <t>0901 RISØR</t>
  </si>
  <si>
    <t>0904 GRIMSTAD</t>
  </si>
  <si>
    <t>0906 ARENDAL</t>
  </si>
  <si>
    <t>0911 GJERSTAD</t>
  </si>
  <si>
    <t>0912 VEGÅRSHEI</t>
  </si>
  <si>
    <t>0914 TVEDESTRAND</t>
  </si>
  <si>
    <t>0919 FROLAND</t>
  </si>
  <si>
    <t>0926 LILLESAND</t>
  </si>
  <si>
    <t>0928 BIRKENES</t>
  </si>
  <si>
    <t>0929 ÅMLI</t>
  </si>
  <si>
    <t>0935 IVELAND</t>
  </si>
  <si>
    <t>0937 EVJE OG HORNNES</t>
  </si>
  <si>
    <t>0938 BYGLAND</t>
  </si>
  <si>
    <t>0940 VALLE</t>
  </si>
  <si>
    <t>0941 BYKLE</t>
  </si>
  <si>
    <t>1001 KRISTIANSAND</t>
  </si>
  <si>
    <t>1002 MANDAL</t>
  </si>
  <si>
    <t>1003 FARSUND</t>
  </si>
  <si>
    <t>1004 FLEKKEFJORD</t>
  </si>
  <si>
    <t>1014 VENNESLA</t>
  </si>
  <si>
    <t>1017 SONGDALEN</t>
  </si>
  <si>
    <t>1018 SØGNE</t>
  </si>
  <si>
    <t>1021 MARNARDAL</t>
  </si>
  <si>
    <t>1026 ÅSERAL</t>
  </si>
  <si>
    <t>1027 AUDNEDAL</t>
  </si>
  <si>
    <t>1029 LINDESNES</t>
  </si>
  <si>
    <t>1032 LYNGDAL</t>
  </si>
  <si>
    <t>1034 HÆGEBOSTAD</t>
  </si>
  <si>
    <t>1037 KVINESDAL</t>
  </si>
  <si>
    <t>1046 SIRDAL</t>
  </si>
  <si>
    <t>1101 EIGERSUND</t>
  </si>
  <si>
    <t>1102 SANDNES</t>
  </si>
  <si>
    <t>1103 STAVANGER</t>
  </si>
  <si>
    <t>1106 HAUGESUND</t>
  </si>
  <si>
    <t>1111 SOKNDAL</t>
  </si>
  <si>
    <t>1112 LUND</t>
  </si>
  <si>
    <t>1114 BJERKREIM</t>
  </si>
  <si>
    <t>1119 HÅ</t>
  </si>
  <si>
    <t>1120 KLEPP</t>
  </si>
  <si>
    <t>1121 TIME</t>
  </si>
  <si>
    <t>1122 GJESDAL</t>
  </si>
  <si>
    <t>1124 SOLA</t>
  </si>
  <si>
    <t>1127 RANDABERG</t>
  </si>
  <si>
    <t>1129 FORSAND</t>
  </si>
  <si>
    <t>1130 STRAND</t>
  </si>
  <si>
    <t>1133 HJELMELAND</t>
  </si>
  <si>
    <t>1134 SULDAL</t>
  </si>
  <si>
    <t>1135 SAUDA</t>
  </si>
  <si>
    <t>1141 FINNØY</t>
  </si>
  <si>
    <t>1142 RENNESØY</t>
  </si>
  <si>
    <t>1144 KVITSØY</t>
  </si>
  <si>
    <t>1145 BOKN</t>
  </si>
  <si>
    <t>1146 TYSVÆR</t>
  </si>
  <si>
    <t>1149 KARMØY</t>
  </si>
  <si>
    <t>1151 UTSIRA</t>
  </si>
  <si>
    <t>1160 VINDAFJORD</t>
  </si>
  <si>
    <t>1201 BERGEN</t>
  </si>
  <si>
    <t>1211 ETNE</t>
  </si>
  <si>
    <t>1216 SVEIO</t>
  </si>
  <si>
    <t>1219 BØMLO</t>
  </si>
  <si>
    <t>1221 STORD</t>
  </si>
  <si>
    <t>1222 FITJAR</t>
  </si>
  <si>
    <t>1223 TYSNES</t>
  </si>
  <si>
    <t>1224 KVINNHERAD</t>
  </si>
  <si>
    <t>1227 JONDAL</t>
  </si>
  <si>
    <t>1228 ODDA</t>
  </si>
  <si>
    <t>1231 ULLENSVANG</t>
  </si>
  <si>
    <t>1232 EIDFJORD</t>
  </si>
  <si>
    <t>1233 ULVIK</t>
  </si>
  <si>
    <t>1234 GRANVIN</t>
  </si>
  <si>
    <t>1235 VOSS</t>
  </si>
  <si>
    <t>1238 KVAM</t>
  </si>
  <si>
    <t>1241 FUSA</t>
  </si>
  <si>
    <t>1242 SAMNANGER</t>
  </si>
  <si>
    <t>1243 OS I HORDALAND</t>
  </si>
  <si>
    <t>1244 AUSTEVOLL</t>
  </si>
  <si>
    <t>1245 SUND</t>
  </si>
  <si>
    <t>1246 FJELL</t>
  </si>
  <si>
    <t>1247 ASKØY</t>
  </si>
  <si>
    <t>1251 VAKSDAL</t>
  </si>
  <si>
    <t>1252 MODALEN</t>
  </si>
  <si>
    <t>1253 OSTERØY</t>
  </si>
  <si>
    <t>1256 MELAND</t>
  </si>
  <si>
    <t>1259 ØYGARDEN</t>
  </si>
  <si>
    <t>1260 RADØY</t>
  </si>
  <si>
    <t>1263 LINDÅS</t>
  </si>
  <si>
    <t>1264 AUSTRHEIM</t>
  </si>
  <si>
    <t>1265 FEDJE</t>
  </si>
  <si>
    <t>1266 MASFJORDEN</t>
  </si>
  <si>
    <t>1401 FLORA</t>
  </si>
  <si>
    <t>1411 GULEN</t>
  </si>
  <si>
    <t>1412 SOLUND</t>
  </si>
  <si>
    <t>1413 HYLLESTAD</t>
  </si>
  <si>
    <t>1416 HØYANGER</t>
  </si>
  <si>
    <t>1417 VIK</t>
  </si>
  <si>
    <t>1418 BALESTRAND</t>
  </si>
  <si>
    <t>1419 LEIKANGER</t>
  </si>
  <si>
    <t>1420 SOGNDAL</t>
  </si>
  <si>
    <t>1421 AURLAND</t>
  </si>
  <si>
    <t>1422 LÆRDAL</t>
  </si>
  <si>
    <t>1424 ÅRDAL</t>
  </si>
  <si>
    <t>1426 LUSTER</t>
  </si>
  <si>
    <t>1428 ASKVOLL</t>
  </si>
  <si>
    <t>1429 FJALER</t>
  </si>
  <si>
    <t>1430 GAULAR</t>
  </si>
  <si>
    <t>1431 JØLSTER</t>
  </si>
  <si>
    <t>1432 FØRDE</t>
  </si>
  <si>
    <t>1433 NAUSTDAL</t>
  </si>
  <si>
    <t>1438 BREMANGER</t>
  </si>
  <si>
    <t>1439 VÅGSØY</t>
  </si>
  <si>
    <t>1441 SELJE</t>
  </si>
  <si>
    <t>1443 EID</t>
  </si>
  <si>
    <t>1444 HORNINDAL</t>
  </si>
  <si>
    <t>1445 GLOPPEN</t>
  </si>
  <si>
    <t>1449 STRYN</t>
  </si>
  <si>
    <t>1502 MOLDE</t>
  </si>
  <si>
    <t>1504 ÅLESUND</t>
  </si>
  <si>
    <t>1505 KRISTIANSUND</t>
  </si>
  <si>
    <t>1511 VANYLVEN</t>
  </si>
  <si>
    <t>1514 SANDE</t>
  </si>
  <si>
    <t>1515 HERØY</t>
  </si>
  <si>
    <t>1516 ULSTEIN</t>
  </si>
  <si>
    <t>1517 HAREID</t>
  </si>
  <si>
    <t>1519 VOLDA</t>
  </si>
  <si>
    <t>1520 ØRSTA</t>
  </si>
  <si>
    <t>1523 ØRSKOG</t>
  </si>
  <si>
    <t>1524 NORDDAL</t>
  </si>
  <si>
    <t>1525 STRANDA</t>
  </si>
  <si>
    <t>1526 STORDAL</t>
  </si>
  <si>
    <t>1528 SYKKYLVEN</t>
  </si>
  <si>
    <t>1529 SKODJE</t>
  </si>
  <si>
    <t>1531 SULA</t>
  </si>
  <si>
    <t>1532 GISKE</t>
  </si>
  <si>
    <t>1534 HARAM</t>
  </si>
  <si>
    <t>1535 VESTNES</t>
  </si>
  <si>
    <t>1539 RAUMA</t>
  </si>
  <si>
    <t>1543 NESSET</t>
  </si>
  <si>
    <t>1545 MIDSUND</t>
  </si>
  <si>
    <t>1546 SANDØY</t>
  </si>
  <si>
    <t>1547 AUKRA</t>
  </si>
  <si>
    <t>1548 FRÆNA</t>
  </si>
  <si>
    <t>1551 EIDE</t>
  </si>
  <si>
    <t>1554 AVERØY</t>
  </si>
  <si>
    <t>1557 GJEMNES</t>
  </si>
  <si>
    <t>1560 TINGVOLL</t>
  </si>
  <si>
    <t>1563 SUNNDAL</t>
  </si>
  <si>
    <t>1566 SURNADAL</t>
  </si>
  <si>
    <t>1571 HALSA</t>
  </si>
  <si>
    <t>1573 SMØLA</t>
  </si>
  <si>
    <t>1576 AURE</t>
  </si>
  <si>
    <t>1804 BODØ</t>
  </si>
  <si>
    <t>1805 NARVIK</t>
  </si>
  <si>
    <t>1811 BINDAL</t>
  </si>
  <si>
    <t>1812 SØMNA</t>
  </si>
  <si>
    <t>1813 BRØNNØY</t>
  </si>
  <si>
    <t>1815 VEGA</t>
  </si>
  <si>
    <t>1816 VEVELSTAD</t>
  </si>
  <si>
    <t>1818 HERØY I NORDLAND</t>
  </si>
  <si>
    <t>1820 ALSTAHAUG</t>
  </si>
  <si>
    <t>1822 LEIRFJORD</t>
  </si>
  <si>
    <t>1824 VEFSN</t>
  </si>
  <si>
    <t>1825 GRANE</t>
  </si>
  <si>
    <t>1826 HATTFJELLDAL</t>
  </si>
  <si>
    <t>1827 DØNNA</t>
  </si>
  <si>
    <t>1828 NESNA</t>
  </si>
  <si>
    <t>1832 HEMNES</t>
  </si>
  <si>
    <t>1833 RANA</t>
  </si>
  <si>
    <t>1834 LURØY</t>
  </si>
  <si>
    <t>1835 TRÆNA</t>
  </si>
  <si>
    <t>1836 RØDØY</t>
  </si>
  <si>
    <t>1837 MELØY</t>
  </si>
  <si>
    <t>1838 GILDESKÅL</t>
  </si>
  <si>
    <t>1839 BEIARN</t>
  </si>
  <si>
    <t>1840 SALTDAL</t>
  </si>
  <si>
    <t>1841 FAUSKE</t>
  </si>
  <si>
    <t>1845 SØRFOLD</t>
  </si>
  <si>
    <t>1848 STEIGEN</t>
  </si>
  <si>
    <t>1849 HAMARØY</t>
  </si>
  <si>
    <t>1850 TYSFJORD</t>
  </si>
  <si>
    <t>1851 LØDINGEN</t>
  </si>
  <si>
    <t>1852 TJELDSUND</t>
  </si>
  <si>
    <t>1853 EVENES</t>
  </si>
  <si>
    <t>1854 BALLANGEN</t>
  </si>
  <si>
    <t>1859 FLAKSTAD</t>
  </si>
  <si>
    <t>1860 VESTVÅGØY</t>
  </si>
  <si>
    <t>1865 VÅGAN</t>
  </si>
  <si>
    <t>1866 HADSEL</t>
  </si>
  <si>
    <t>1867 BØ I NORDLAND</t>
  </si>
  <si>
    <t>1868 ØKSNES</t>
  </si>
  <si>
    <t>1870 SORTLAND</t>
  </si>
  <si>
    <t>1871 ANDØY</t>
  </si>
  <si>
    <t>1902 TROMSØ</t>
  </si>
  <si>
    <t>1903 HARSTAD</t>
  </si>
  <si>
    <t>1911 KVÆFJORD</t>
  </si>
  <si>
    <t>1913 SKÅNLAND</t>
  </si>
  <si>
    <t>1917 IBESTAD</t>
  </si>
  <si>
    <t>1919 GRATANGEN</t>
  </si>
  <si>
    <t>1920 LAVANGEN</t>
  </si>
  <si>
    <t>1922 BARDU</t>
  </si>
  <si>
    <t>1923 SALANGEN</t>
  </si>
  <si>
    <t>1924 MÅLSELV</t>
  </si>
  <si>
    <t>1925 SØRREISA</t>
  </si>
  <si>
    <t>1926 DYRØY</t>
  </si>
  <si>
    <t>1927 TRANØY</t>
  </si>
  <si>
    <t>1928 TORSKEN</t>
  </si>
  <si>
    <t>1931 LENVIK</t>
  </si>
  <si>
    <t>1933 BALSFJORD</t>
  </si>
  <si>
    <t>1936 KARLSØY</t>
  </si>
  <si>
    <t>1938 LYNGEN</t>
  </si>
  <si>
    <t>1939 STORFJORD</t>
  </si>
  <si>
    <t>1940 KÅFJORD</t>
  </si>
  <si>
    <t>1941 SKJERVØY</t>
  </si>
  <si>
    <t>1942 NORDREISA</t>
  </si>
  <si>
    <t>1943 KVÆNANGEN</t>
  </si>
  <si>
    <t>2002 VARDØ</t>
  </si>
  <si>
    <t>2003 VADSØ</t>
  </si>
  <si>
    <t>2004 HAMMERFEST</t>
  </si>
  <si>
    <t>2011 KAUTOKEINO</t>
  </si>
  <si>
    <t>2012 ALTA</t>
  </si>
  <si>
    <t>2017 KVALSUND</t>
  </si>
  <si>
    <t>2018 MÅSØY</t>
  </si>
  <si>
    <t>2020 PORSANGER</t>
  </si>
  <si>
    <t>2021 KARASJOK</t>
  </si>
  <si>
    <t>2022 LEBESBY</t>
  </si>
  <si>
    <t>2023 GAMVIK</t>
  </si>
  <si>
    <t>2024 BERLEVÅG</t>
  </si>
  <si>
    <t>2025 TANA/DEATNU</t>
  </si>
  <si>
    <t>2027 NESSEBY/UNJ&amp;RGA</t>
  </si>
  <si>
    <t>2030 SØR-VARANGER</t>
  </si>
  <si>
    <t>5001 TRONDHEIM</t>
  </si>
  <si>
    <t>5004 STEINKJER</t>
  </si>
  <si>
    <t>5005 NAMSOS</t>
  </si>
  <si>
    <t>5011 HEMNE</t>
  </si>
  <si>
    <t>5012 SNILLFJORD</t>
  </si>
  <si>
    <t>5013 HITRA</t>
  </si>
  <si>
    <t>5014 FRØYA</t>
  </si>
  <si>
    <t>5015 ØRLAND</t>
  </si>
  <si>
    <t>5016 AGDENES</t>
  </si>
  <si>
    <t>5017 BJUGN</t>
  </si>
  <si>
    <t>5018 ÅFJORD</t>
  </si>
  <si>
    <t>5019 ROAN</t>
  </si>
  <si>
    <t>5020 OSEN</t>
  </si>
  <si>
    <t>5021 OPPDAL</t>
  </si>
  <si>
    <t>5022 RENNEBU</t>
  </si>
  <si>
    <t>5023 MELDAL</t>
  </si>
  <si>
    <t>5024 ORKDAL</t>
  </si>
  <si>
    <t>5025 RØROS</t>
  </si>
  <si>
    <t>5026 HOLTÅLEN</t>
  </si>
  <si>
    <t>5027 MIDTRE GAULDAL</t>
  </si>
  <si>
    <t>5028 MELHUS</t>
  </si>
  <si>
    <t>5029 SKAUN</t>
  </si>
  <si>
    <t>5030 KLÆBU</t>
  </si>
  <si>
    <t>5031 MALVIK</t>
  </si>
  <si>
    <t>5032 SELBU</t>
  </si>
  <si>
    <t>5033 TYDAL</t>
  </si>
  <si>
    <t>5034 MERÅKER</t>
  </si>
  <si>
    <t>5035 STJØRDAL</t>
  </si>
  <si>
    <t>5036 FROSTA</t>
  </si>
  <si>
    <t>5037 LEVANGER</t>
  </si>
  <si>
    <t>5038 VERDAL</t>
  </si>
  <si>
    <t>5039 VERRAN</t>
  </si>
  <si>
    <t>5040 NAMDALSEID</t>
  </si>
  <si>
    <t>5041 SNÅSE - SNÅSA</t>
  </si>
  <si>
    <t>5042 LIERNE</t>
  </si>
  <si>
    <t>5043 RØYRVIK</t>
  </si>
  <si>
    <t>5044 NAMSKOGAN</t>
  </si>
  <si>
    <t>5045 GRONG</t>
  </si>
  <si>
    <t>5046 HØYLANDER</t>
  </si>
  <si>
    <t>5047 OVERHALLA</t>
  </si>
  <si>
    <t>5048 FOSNES</t>
  </si>
  <si>
    <t>5049 FLATANGER</t>
  </si>
  <si>
    <t>5050 VIKNA</t>
  </si>
  <si>
    <t>5051 NÆRØY</t>
  </si>
  <si>
    <t>5052 LEKA</t>
  </si>
  <si>
    <t>5053 INDERØY</t>
  </si>
  <si>
    <t>5054 INDRE FOSEN</t>
  </si>
  <si>
    <t>5061 RINDAL</t>
  </si>
  <si>
    <t>Totalsum</t>
  </si>
  <si>
    <t>Leverandørgruppe</t>
  </si>
  <si>
    <t>Dyretransportører</t>
  </si>
  <si>
    <t>Beløp</t>
  </si>
  <si>
    <t>Avregningstype</t>
  </si>
  <si>
    <t>Avregningstype1</t>
  </si>
  <si>
    <t>5. Avregning transport</t>
  </si>
  <si>
    <t>Leverandør hoved</t>
  </si>
  <si>
    <t>Slakt</t>
  </si>
  <si>
    <t>Livdyr</t>
  </si>
  <si>
    <t>03396 Vangerud Dyretransport AS</t>
  </si>
  <si>
    <t>03380 Grøtting Dyretransport AS</t>
  </si>
  <si>
    <t>03402 Aaen Per Erik</t>
  </si>
  <si>
    <t>03404 Wangen Transport AS</t>
  </si>
  <si>
    <t>03397 Bakkeli Jørn H. AS</t>
  </si>
  <si>
    <t>04266 Nyløkken Transport AS</t>
  </si>
  <si>
    <t>10098 Skjåkødegård Otto P. Bil 198</t>
  </si>
  <si>
    <t>03395 Transferd AS Øst</t>
  </si>
  <si>
    <t>10005 Baukhol Odd AS</t>
  </si>
  <si>
    <t>10133 Fåvang Bilene As Bil 133</t>
  </si>
  <si>
    <t>03384 Per Opdal Transport AS</t>
  </si>
  <si>
    <t>03388 Sønstevoldhaugen Karsten</t>
  </si>
  <si>
    <t>03387 Gihle Dyretransport AS</t>
  </si>
  <si>
    <t>04272 Oulie Ivar</t>
  </si>
  <si>
    <t>03386 Ole og Bjørn Dyretransport AS</t>
  </si>
  <si>
    <t>03407 Windingstad Transport AS</t>
  </si>
  <si>
    <t>Vare</t>
  </si>
  <si>
    <t>Alle 4-beinte</t>
  </si>
  <si>
    <t>134001 INNTRANSPORT PR. KM HENGER</t>
  </si>
  <si>
    <t>134191 INNTRANSPORT PR. KM BLANDINGSLASS</t>
  </si>
  <si>
    <t>134192 INNTR. MINSTEBET. BLANDINGSLASS</t>
  </si>
  <si>
    <t>134200 FRAMMØTE TRANSPORTØR</t>
  </si>
  <si>
    <t>134210 FRAMMØTE TRANSPORTØR TILLEGG 1</t>
  </si>
  <si>
    <t>134213 FRAMMØTE TRANSPORTØR TILLEGG</t>
  </si>
  <si>
    <t>134214 HELGETILLEGG PR KILOMETER</t>
  </si>
  <si>
    <t>134240 EKSTRA TILLEGG INNTRANSPORT</t>
  </si>
  <si>
    <t>134241 INNTRANSPORT VENTETID</t>
  </si>
  <si>
    <t>134242 INNTRANSPORT DESINFISERING</t>
  </si>
  <si>
    <t>134250 DIVERSE TILLEGG INNTRANSPORT</t>
  </si>
  <si>
    <t>134251 INNTRANSPORT AVBESTILLING OPPDRAG</t>
  </si>
  <si>
    <t>134252 PRISKORRIGERING INNTRANSPORT</t>
  </si>
  <si>
    <t>134260 REFUSJON BOMBILLETTER</t>
  </si>
  <si>
    <t>134265 FERGETILLEGG</t>
  </si>
  <si>
    <t>Alle 4-beinte Totalt</t>
  </si>
  <si>
    <t>Annet</t>
  </si>
  <si>
    <t>134060 INNTRANSPORT HEST</t>
  </si>
  <si>
    <t>Annet Totalt</t>
  </si>
  <si>
    <t>134010 INNTRANSPORT GRIS U 106KG</t>
  </si>
  <si>
    <t>134011 INNTRANSPORT GRIS &gt; 106KG</t>
  </si>
  <si>
    <t>134110 INNTRANSPORT PR. TIME GRIS</t>
  </si>
  <si>
    <t>134111 INNTRANSPORT PR. KM GRIS</t>
  </si>
  <si>
    <t>134112 INNTRANSPORT MINSTEBET. LASS GRIS</t>
  </si>
  <si>
    <t>Gris Totalt</t>
  </si>
  <si>
    <t>134040 INNTRANSPORT SAU/LAM, UKLIPT</t>
  </si>
  <si>
    <t>134050 INNTRANSPORT GEIT/KJE</t>
  </si>
  <si>
    <t>134140 INNTRANSPORT PR. TIME SMÅFE</t>
  </si>
  <si>
    <t>134141 INNTRANSPORT PR. KM SMÅFE</t>
  </si>
  <si>
    <t>134142 INNTRANSPORT MINSTEBET. LASS SMÅFE</t>
  </si>
  <si>
    <t>134143 INNTR. TILLEGG LITE LASS SMÅFE</t>
  </si>
  <si>
    <t>Småfe Totalt</t>
  </si>
  <si>
    <t>134020 INNTRANSPORT STORFE 175 - 400 KG</t>
  </si>
  <si>
    <t>134021 INNTRANSPORT STORFE &gt; 400 KG</t>
  </si>
  <si>
    <t>134030 INNTRANSPORT KALV U 75 KG</t>
  </si>
  <si>
    <t>134031 INNTRANSPORT KALV/STORFE 75 - 175 K</t>
  </si>
  <si>
    <t>134039 INNTRANSPORT KALV SPESIAL</t>
  </si>
  <si>
    <t>134120 INNTRANSPORT PR. TIME STORFE/KALV</t>
  </si>
  <si>
    <t>134121 INNTRANSPORT PR. KM STORFE</t>
  </si>
  <si>
    <t>134122 INNTRANSPORT MINSTEBET. LASS STORFE</t>
  </si>
  <si>
    <t>134123 INNTR. TILLEGG LITE LASS STORFE</t>
  </si>
  <si>
    <t>Storfe Totalt</t>
  </si>
  <si>
    <t>Planleggingsområde</t>
  </si>
  <si>
    <t>Medlemssenter</t>
  </si>
  <si>
    <t>Transportør</t>
  </si>
  <si>
    <t>Omsetning</t>
  </si>
  <si>
    <t>Gris stk</t>
  </si>
  <si>
    <t>Småfe stk</t>
  </si>
  <si>
    <t>Storfe stk</t>
  </si>
  <si>
    <t>Gris kjøresedler</t>
  </si>
  <si>
    <t>Småfe kjøresedler</t>
  </si>
  <si>
    <t>Storfe kjøresedler</t>
  </si>
  <si>
    <t>Sum kjøresedler</t>
  </si>
  <si>
    <t>Dagens Antall biler</t>
  </si>
  <si>
    <t>Dagens Antall hengere</t>
  </si>
  <si>
    <t>Fremtidig Antall biler</t>
  </si>
  <si>
    <t>Fremtidig Antall hengere</t>
  </si>
  <si>
    <t>Endring biler</t>
  </si>
  <si>
    <t>Endring hengere</t>
  </si>
  <si>
    <t>Kommentarer</t>
  </si>
  <si>
    <t>Omsetning / kjøreseddel</t>
  </si>
  <si>
    <t>Planlegger område</t>
  </si>
  <si>
    <t>Planlegger anlegg</t>
  </si>
  <si>
    <t>Omsetning / bil</t>
  </si>
  <si>
    <t>01. Østfold/Akershus</t>
  </si>
  <si>
    <t>32181 R-M Transport &amp; Budservice Bil 371</t>
  </si>
  <si>
    <t>32457 Grimsrud Thore-John Bil 399</t>
  </si>
  <si>
    <t>3 etg</t>
  </si>
  <si>
    <t>33515 K &amp; S Termotransport As Bil 398</t>
  </si>
  <si>
    <t>Semi 3 etg</t>
  </si>
  <si>
    <t>33527 Hans Thv.Karlshusbund Bil 396</t>
  </si>
  <si>
    <t>01. Østfold/Akershus Totalt</t>
  </si>
  <si>
    <t>02. Solør/Akershus</t>
  </si>
  <si>
    <t>Rudshøgda</t>
  </si>
  <si>
    <t>10035 Sandholt Håkon Bil 135</t>
  </si>
  <si>
    <t>10062 Vangerud Håkon Bil 162</t>
  </si>
  <si>
    <t>32166 Hansen Gert Bil 374</t>
  </si>
  <si>
    <t>02. Solør/Akershus Totalt</t>
  </si>
  <si>
    <t>03. Østerdalen</t>
  </si>
  <si>
    <t>01516 Grøtting Dyretransport AS Bil 124</t>
  </si>
  <si>
    <t>11051 Aaen Per Erik Bil 151</t>
  </si>
  <si>
    <t>11152 Wangen Transport AS Bil 152</t>
  </si>
  <si>
    <t>03. Østerdalen Totalt</t>
  </si>
  <si>
    <t>04. Gudbrandsdal Nord</t>
  </si>
  <si>
    <t>02001 Nyløkken Transport AS</t>
  </si>
  <si>
    <t>10036 Baukhol Odd Bil 136</t>
  </si>
  <si>
    <t>10042 Transferd AS Bil 142</t>
  </si>
  <si>
    <t>04. Gudbrandsdal Nord Totalt</t>
  </si>
  <si>
    <t>05. Gudbrandsdal Sør</t>
  </si>
  <si>
    <t>01901 Per Opdal Transport AS</t>
  </si>
  <si>
    <t>10034 Sønstevoldhaugen Karsten Bil 134</t>
  </si>
  <si>
    <t>10522 Bakkeli Jørn H. A/S Bil 122</t>
  </si>
  <si>
    <t>05. Gudbrandsdal Sør Totalt</t>
  </si>
  <si>
    <t>06. Vest-Oppland/Hadeland</t>
  </si>
  <si>
    <t>02125 Gihle Dyretransport AS  Bil 117</t>
  </si>
  <si>
    <t>10015 Ole og Bjørn Dyretransport As Bil 115</t>
  </si>
  <si>
    <t>10173 Oulie Ivar Bil 173</t>
  </si>
  <si>
    <t>Ønsker å trappe ned</t>
  </si>
  <si>
    <t>06. Vest-Oppland/Hadeland Totalt</t>
  </si>
  <si>
    <t>Otta</t>
  </si>
  <si>
    <t>07. Hallingdal og Valdres</t>
  </si>
  <si>
    <t>11319 Windingstad Transport As Bil 119</t>
  </si>
  <si>
    <t>43939 Mikkelsen Ole Johan Nortura Bil 420</t>
  </si>
  <si>
    <t>44740 Hallingdal Dyretransport AS bil 421</t>
  </si>
  <si>
    <t>07. Hallingdal og Valdres Totalt</t>
  </si>
  <si>
    <t>08. Vestfold/Nedre Buskerud</t>
  </si>
  <si>
    <t>0719 ANDEBU</t>
  </si>
  <si>
    <t>43925 Edvardsen Åge Bil 403</t>
  </si>
  <si>
    <t>0720 STOKKE</t>
  </si>
  <si>
    <t>0722 NØTTERØY</t>
  </si>
  <si>
    <t>0728 LARDAL</t>
  </si>
  <si>
    <t>43926 Horntvedt Erling Bil 404</t>
  </si>
  <si>
    <t>0706 SANDEFJORD</t>
  </si>
  <si>
    <t>0709 LARVIK</t>
  </si>
  <si>
    <t>43928 Gran Hans Kr.Transport Bil 406</t>
  </si>
  <si>
    <t>0702 HOLMESTRAND</t>
  </si>
  <si>
    <t>0714 HOF</t>
  </si>
  <si>
    <t>3 etg henger</t>
  </si>
  <si>
    <t>43929 Nils Hovland Bil 407</t>
  </si>
  <si>
    <t>08. Vestfold/Nedre Buskerud Totalt</t>
  </si>
  <si>
    <t>09. Telemark</t>
  </si>
  <si>
    <t>41892 Terje Rønningene Transport Bil 415</t>
  </si>
  <si>
    <t>41893 Eikrem Willy Bil 427</t>
  </si>
  <si>
    <t>43933 Breidalen Jan Helge Nortura Bil 412</t>
  </si>
  <si>
    <t>43947 Halvor Riggenholt Bil 431</t>
  </si>
  <si>
    <t>Slutter trolig snart</t>
  </si>
  <si>
    <t>09. Telemark Totalt</t>
  </si>
  <si>
    <t>Sandeid</t>
  </si>
  <si>
    <t>10. Aust-Agder</t>
  </si>
  <si>
    <t>43954 Sigve Krageboen bil nr 443</t>
  </si>
  <si>
    <t>1 semi</t>
  </si>
  <si>
    <t>10. Aust-Agder Totalt</t>
  </si>
  <si>
    <t>Egersund/Forus</t>
  </si>
  <si>
    <t>Livdyrbiler i tillegg</t>
  </si>
  <si>
    <t>43931 Hermansen Frank Nortura Bil 409</t>
  </si>
  <si>
    <t>NORTURA Øst: Hedmark, Oppland og nordre Akershus</t>
  </si>
  <si>
    <t>PRISLISTE DYRETRANSPORT</t>
  </si>
  <si>
    <t>Priser i kr/enhet for ordinære oppdrag.</t>
  </si>
  <si>
    <t>Gjeldende fra 01.04.2018</t>
  </si>
  <si>
    <t>Varenummer --&gt;</t>
  </si>
  <si>
    <t>STORFE 175,1-400,0</t>
  </si>
  <si>
    <t>STORFE &gt; 400,1</t>
  </si>
  <si>
    <t>KALV/STF. 75,1 - 175,0</t>
  </si>
  <si>
    <t>KALV SPESIAL</t>
  </si>
  <si>
    <t>KALV &lt; 75,0</t>
  </si>
  <si>
    <t>HEST</t>
  </si>
  <si>
    <t>GRIS/P/R                 &lt; 106,0</t>
  </si>
  <si>
    <t>GRIS/P/R                          &gt; 106,1 KG</t>
  </si>
  <si>
    <t>SAU/LAM UKLIPT</t>
  </si>
  <si>
    <t>SAU/LAM KLIPT</t>
  </si>
  <si>
    <t>GEIT/KJE</t>
  </si>
  <si>
    <t>Frammøte</t>
  </si>
  <si>
    <t>kr/fm</t>
  </si>
  <si>
    <t>Sone-satser</t>
  </si>
  <si>
    <t>x 1,4</t>
  </si>
  <si>
    <t>x 0,67</t>
  </si>
  <si>
    <t>x 1,9</t>
  </si>
  <si>
    <t>Raden er økt med 2,7 %</t>
  </si>
  <si>
    <t xml:space="preserve">  0  -  25</t>
  </si>
  <si>
    <t>kr/dyr</t>
  </si>
  <si>
    <t xml:space="preserve"> 26 -  50</t>
  </si>
  <si>
    <t>Rad 10 + nytt sonetillegg</t>
  </si>
  <si>
    <t xml:space="preserve"> 51 -  75</t>
  </si>
  <si>
    <t>osv..</t>
  </si>
  <si>
    <t xml:space="preserve"> 76  - 100</t>
  </si>
  <si>
    <t>101 - 125</t>
  </si>
  <si>
    <t>126 - 150</t>
  </si>
  <si>
    <t>151 - 175</t>
  </si>
  <si>
    <t>176 - 200</t>
  </si>
  <si>
    <t>201 - 225</t>
  </si>
  <si>
    <t>226 - 250</t>
  </si>
  <si>
    <t>251 - 275</t>
  </si>
  <si>
    <t>276 - 300</t>
  </si>
  <si>
    <t>301 - 325</t>
  </si>
  <si>
    <t>326 - 350</t>
  </si>
  <si>
    <t>351 - 375</t>
  </si>
  <si>
    <t>376 - 400</t>
  </si>
  <si>
    <t>401 - 425</t>
  </si>
  <si>
    <t>426 - 450</t>
  </si>
  <si>
    <t>1. PRISREDUKSJON STORE LASS</t>
  </si>
  <si>
    <t>Dyreslag</t>
  </si>
  <si>
    <t>Antall pr lass</t>
  </si>
  <si>
    <t>Redusksjon lasspris</t>
  </si>
  <si>
    <t>Reguleringer:</t>
  </si>
  <si>
    <t>NLF - indeks nr. 2</t>
  </si>
  <si>
    <t>Indeks fra februar til februar</t>
  </si>
  <si>
    <t>2. GODTGJØRELSE FOR SÆRKOSTNADER</t>
  </si>
  <si>
    <t>A</t>
  </si>
  <si>
    <t>Kjøring på søndager og helligdager</t>
  </si>
  <si>
    <t>%-tillegg</t>
  </si>
  <si>
    <t>T</t>
  </si>
  <si>
    <t>Returlass slaktedyr</t>
  </si>
  <si>
    <t>Når slaktedyr transporteres på retur fra slakteri godtgjøres ekstra km- og timeforbruk + 1 time.</t>
  </si>
  <si>
    <t>Kr/time</t>
  </si>
  <si>
    <t>Ventetid ved lossing</t>
  </si>
  <si>
    <t>Avbestilling</t>
  </si>
  <si>
    <t>Kr/lass</t>
  </si>
  <si>
    <t>Når Nortura avbestiller oppdrag mindre enn ett døgn før planlagt lasting og man har lønnsforpliktelser overfor sjåfør</t>
  </si>
  <si>
    <t>Desinfisering</t>
  </si>
  <si>
    <t>Kr/vask</t>
  </si>
  <si>
    <t>Når Nortura beordrer desinfisering utover regelen i renholdsinstruks.</t>
  </si>
  <si>
    <t>3. GODTGJØRELSE FOR IKKE-ORDINÆRE OPPDRAG</t>
  </si>
  <si>
    <t>Ikke-ordinære oppdrag</t>
  </si>
  <si>
    <t>Slike oppdrag skal avtales med transportleder på forhånd. Kan gjelde bl.a.: oppdrag som må tilrettelegges spesielt for å overholde total kjøretid, oppdrag som krever oppsamlingsbiler, enkeltoppdrag ved sjukdom, nødstilfeller og lignende. Merk at oppdragene vil bli vurdert utfra driftsform og organisering.</t>
  </si>
  <si>
    <t>Tillegg ved bruk av henger</t>
  </si>
  <si>
    <t>Bruk av matebil</t>
  </si>
  <si>
    <t>Sluttbil avregnes fra produsent til slakteri. Ved bruk av flere transportører skal matebiler avregnes som Ikke-ordinære oppdrag og sonen endres til omlastingsted.</t>
  </si>
  <si>
    <t>Minstelass i hht. Avtalen punkt 6.2.3.</t>
  </si>
  <si>
    <t>Godtgjørelse som ikke-ordinære oppdrag. Oppdragene skal være godkjent av transportleder og dokumenteres ved bruk av skive. Skiven skal vedlegges, ellers avregnes lasset etter ordinære satser.</t>
  </si>
  <si>
    <t>4. ANDRE GODTGJØRELSER</t>
  </si>
  <si>
    <t>-</t>
  </si>
  <si>
    <t>Uttak av arbeidstøy</t>
  </si>
  <si>
    <t>3 kjeledresser eller bukse + jakke pr. bil pr. år, samt èn vinterjakke og ett par standard gummistøvler med vernetå. Arbeidstøy vil ikke være merket. Gilde kan vaske arbeidstøy som er utdelt av Nortura etter samme rutine som for ansatte.</t>
  </si>
  <si>
    <t>Kantine</t>
  </si>
  <si>
    <r>
      <t xml:space="preserve">Gratis drikke (kaffe, melk, juice) for sjåfører i forbindelse med </t>
    </r>
    <r>
      <rPr>
        <b/>
        <sz val="10"/>
        <color indexed="8"/>
        <rFont val="Arial"/>
        <family val="2"/>
      </rPr>
      <t>måltid i kantiner</t>
    </r>
    <r>
      <rPr>
        <sz val="10"/>
        <color indexed="8"/>
        <rFont val="Arial"/>
        <family val="2"/>
      </rPr>
      <t xml:space="preserve"> Rudshøgda og Otta.</t>
    </r>
  </si>
  <si>
    <t>Fergesats</t>
  </si>
  <si>
    <t>Fergesats pr tur</t>
  </si>
  <si>
    <t>5. LIVDYRTRANSPORT</t>
  </si>
  <si>
    <t xml:space="preserve">T </t>
  </si>
  <si>
    <t>Livdyrkjøring</t>
  </si>
  <si>
    <t>Når livdyr transporteres på retur fra slakteri godtgjøres ekstra km- og timeforbruk + 1 time.</t>
  </si>
  <si>
    <t>Tillegg ved lange transporter som betinger 2 sjåfører</t>
  </si>
  <si>
    <t>Varmeapparat</t>
  </si>
  <si>
    <t>Kr/desinf.</t>
  </si>
  <si>
    <t>Gjelder kun ved desinfisering, IKKE ordinær vask</t>
  </si>
  <si>
    <t>Lett gris (til slakt)</t>
  </si>
  <si>
    <t>Rene lass med lett gris avregnes etter livdyrsatser. Når lett gris kjøres på blandede lass sammen med slaktedyr avregnes lett gris med 55% av slaktegrissats (&lt; 106 kg), samt 172 kr for frammøte, og tillegg for tidsforbruk til veiing à kr 379 pr. time.</t>
  </si>
  <si>
    <t>A = Avregnes automatisk</t>
  </si>
  <si>
    <t>T = Føres på skjema "Transportregning Livdyr " og "Godtgjørelse dyretransport"</t>
  </si>
  <si>
    <t>Fra_kommunenr</t>
  </si>
  <si>
    <t>Til_kommunenr</t>
  </si>
  <si>
    <t>Til_kommune</t>
  </si>
  <si>
    <t>Km</t>
  </si>
  <si>
    <t>Oslo1</t>
  </si>
  <si>
    <t>Østre_Toten</t>
  </si>
  <si>
    <t>Vestre_Toten</t>
  </si>
  <si>
    <t>Søndre_Land</t>
  </si>
  <si>
    <t>Nordre_Land</t>
  </si>
  <si>
    <t>Vestre_Slidre</t>
  </si>
  <si>
    <t>Austre_Slidre</t>
  </si>
  <si>
    <t>Øvre_Eiker</t>
  </si>
  <si>
    <t>Nedre_Eiker</t>
  </si>
  <si>
    <t>Nore_og_Uvdal</t>
  </si>
  <si>
    <t>Evje_og_Hornnes</t>
  </si>
  <si>
    <t>Ølen</t>
  </si>
  <si>
    <t>Frei</t>
  </si>
  <si>
    <t>Tustna</t>
  </si>
  <si>
    <t>Midtre_Gauldal</t>
  </si>
  <si>
    <t>Mosvik</t>
  </si>
  <si>
    <t>Inderøy</t>
  </si>
  <si>
    <t>Hattfjellda</t>
  </si>
  <si>
    <t>Skjerstad</t>
  </si>
  <si>
    <t>Bjarkøy</t>
  </si>
  <si>
    <t xml:space="preserve">Kåfjord </t>
  </si>
  <si>
    <t>Tromsø1</t>
  </si>
  <si>
    <t>Kautokeino</t>
  </si>
  <si>
    <t>Porsanger</t>
  </si>
  <si>
    <t>Karasjok</t>
  </si>
  <si>
    <t>Tana</t>
  </si>
  <si>
    <t>Nesseby</t>
  </si>
  <si>
    <t>(5202=5203)</t>
  </si>
  <si>
    <t>(5502=5501)</t>
  </si>
  <si>
    <t>(5606=5605)</t>
  </si>
  <si>
    <t>(5607=5605)</t>
  </si>
  <si>
    <t xml:space="preserve">Info om vedlegget </t>
  </si>
  <si>
    <t xml:space="preserve">V1: Kilometerkalkyle </t>
  </si>
  <si>
    <t xml:space="preserve">V2: Antall dyr pr kommune med kjøresedler </t>
  </si>
  <si>
    <t xml:space="preserve">V3: Stykkpris </t>
  </si>
  <si>
    <t xml:space="preserve">V4: Distansematrise </t>
  </si>
  <si>
    <t xml:space="preserve">V5: Våre beregninger til oppgaven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</si>
</sst>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_(* #,##0.00_);_(* \(#,##0.00\);_(* &quot;-&quot;??_);_(@_)"/>
    <numFmt numFmtId="166" formatCode="0.0\ %"/>
    <numFmt numFmtId="167" formatCode="_(* #,##0_);_(* \(#,##0\);_(* &quot;-&quot;??_);_(@_)"/>
    <numFmt numFmtId="168" formatCode="_(* #,##0.0_);_(* \(#,##0.0\);_(* &quot;-&quot;??_);_(@_)"/>
    <numFmt numFmtId="169" formatCode="_(* #,##0_);_(* \(#,##0\);_(* &quot;-&quot;?_);_(@_)"/>
    <numFmt numFmtId="170" formatCode="_ * #,##0.00_ ;_ * \-#,##0.00_ ;_ * &quot;-&quot;??_ ;_ @_ "/>
    <numFmt numFmtId="171" formatCode="_ * #,##0_ ;_ * \-#,##0_ ;_ * &quot;-&quot;??_ ;_ @_ "/>
    <numFmt numFmtId="172" formatCode="0.00_)"/>
  </numFmts>
  <fonts count="60">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name val="Arial"/>
      <family val="2"/>
    </font>
    <font>
      <sz val="10"/>
      <color theme="1"/>
      <name val="Arial"/>
      <family val="2"/>
    </font>
    <font>
      <b/>
      <sz val="12"/>
      <color theme="1"/>
      <name val="Calibri"/>
      <family val="2"/>
      <scheme val="minor"/>
    </font>
    <font>
      <b/>
      <sz val="11"/>
      <color theme="1"/>
      <name val="Calibri"/>
      <family val="2"/>
      <scheme val="minor"/>
    </font>
    <font>
      <sz val="11"/>
      <color rgb="FF000000"/>
      <name val="Calibri"/>
      <family val="2"/>
      <scheme val="minor"/>
    </font>
    <font>
      <b/>
      <sz val="8"/>
      <name val="Arial"/>
      <family val="2"/>
    </font>
    <font>
      <b/>
      <sz val="11"/>
      <color rgb="FF000000"/>
      <name val="Calibri"/>
      <family val="2"/>
      <scheme val="minor"/>
    </font>
    <font>
      <i/>
      <sz val="11"/>
      <color theme="1"/>
      <name val="Calibri"/>
      <family val="2"/>
      <scheme val="minor"/>
    </font>
    <font>
      <b/>
      <sz val="12"/>
      <color theme="1"/>
      <name val="Times New Roman"/>
      <family val="1"/>
    </font>
    <font>
      <sz val="12"/>
      <color theme="1"/>
      <name val="Times New Roman"/>
      <family val="1"/>
    </font>
    <font>
      <b/>
      <sz val="11"/>
      <color theme="1"/>
      <name val="Times New Roman"/>
      <family val="1"/>
    </font>
    <font>
      <sz val="11"/>
      <color theme="1"/>
      <name val="Times New Roman"/>
      <family val="1"/>
    </font>
    <font>
      <sz val="11"/>
      <color rgb="FF000000"/>
      <name val="Times New Roman"/>
      <family val="1"/>
    </font>
    <font>
      <b/>
      <sz val="11"/>
      <color rgb="FF000000"/>
      <name val="Times New Roman"/>
      <family val="1"/>
    </font>
    <font>
      <b/>
      <sz val="14"/>
      <color theme="1"/>
      <name val="Times New Roman"/>
      <family val="1"/>
    </font>
    <font>
      <b/>
      <sz val="14"/>
      <color theme="1"/>
      <name val="Calibri"/>
      <family val="2"/>
      <scheme val="minor"/>
    </font>
    <font>
      <i/>
      <sz val="11"/>
      <color theme="1"/>
      <name val="Times New Roman"/>
      <family val="1"/>
    </font>
    <font>
      <sz val="10"/>
      <color theme="1"/>
      <name val="Times New Roman"/>
      <family val="1"/>
    </font>
    <font>
      <sz val="10"/>
      <name val="Times New Roman"/>
      <family val="1"/>
    </font>
    <font>
      <b/>
      <sz val="10"/>
      <name val="Times New Roman"/>
      <family val="1"/>
    </font>
    <font>
      <b/>
      <sz val="10"/>
      <color theme="1"/>
      <name val="Times New Roman"/>
      <family val="1"/>
    </font>
    <font>
      <b/>
      <sz val="22"/>
      <color theme="1"/>
      <name val="Times New Roman"/>
      <family val="1"/>
    </font>
    <font>
      <sz val="22"/>
      <color theme="1"/>
      <name val="Times New Roman"/>
      <family val="1"/>
    </font>
    <font>
      <sz val="22"/>
      <color theme="1"/>
      <name val="Calibri"/>
      <family val="2"/>
      <scheme val="minor"/>
    </font>
    <font>
      <b/>
      <i/>
      <sz val="14"/>
      <color theme="1"/>
      <name val="Times New Roman"/>
      <family val="1"/>
    </font>
    <font>
      <b/>
      <i/>
      <sz val="12"/>
      <color theme="1"/>
      <name val="Times New Roman"/>
      <family val="1"/>
    </font>
    <font>
      <sz val="10"/>
      <name val="Arial"/>
    </font>
    <font>
      <b/>
      <sz val="10"/>
      <name val="Arial"/>
      <family val="2"/>
    </font>
    <font>
      <sz val="12"/>
      <name val="Arial"/>
      <family val="2"/>
    </font>
    <font>
      <sz val="8.75"/>
      <name val="Arial"/>
      <family val="2"/>
    </font>
    <font>
      <b/>
      <sz val="8.75"/>
      <name val="Arial"/>
      <family val="2"/>
    </font>
    <font>
      <sz val="12"/>
      <color rgb="FF333333"/>
      <name val="Arial"/>
      <family val="2"/>
    </font>
    <font>
      <b/>
      <sz val="12"/>
      <color rgb="FF333333"/>
      <name val="Arial"/>
      <family val="2"/>
    </font>
    <font>
      <sz val="12"/>
      <color indexed="8"/>
      <name val="Arial"/>
      <family val="2"/>
    </font>
    <font>
      <b/>
      <sz val="12"/>
      <color indexed="8"/>
      <name val="Arial"/>
      <family val="2"/>
    </font>
    <font>
      <b/>
      <sz val="12"/>
      <name val="Arial"/>
      <family val="2"/>
    </font>
    <font>
      <b/>
      <sz val="14"/>
      <name val="Arial"/>
      <family val="2"/>
    </font>
    <font>
      <sz val="12"/>
      <color rgb="FFFF0000"/>
      <name val="Arial"/>
      <family val="2"/>
    </font>
    <font>
      <b/>
      <sz val="12"/>
      <color rgb="FFFF0000"/>
      <name val="Arial"/>
      <family val="2"/>
    </font>
    <font>
      <b/>
      <sz val="9"/>
      <color indexed="81"/>
      <name val="Tahoma"/>
      <family val="2"/>
    </font>
    <font>
      <sz val="9"/>
      <color indexed="81"/>
      <name val="Tahoma"/>
      <family val="2"/>
    </font>
    <font>
      <b/>
      <sz val="11"/>
      <color theme="0"/>
      <name val="Calibri"/>
      <family val="2"/>
      <scheme val="minor"/>
    </font>
    <font>
      <b/>
      <sz val="11"/>
      <name val="Calibri"/>
      <family val="2"/>
      <scheme val="minor"/>
    </font>
    <font>
      <b/>
      <sz val="12"/>
      <color indexed="9"/>
      <name val="Arial"/>
      <family val="2"/>
    </font>
    <font>
      <b/>
      <sz val="16"/>
      <color indexed="9"/>
      <name val="Arial"/>
      <family val="2"/>
    </font>
    <font>
      <b/>
      <sz val="16"/>
      <color indexed="12"/>
      <name val="Arial"/>
      <family val="2"/>
    </font>
    <font>
      <sz val="14"/>
      <name val="Arial"/>
      <family val="2"/>
    </font>
    <font>
      <sz val="14"/>
      <color indexed="10"/>
      <name val="Arial"/>
      <family val="2"/>
    </font>
    <font>
      <sz val="10"/>
      <color indexed="8"/>
      <name val="Arial"/>
      <family val="2"/>
    </font>
    <font>
      <b/>
      <sz val="10"/>
      <color indexed="8"/>
      <name val="Arial"/>
      <family val="2"/>
    </font>
    <font>
      <sz val="14"/>
      <color theme="1"/>
      <name val="Times New Roman"/>
      <family val="1"/>
    </font>
    <font>
      <sz val="14"/>
      <color theme="1"/>
      <name val="Calibri"/>
      <family val="2"/>
      <scheme val="minor"/>
    </font>
  </fonts>
  <fills count="2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rgb="FFD9D9D9"/>
        <bgColor rgb="FF000000"/>
      </patternFill>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indexed="9"/>
        <bgColor indexed="64"/>
      </patternFill>
    </fill>
    <fill>
      <patternFill patternType="solid">
        <fgColor indexed="13"/>
        <bgColor indexed="64"/>
      </patternFill>
    </fill>
    <fill>
      <patternFill patternType="solid">
        <fgColor theme="6"/>
        <bgColor theme="6"/>
      </patternFill>
    </fill>
    <fill>
      <patternFill patternType="solid">
        <fgColor indexed="12"/>
        <bgColor indexed="64"/>
      </patternFill>
    </fill>
    <fill>
      <patternFill patternType="solid">
        <fgColor indexed="18"/>
        <bgColor indexed="64"/>
      </patternFill>
    </fill>
    <fill>
      <patternFill patternType="solid">
        <fgColor indexed="43"/>
        <bgColor indexed="64"/>
      </patternFill>
    </fill>
    <fill>
      <patternFill patternType="solid">
        <fgColor indexed="44"/>
        <bgColor indexed="64"/>
      </patternFill>
    </fill>
    <fill>
      <patternFill patternType="solid">
        <fgColor theme="7"/>
        <bgColor indexed="64"/>
      </patternFill>
    </fill>
    <fill>
      <patternFill patternType="solid">
        <fgColor indexed="42"/>
        <bgColor indexed="64"/>
      </patternFill>
    </fill>
    <fill>
      <patternFill patternType="solid">
        <fgColor indexed="9"/>
        <bgColor indexed="9"/>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rgb="FFC4D79B"/>
      </top>
      <bottom style="thin">
        <color rgb="FFC4D79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right style="thick">
        <color rgb="FFFFFFFF"/>
      </right>
      <top/>
      <bottom/>
      <diagonal/>
    </border>
    <border>
      <left/>
      <right style="thick">
        <color rgb="FFFFFFFF"/>
      </right>
      <top/>
      <bottom style="thick">
        <color rgb="FFDADADA"/>
      </bottom>
      <diagonal/>
    </border>
    <border>
      <left/>
      <right/>
      <top/>
      <bottom style="thick">
        <color rgb="FFDADADA"/>
      </bottom>
      <diagonal/>
    </border>
    <border>
      <left/>
      <right/>
      <top style="thin">
        <color indexed="64"/>
      </top>
      <bottom style="double">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theme="6" tint="0.39997558519241921"/>
      </top>
      <bottom style="thin">
        <color theme="6" tint="0.39997558519241921"/>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s>
  <cellStyleXfs count="10">
    <xf numFmtId="0" fontId="0" fillId="0" borderId="0"/>
    <xf numFmtId="9" fontId="7" fillId="0" borderId="0" applyFont="0" applyFill="0" applyBorder="0" applyAlignment="0" applyProtection="0"/>
    <xf numFmtId="0" fontId="6" fillId="0" borderId="0"/>
    <xf numFmtId="165" fontId="8" fillId="0" borderId="0" applyFont="0" applyFill="0" applyBorder="0" applyAlignment="0" applyProtection="0"/>
    <xf numFmtId="43" fontId="7" fillId="0" borderId="0" applyFont="0" applyFill="0" applyBorder="0" applyAlignment="0" applyProtection="0"/>
    <xf numFmtId="0" fontId="34" fillId="0" borderId="0"/>
    <xf numFmtId="9" fontId="8" fillId="0" borderId="0" applyFont="0" applyFill="0" applyBorder="0" applyAlignment="0" applyProtection="0"/>
    <xf numFmtId="0" fontId="8" fillId="0" borderId="0"/>
    <xf numFmtId="170" fontId="7" fillId="0" borderId="0" applyFont="0" applyFill="0" applyBorder="0" applyAlignment="0" applyProtection="0"/>
    <xf numFmtId="0" fontId="8" fillId="0" borderId="0"/>
  </cellStyleXfs>
  <cellXfs count="745">
    <xf numFmtId="0" fontId="0" fillId="0" borderId="0" xfId="0"/>
    <xf numFmtId="0" fontId="0" fillId="3" borderId="0" xfId="0" applyFill="1"/>
    <xf numFmtId="2" fontId="0" fillId="0" borderId="0" xfId="0" applyNumberFormat="1"/>
    <xf numFmtId="0" fontId="0" fillId="0" borderId="1" xfId="0" applyBorder="1"/>
    <xf numFmtId="0" fontId="0" fillId="0" borderId="2" xfId="0" applyBorder="1"/>
    <xf numFmtId="0" fontId="0" fillId="0" borderId="5" xfId="0" applyBorder="1"/>
    <xf numFmtId="0" fontId="0" fillId="0" borderId="7" xfId="0" applyBorder="1"/>
    <xf numFmtId="0" fontId="6" fillId="0" borderId="0" xfId="2"/>
    <xf numFmtId="0" fontId="10" fillId="0" borderId="0" xfId="2" applyFont="1"/>
    <xf numFmtId="2" fontId="6" fillId="0" borderId="0" xfId="2" applyNumberFormat="1"/>
    <xf numFmtId="2" fontId="10" fillId="0" borderId="0" xfId="2" applyNumberFormat="1" applyFont="1"/>
    <xf numFmtId="2" fontId="11" fillId="0" borderId="0" xfId="0" applyNumberFormat="1" applyFont="1"/>
    <xf numFmtId="0" fontId="12" fillId="0" borderId="9" xfId="0" applyFont="1" applyBorder="1"/>
    <xf numFmtId="0" fontId="11" fillId="0" borderId="0" xfId="0" applyFont="1"/>
    <xf numFmtId="0" fontId="0" fillId="0" borderId="8" xfId="0" applyBorder="1"/>
    <xf numFmtId="2" fontId="8" fillId="0" borderId="0" xfId="2" applyNumberFormat="1" applyFont="1" applyAlignment="1">
      <alignment horizontal="right"/>
    </xf>
    <xf numFmtId="165" fontId="9" fillId="0" borderId="0" xfId="3" applyFont="1"/>
    <xf numFmtId="43" fontId="8" fillId="0" borderId="0" xfId="2" applyNumberFormat="1" applyFont="1"/>
    <xf numFmtId="2" fontId="6" fillId="0" borderId="0" xfId="2" applyNumberFormat="1" applyAlignment="1">
      <alignment horizontal="left"/>
    </xf>
    <xf numFmtId="164" fontId="0" fillId="0" borderId="0" xfId="0" applyNumberFormat="1"/>
    <xf numFmtId="0" fontId="0" fillId="0" borderId="3" xfId="0" applyBorder="1"/>
    <xf numFmtId="0" fontId="0" fillId="0" borderId="4" xfId="0" applyBorder="1"/>
    <xf numFmtId="0" fontId="0" fillId="0" borderId="6" xfId="0" applyBorder="1"/>
    <xf numFmtId="0" fontId="5" fillId="0" borderId="0" xfId="2" applyFont="1"/>
    <xf numFmtId="0" fontId="13" fillId="0" borderId="0" xfId="2" applyFont="1" applyAlignment="1">
      <alignment horizontal="center"/>
    </xf>
    <xf numFmtId="0" fontId="13" fillId="0" borderId="0" xfId="2" applyFont="1" applyAlignment="1">
      <alignment horizontal="center" wrapText="1"/>
    </xf>
    <xf numFmtId="2" fontId="8" fillId="0" borderId="0" xfId="2" applyNumberFormat="1" applyFont="1"/>
    <xf numFmtId="0" fontId="14" fillId="0" borderId="0" xfId="0" applyFont="1"/>
    <xf numFmtId="43" fontId="0" fillId="0" borderId="0" xfId="0" applyNumberFormat="1"/>
    <xf numFmtId="1" fontId="0" fillId="0" borderId="0" xfId="0" applyNumberFormat="1"/>
    <xf numFmtId="9" fontId="0" fillId="0" borderId="0" xfId="1" applyFont="1"/>
    <xf numFmtId="3" fontId="12" fillId="0" borderId="9" xfId="0" applyNumberFormat="1" applyFont="1" applyBorder="1"/>
    <xf numFmtId="9" fontId="0" fillId="0" borderId="0" xfId="0" applyNumberFormat="1"/>
    <xf numFmtId="0" fontId="0" fillId="0" borderId="10" xfId="0" applyBorder="1"/>
    <xf numFmtId="9" fontId="0" fillId="0" borderId="10" xfId="1" applyFont="1" applyBorder="1"/>
    <xf numFmtId="0" fontId="0" fillId="0" borderId="11" xfId="0" applyBorder="1"/>
    <xf numFmtId="2" fontId="0" fillId="0" borderId="10" xfId="0" applyNumberFormat="1" applyBorder="1"/>
    <xf numFmtId="0" fontId="0" fillId="2" borderId="10" xfId="0" applyFill="1" applyBorder="1"/>
    <xf numFmtId="9" fontId="0" fillId="2" borderId="10" xfId="1" applyFont="1" applyFill="1" applyBorder="1"/>
    <xf numFmtId="2" fontId="0" fillId="2" borderId="10" xfId="0" applyNumberFormat="1" applyFill="1" applyBorder="1"/>
    <xf numFmtId="0" fontId="0" fillId="0" borderId="13" xfId="0" applyBorder="1"/>
    <xf numFmtId="2" fontId="0" fillId="0" borderId="13" xfId="0" applyNumberFormat="1" applyBorder="1"/>
    <xf numFmtId="2" fontId="0" fillId="3" borderId="13" xfId="0" applyNumberFormat="1" applyFill="1" applyBorder="1"/>
    <xf numFmtId="0" fontId="4" fillId="0" borderId="0" xfId="2" applyFont="1"/>
    <xf numFmtId="164" fontId="0" fillId="0" borderId="10" xfId="0" applyNumberFormat="1" applyBorder="1"/>
    <xf numFmtId="2" fontId="3" fillId="0" borderId="0" xfId="2" applyNumberFormat="1" applyFont="1"/>
    <xf numFmtId="3" fontId="12" fillId="0" borderId="0" xfId="0" applyNumberFormat="1" applyFont="1"/>
    <xf numFmtId="0" fontId="0" fillId="0" borderId="9" xfId="0" applyBorder="1"/>
    <xf numFmtId="3" fontId="0" fillId="0" borderId="9" xfId="0" applyNumberFormat="1" applyBorder="1"/>
    <xf numFmtId="3" fontId="0" fillId="0" borderId="0" xfId="0" applyNumberFormat="1"/>
    <xf numFmtId="0" fontId="15" fillId="0" borderId="0" xfId="0" applyFont="1"/>
    <xf numFmtId="0" fontId="0" fillId="2" borderId="0" xfId="0" applyFill="1"/>
    <xf numFmtId="2" fontId="0" fillId="0" borderId="11" xfId="0" applyNumberFormat="1" applyBorder="1"/>
    <xf numFmtId="4" fontId="0" fillId="0" borderId="0" xfId="0" applyNumberFormat="1"/>
    <xf numFmtId="0" fontId="0" fillId="0" borderId="12" xfId="0" applyBorder="1"/>
    <xf numFmtId="0" fontId="0" fillId="0" borderId="0" xfId="0" applyNumberFormat="1"/>
    <xf numFmtId="0" fontId="12" fillId="0" borderId="0" xfId="0" applyNumberFormat="1" applyFont="1"/>
    <xf numFmtId="0" fontId="12" fillId="0" borderId="9" xfId="0" applyNumberFormat="1" applyFont="1" applyBorder="1"/>
    <xf numFmtId="0" fontId="0" fillId="0" borderId="9" xfId="0" applyNumberFormat="1" applyBorder="1"/>
    <xf numFmtId="0" fontId="0" fillId="0" borderId="10" xfId="0" applyFill="1" applyBorder="1"/>
    <xf numFmtId="0" fontId="0" fillId="0" borderId="0" xfId="0" applyBorder="1"/>
    <xf numFmtId="0" fontId="0" fillId="0" borderId="0" xfId="0" applyFill="1"/>
    <xf numFmtId="9" fontId="0" fillId="0" borderId="0" xfId="1" applyFont="1" applyBorder="1"/>
    <xf numFmtId="2" fontId="0" fillId="0" borderId="0" xfId="0" applyNumberFormat="1" applyBorder="1"/>
    <xf numFmtId="0" fontId="3" fillId="0" borderId="0" xfId="2" applyFont="1"/>
    <xf numFmtId="2" fontId="17" fillId="0" borderId="10" xfId="2" applyNumberFormat="1" applyFont="1" applyBorder="1"/>
    <xf numFmtId="0" fontId="17" fillId="0" borderId="10" xfId="2" applyFont="1" applyBorder="1"/>
    <xf numFmtId="0" fontId="16" fillId="0" borderId="10" xfId="2" applyFont="1" applyBorder="1"/>
    <xf numFmtId="2" fontId="16" fillId="0" borderId="10" xfId="2" applyNumberFormat="1" applyFont="1" applyBorder="1"/>
    <xf numFmtId="0" fontId="16" fillId="5" borderId="10" xfId="2" applyFont="1" applyFill="1" applyBorder="1"/>
    <xf numFmtId="2" fontId="16" fillId="5" borderId="10" xfId="2" applyNumberFormat="1" applyFont="1" applyFill="1" applyBorder="1"/>
    <xf numFmtId="2" fontId="19" fillId="0" borderId="10" xfId="0" applyNumberFormat="1" applyFont="1" applyBorder="1" applyAlignment="1">
      <alignment horizontal="right"/>
    </xf>
    <xf numFmtId="2" fontId="19" fillId="0" borderId="10" xfId="0" applyNumberFormat="1" applyFont="1" applyBorder="1"/>
    <xf numFmtId="0" fontId="19" fillId="5" borderId="10" xfId="0" applyFont="1" applyFill="1" applyBorder="1"/>
    <xf numFmtId="0" fontId="19" fillId="0" borderId="10" xfId="0" applyFont="1" applyBorder="1"/>
    <xf numFmtId="0" fontId="18" fillId="5" borderId="10" xfId="0" applyFont="1" applyFill="1" applyBorder="1"/>
    <xf numFmtId="0" fontId="18" fillId="5" borderId="10" xfId="0" applyFont="1" applyFill="1" applyBorder="1" applyAlignment="1">
      <alignment horizontal="right"/>
    </xf>
    <xf numFmtId="0" fontId="18" fillId="0" borderId="10" xfId="0" applyFont="1" applyBorder="1"/>
    <xf numFmtId="2" fontId="18" fillId="5" borderId="10" xfId="0" applyNumberFormat="1" applyFont="1" applyFill="1" applyBorder="1"/>
    <xf numFmtId="0" fontId="11" fillId="0" borderId="0" xfId="0" applyFont="1" applyBorder="1"/>
    <xf numFmtId="9" fontId="19" fillId="0" borderId="10" xfId="1" applyFont="1" applyBorder="1"/>
    <xf numFmtId="0" fontId="19" fillId="0" borderId="0" xfId="0" applyFont="1"/>
    <xf numFmtId="3" fontId="20" fillId="0" borderId="10" xfId="0" applyNumberFormat="1" applyFont="1" applyBorder="1"/>
    <xf numFmtId="0" fontId="20" fillId="0" borderId="10" xfId="0" applyFont="1" applyBorder="1"/>
    <xf numFmtId="164" fontId="19" fillId="0" borderId="10" xfId="0" applyNumberFormat="1" applyFont="1" applyBorder="1"/>
    <xf numFmtId="0" fontId="18" fillId="5" borderId="10" xfId="0" applyFont="1" applyFill="1" applyBorder="1" applyAlignment="1">
      <alignment horizontal="center"/>
    </xf>
    <xf numFmtId="0" fontId="19" fillId="0" borderId="10" xfId="0" applyFont="1" applyBorder="1" applyAlignment="1">
      <alignment horizontal="center"/>
    </xf>
    <xf numFmtId="3" fontId="21" fillId="5" borderId="10" xfId="0" applyNumberFormat="1" applyFont="1" applyFill="1" applyBorder="1"/>
    <xf numFmtId="164" fontId="18" fillId="5" borderId="10" xfId="0" applyNumberFormat="1" applyFont="1" applyFill="1" applyBorder="1"/>
    <xf numFmtId="9" fontId="18" fillId="5" borderId="10" xfId="1" applyFont="1" applyFill="1" applyBorder="1"/>
    <xf numFmtId="1" fontId="19" fillId="0" borderId="10" xfId="0" applyNumberFormat="1" applyFont="1" applyBorder="1"/>
    <xf numFmtId="2" fontId="19" fillId="0" borderId="0" xfId="0" applyNumberFormat="1" applyFont="1"/>
    <xf numFmtId="1" fontId="19" fillId="0" borderId="10" xfId="0" applyNumberFormat="1" applyFont="1" applyBorder="1" applyAlignment="1">
      <alignment horizontal="center"/>
    </xf>
    <xf numFmtId="0" fontId="17" fillId="0" borderId="0" xfId="2" applyFont="1"/>
    <xf numFmtId="2" fontId="17" fillId="0" borderId="0" xfId="2" applyNumberFormat="1" applyFont="1"/>
    <xf numFmtId="0" fontId="16" fillId="0" borderId="0" xfId="2" applyFont="1"/>
    <xf numFmtId="0" fontId="17" fillId="2" borderId="0" xfId="2" applyFont="1" applyFill="1"/>
    <xf numFmtId="0" fontId="19" fillId="0" borderId="0" xfId="0" applyFont="1" applyBorder="1"/>
    <xf numFmtId="2" fontId="19" fillId="0" borderId="0" xfId="0" applyNumberFormat="1" applyFont="1" applyBorder="1"/>
    <xf numFmtId="0" fontId="0" fillId="0" borderId="0" xfId="0" applyFill="1" applyBorder="1"/>
    <xf numFmtId="0" fontId="18" fillId="0" borderId="0" xfId="0" applyFont="1" applyFill="1" applyBorder="1"/>
    <xf numFmtId="0" fontId="18" fillId="0" borderId="0" xfId="0" applyFont="1" applyFill="1" applyBorder="1" applyAlignment="1">
      <alignment horizontal="right"/>
    </xf>
    <xf numFmtId="0" fontId="19" fillId="0" borderId="0" xfId="0" applyFont="1" applyFill="1" applyBorder="1"/>
    <xf numFmtId="2" fontId="19" fillId="0" borderId="0" xfId="0" applyNumberFormat="1" applyFont="1" applyFill="1" applyBorder="1"/>
    <xf numFmtId="2" fontId="18" fillId="0" borderId="0" xfId="0" applyNumberFormat="1" applyFont="1" applyFill="1" applyBorder="1"/>
    <xf numFmtId="0" fontId="16" fillId="5" borderId="10" xfId="2" applyFont="1" applyFill="1" applyBorder="1" applyAlignment="1">
      <alignment horizontal="center"/>
    </xf>
    <xf numFmtId="2" fontId="16" fillId="5" borderId="10" xfId="2" applyNumberFormat="1" applyFont="1" applyFill="1" applyBorder="1" applyAlignment="1">
      <alignment horizontal="center"/>
    </xf>
    <xf numFmtId="2" fontId="17" fillId="5" borderId="10" xfId="2" applyNumberFormat="1" applyFont="1" applyFill="1" applyBorder="1"/>
    <xf numFmtId="0" fontId="17" fillId="5" borderId="10" xfId="2" applyFont="1" applyFill="1" applyBorder="1"/>
    <xf numFmtId="0" fontId="16" fillId="0" borderId="10" xfId="2" applyFont="1" applyBorder="1" applyAlignment="1">
      <alignment horizontal="left"/>
    </xf>
    <xf numFmtId="2" fontId="16" fillId="0" borderId="10" xfId="2" applyNumberFormat="1" applyFont="1" applyBorder="1" applyAlignment="1">
      <alignment horizontal="left"/>
    </xf>
    <xf numFmtId="0" fontId="16" fillId="2" borderId="10" xfId="2" applyFont="1" applyFill="1" applyBorder="1" applyAlignment="1">
      <alignment horizontal="center"/>
    </xf>
    <xf numFmtId="2" fontId="16" fillId="2" borderId="10" xfId="2" applyNumberFormat="1" applyFont="1" applyFill="1" applyBorder="1" applyAlignment="1">
      <alignment horizontal="center"/>
    </xf>
    <xf numFmtId="0" fontId="17" fillId="2" borderId="10" xfId="2" applyFont="1" applyFill="1" applyBorder="1"/>
    <xf numFmtId="0" fontId="17" fillId="4" borderId="10" xfId="2" applyFont="1" applyFill="1" applyBorder="1"/>
    <xf numFmtId="2" fontId="17" fillId="2" borderId="10" xfId="2" applyNumberFormat="1" applyFont="1" applyFill="1" applyBorder="1"/>
    <xf numFmtId="0" fontId="18" fillId="0" borderId="0" xfId="0" applyFont="1"/>
    <xf numFmtId="2" fontId="19" fillId="5" borderId="10" xfId="0" applyNumberFormat="1" applyFont="1" applyFill="1" applyBorder="1"/>
    <xf numFmtId="0" fontId="19" fillId="0" borderId="0" xfId="0" applyFont="1" applyFill="1"/>
    <xf numFmtId="2" fontId="18" fillId="5" borderId="10" xfId="0" applyNumberFormat="1" applyFont="1" applyFill="1" applyBorder="1" applyAlignment="1">
      <alignment horizontal="right"/>
    </xf>
    <xf numFmtId="0" fontId="16" fillId="0" borderId="1" xfId="2" applyFont="1" applyBorder="1"/>
    <xf numFmtId="0" fontId="17" fillId="0" borderId="2" xfId="2" applyFont="1" applyBorder="1"/>
    <xf numFmtId="0" fontId="17" fillId="0" borderId="3" xfId="2" applyFont="1" applyBorder="1"/>
    <xf numFmtId="0" fontId="16" fillId="0" borderId="4" xfId="2" applyFont="1" applyBorder="1"/>
    <xf numFmtId="14" fontId="17" fillId="0" borderId="0" xfId="2" applyNumberFormat="1" applyFont="1" applyAlignment="1">
      <alignment horizontal="left"/>
    </xf>
    <xf numFmtId="0" fontId="17" fillId="0" borderId="5" xfId="2" applyFont="1" applyBorder="1"/>
    <xf numFmtId="0" fontId="17" fillId="0" borderId="6" xfId="2" applyFont="1" applyBorder="1"/>
    <xf numFmtId="0" fontId="16" fillId="0" borderId="7" xfId="2" applyFont="1" applyBorder="1"/>
    <xf numFmtId="2" fontId="17" fillId="0" borderId="7" xfId="2" applyNumberFormat="1" applyFont="1" applyBorder="1"/>
    <xf numFmtId="0" fontId="17" fillId="0" borderId="7" xfId="2" applyFont="1" applyBorder="1"/>
    <xf numFmtId="0" fontId="17" fillId="0" borderId="7" xfId="2" applyFont="1" applyBorder="1" applyAlignment="1">
      <alignment horizontal="left"/>
    </xf>
    <xf numFmtId="0" fontId="17" fillId="0" borderId="8" xfId="2" applyFont="1" applyBorder="1"/>
    <xf numFmtId="0" fontId="19" fillId="0" borderId="11" xfId="0" applyFont="1" applyBorder="1"/>
    <xf numFmtId="0" fontId="19" fillId="0" borderId="10" xfId="0" applyFont="1" applyFill="1" applyBorder="1"/>
    <xf numFmtId="2" fontId="19" fillId="0" borderId="10" xfId="0" applyNumberFormat="1" applyFont="1" applyFill="1" applyBorder="1"/>
    <xf numFmtId="0" fontId="11" fillId="0" borderId="0" xfId="0" applyFont="1" applyFill="1"/>
    <xf numFmtId="0" fontId="11" fillId="0" borderId="0" xfId="0" applyFont="1" applyFill="1" applyBorder="1"/>
    <xf numFmtId="0" fontId="12" fillId="0" borderId="0" xfId="0" applyFont="1" applyFill="1" applyBorder="1"/>
    <xf numFmtId="1" fontId="0" fillId="0" borderId="0" xfId="0" applyNumberFormat="1" applyFill="1" applyBorder="1"/>
    <xf numFmtId="9" fontId="0" fillId="0" borderId="0" xfId="1" applyFont="1" applyFill="1" applyBorder="1"/>
    <xf numFmtId="2" fontId="0" fillId="0" borderId="0" xfId="0" applyNumberFormat="1" applyFill="1" applyBorder="1"/>
    <xf numFmtId="0" fontId="22" fillId="0" borderId="0" xfId="0" applyFont="1"/>
    <xf numFmtId="0" fontId="6" fillId="0" borderId="12" xfId="2" applyBorder="1"/>
    <xf numFmtId="0" fontId="4" fillId="0" borderId="12" xfId="2" applyFont="1" applyBorder="1"/>
    <xf numFmtId="0" fontId="6" fillId="0" borderId="0" xfId="2" applyBorder="1"/>
    <xf numFmtId="2" fontId="11" fillId="0" borderId="0" xfId="0" applyNumberFormat="1" applyFont="1" applyFill="1" applyBorder="1"/>
    <xf numFmtId="2" fontId="6" fillId="0" borderId="0" xfId="2" applyNumberFormat="1" applyFill="1" applyBorder="1"/>
    <xf numFmtId="0" fontId="6" fillId="0" borderId="0" xfId="2" applyFill="1" applyBorder="1"/>
    <xf numFmtId="9" fontId="0" fillId="0" borderId="0" xfId="0" applyNumberFormat="1" applyFill="1" applyBorder="1"/>
    <xf numFmtId="9" fontId="11" fillId="0" borderId="0" xfId="1" applyFont="1" applyFill="1" applyBorder="1"/>
    <xf numFmtId="164" fontId="0" fillId="0" borderId="0" xfId="0" applyNumberFormat="1" applyFill="1" applyBorder="1"/>
    <xf numFmtId="4" fontId="0" fillId="0" borderId="10" xfId="0" applyNumberFormat="1" applyBorder="1"/>
    <xf numFmtId="9" fontId="0" fillId="2" borderId="10" xfId="0" applyNumberFormat="1" applyFill="1" applyBorder="1"/>
    <xf numFmtId="4" fontId="0" fillId="2" borderId="10" xfId="0" applyNumberFormat="1" applyFill="1" applyBorder="1"/>
    <xf numFmtId="4" fontId="12" fillId="0" borderId="10" xfId="0" applyNumberFormat="1" applyFont="1" applyBorder="1"/>
    <xf numFmtId="4" fontId="0" fillId="0" borderId="10" xfId="0" applyNumberFormat="1" applyFill="1" applyBorder="1"/>
    <xf numFmtId="0" fontId="18" fillId="2" borderId="10" xfId="0" applyFont="1" applyFill="1" applyBorder="1"/>
    <xf numFmtId="0" fontId="11" fillId="2" borderId="10" xfId="0" applyFont="1" applyFill="1" applyBorder="1" applyAlignment="1">
      <alignment horizontal="right"/>
    </xf>
    <xf numFmtId="9" fontId="0" fillId="2" borderId="10" xfId="0" applyNumberFormat="1" applyFill="1" applyBorder="1" applyAlignment="1">
      <alignment horizontal="right"/>
    </xf>
    <xf numFmtId="3" fontId="0" fillId="0" borderId="10" xfId="0" applyNumberFormat="1" applyBorder="1"/>
    <xf numFmtId="2" fontId="23" fillId="0" borderId="0" xfId="0" applyNumberFormat="1" applyFont="1" applyFill="1"/>
    <xf numFmtId="2" fontId="19" fillId="0" borderId="13" xfId="0" applyNumberFormat="1" applyFont="1" applyBorder="1"/>
    <xf numFmtId="0" fontId="19" fillId="0" borderId="12" xfId="0" applyFont="1" applyBorder="1"/>
    <xf numFmtId="2" fontId="18" fillId="0" borderId="10" xfId="0" applyNumberFormat="1" applyFont="1" applyBorder="1"/>
    <xf numFmtId="0" fontId="19" fillId="0" borderId="13" xfId="0" applyFont="1" applyBorder="1"/>
    <xf numFmtId="9" fontId="19" fillId="0" borderId="12" xfId="0" applyNumberFormat="1" applyFont="1" applyBorder="1"/>
    <xf numFmtId="9" fontId="19" fillId="0" borderId="10" xfId="0" applyNumberFormat="1" applyFont="1" applyBorder="1"/>
    <xf numFmtId="9" fontId="19" fillId="0" borderId="12" xfId="1" applyFont="1" applyBorder="1"/>
    <xf numFmtId="9" fontId="19" fillId="2" borderId="0" xfId="0" applyNumberFormat="1" applyFont="1" applyFill="1"/>
    <xf numFmtId="9" fontId="19" fillId="0" borderId="0" xfId="0" applyNumberFormat="1" applyFont="1"/>
    <xf numFmtId="2" fontId="18" fillId="0" borderId="13" xfId="0" applyNumberFormat="1" applyFont="1" applyBorder="1"/>
    <xf numFmtId="0" fontId="18" fillId="0" borderId="12" xfId="0" applyFont="1" applyBorder="1"/>
    <xf numFmtId="0" fontId="19" fillId="6" borderId="10" xfId="0" applyFont="1" applyFill="1" applyBorder="1"/>
    <xf numFmtId="0" fontId="19" fillId="0" borderId="4" xfId="0" applyFont="1" applyBorder="1"/>
    <xf numFmtId="9" fontId="19" fillId="0" borderId="0" xfId="0" applyNumberFormat="1" applyFont="1" applyBorder="1"/>
    <xf numFmtId="4" fontId="12" fillId="0" borderId="11" xfId="0" applyNumberFormat="1" applyFont="1" applyBorder="1"/>
    <xf numFmtId="2" fontId="17" fillId="0" borderId="0" xfId="2" applyNumberFormat="1" applyFont="1" applyBorder="1"/>
    <xf numFmtId="0" fontId="17" fillId="0" borderId="0" xfId="2" applyFont="1" applyBorder="1"/>
    <xf numFmtId="0" fontId="17" fillId="0" borderId="0" xfId="0" applyFont="1" applyBorder="1"/>
    <xf numFmtId="0" fontId="2" fillId="0" borderId="0" xfId="2" applyFont="1" applyFill="1" applyBorder="1"/>
    <xf numFmtId="2" fontId="2" fillId="0" borderId="0" xfId="2" applyNumberFormat="1" applyFont="1" applyFill="1" applyBorder="1"/>
    <xf numFmtId="0" fontId="24" fillId="0" borderId="0" xfId="0" applyFont="1" applyBorder="1"/>
    <xf numFmtId="0" fontId="0" fillId="0" borderId="0" xfId="0" applyFont="1" applyFill="1" applyBorder="1"/>
    <xf numFmtId="9" fontId="18" fillId="0" borderId="0" xfId="1" applyFont="1" applyFill="1" applyBorder="1"/>
    <xf numFmtId="2" fontId="19" fillId="0" borderId="0" xfId="0" applyNumberFormat="1" applyFont="1" applyFill="1"/>
    <xf numFmtId="1" fontId="19" fillId="0" borderId="0" xfId="0" applyNumberFormat="1" applyFont="1" applyFill="1"/>
    <xf numFmtId="0" fontId="19" fillId="0" borderId="0" xfId="1" applyNumberFormat="1" applyFont="1" applyFill="1"/>
    <xf numFmtId="0" fontId="18" fillId="0" borderId="10" xfId="0" applyFont="1" applyFill="1" applyBorder="1"/>
    <xf numFmtId="0" fontId="18" fillId="0" borderId="10" xfId="0" applyFont="1" applyBorder="1" applyAlignment="1">
      <alignment horizontal="left" indent="1"/>
    </xf>
    <xf numFmtId="1" fontId="18" fillId="0" borderId="10" xfId="0" applyNumberFormat="1" applyFont="1" applyBorder="1" applyAlignment="1">
      <alignment horizontal="left" indent="1"/>
    </xf>
    <xf numFmtId="0" fontId="19" fillId="0" borderId="10" xfId="0" applyNumberFormat="1" applyFont="1" applyBorder="1"/>
    <xf numFmtId="0" fontId="0" fillId="7" borderId="17" xfId="0" applyFill="1" applyBorder="1"/>
    <xf numFmtId="0" fontId="0" fillId="0" borderId="18" xfId="0" applyBorder="1"/>
    <xf numFmtId="1" fontId="0" fillId="0" borderId="19" xfId="0" applyNumberFormat="1" applyBorder="1"/>
    <xf numFmtId="0" fontId="0" fillId="0" borderId="14" xfId="0" applyBorder="1"/>
    <xf numFmtId="0" fontId="0" fillId="0" borderId="23" xfId="0" applyBorder="1"/>
    <xf numFmtId="0" fontId="0" fillId="7" borderId="14" xfId="0" applyFill="1" applyBorder="1"/>
    <xf numFmtId="0" fontId="0" fillId="7" borderId="20" xfId="0" applyFill="1" applyBorder="1"/>
    <xf numFmtId="0" fontId="0" fillId="0" borderId="21" xfId="0" applyBorder="1"/>
    <xf numFmtId="9" fontId="19" fillId="0" borderId="10" xfId="0" applyNumberFormat="1" applyFont="1" applyFill="1" applyBorder="1"/>
    <xf numFmtId="9" fontId="20" fillId="0" borderId="10" xfId="0" applyNumberFormat="1" applyFont="1" applyFill="1" applyBorder="1"/>
    <xf numFmtId="0" fontId="20" fillId="5" borderId="10" xfId="0" applyFont="1" applyFill="1" applyBorder="1"/>
    <xf numFmtId="0" fontId="18" fillId="0" borderId="0" xfId="0" applyFont="1" applyFill="1" applyBorder="1" applyAlignment="1">
      <alignment horizontal="center"/>
    </xf>
    <xf numFmtId="0" fontId="19" fillId="0" borderId="0" xfId="0" applyFont="1" applyFill="1" applyBorder="1" applyAlignment="1">
      <alignment horizontal="center"/>
    </xf>
    <xf numFmtId="9" fontId="0" fillId="0" borderId="0" xfId="0" applyNumberFormat="1" applyFill="1"/>
    <xf numFmtId="0" fontId="16" fillId="0" borderId="15" xfId="0" applyFont="1" applyBorder="1" applyAlignment="1">
      <alignment horizontal="center"/>
    </xf>
    <xf numFmtId="165" fontId="25" fillId="8" borderId="15" xfId="3" applyFont="1" applyFill="1" applyBorder="1"/>
    <xf numFmtId="0" fontId="16" fillId="0" borderId="10" xfId="0" applyFont="1" applyBorder="1" applyAlignment="1">
      <alignment horizontal="center"/>
    </xf>
    <xf numFmtId="43" fontId="26" fillId="8" borderId="10" xfId="2" applyNumberFormat="1" applyFont="1" applyFill="1" applyBorder="1"/>
    <xf numFmtId="0" fontId="16" fillId="5" borderId="13" xfId="0" applyFont="1" applyFill="1" applyBorder="1" applyAlignment="1">
      <alignment horizontal="center"/>
    </xf>
    <xf numFmtId="0" fontId="17" fillId="8" borderId="1" xfId="2" applyFont="1" applyFill="1" applyBorder="1" applyAlignment="1">
      <alignment horizontal="center"/>
    </xf>
    <xf numFmtId="0" fontId="27" fillId="8" borderId="6" xfId="2" applyFont="1" applyFill="1" applyBorder="1" applyAlignment="1">
      <alignment horizontal="center" wrapText="1"/>
    </xf>
    <xf numFmtId="2" fontId="17" fillId="9" borderId="24" xfId="2" applyNumberFormat="1" applyFont="1" applyFill="1" applyBorder="1" applyAlignment="1">
      <alignment horizontal="center"/>
    </xf>
    <xf numFmtId="1" fontId="17" fillId="0" borderId="10" xfId="2" applyNumberFormat="1" applyFont="1" applyBorder="1"/>
    <xf numFmtId="1" fontId="16" fillId="0" borderId="10" xfId="2" applyNumberFormat="1" applyFont="1" applyBorder="1"/>
    <xf numFmtId="2" fontId="18" fillId="5" borderId="10" xfId="0" applyNumberFormat="1" applyFont="1" applyFill="1" applyBorder="1" applyAlignment="1">
      <alignment horizontal="center"/>
    </xf>
    <xf numFmtId="9" fontId="19" fillId="0" borderId="10" xfId="0" applyNumberFormat="1" applyFont="1" applyBorder="1" applyAlignment="1">
      <alignment horizontal="center"/>
    </xf>
    <xf numFmtId="0" fontId="18" fillId="10" borderId="10" xfId="0" applyFont="1" applyFill="1" applyBorder="1"/>
    <xf numFmtId="2" fontId="19" fillId="0" borderId="0" xfId="2" applyNumberFormat="1" applyFont="1"/>
    <xf numFmtId="0" fontId="28" fillId="9" borderId="6" xfId="0" applyFont="1" applyFill="1" applyBorder="1" applyAlignment="1">
      <alignment horizontal="right"/>
    </xf>
    <xf numFmtId="2" fontId="25" fillId="9" borderId="20" xfId="0" applyNumberFormat="1" applyFont="1" applyFill="1" applyBorder="1"/>
    <xf numFmtId="2" fontId="25" fillId="9" borderId="13" xfId="0" applyNumberFormat="1" applyFont="1" applyFill="1" applyBorder="1"/>
    <xf numFmtId="43" fontId="19" fillId="0" borderId="10" xfId="0" applyNumberFormat="1" applyFont="1" applyBorder="1"/>
    <xf numFmtId="0" fontId="28" fillId="5" borderId="10" xfId="0" applyFont="1" applyFill="1" applyBorder="1"/>
    <xf numFmtId="2" fontId="0" fillId="0" borderId="23" xfId="0" applyNumberFormat="1" applyBorder="1"/>
    <xf numFmtId="0" fontId="19" fillId="6" borderId="10" xfId="0" applyFont="1" applyFill="1" applyBorder="1" applyAlignment="1">
      <alignment horizontal="center"/>
    </xf>
    <xf numFmtId="9" fontId="19" fillId="0" borderId="0" xfId="0" applyNumberFormat="1" applyFont="1" applyFill="1" applyBorder="1"/>
    <xf numFmtId="1" fontId="19" fillId="0" borderId="0" xfId="0" applyNumberFormat="1" applyFont="1" applyFill="1" applyBorder="1"/>
    <xf numFmtId="9" fontId="19" fillId="0" borderId="0" xfId="1" applyFont="1" applyFill="1" applyBorder="1"/>
    <xf numFmtId="2" fontId="19" fillId="0" borderId="10" xfId="0" applyNumberFormat="1" applyFont="1" applyFill="1" applyBorder="1" applyAlignment="1">
      <alignment horizontal="center"/>
    </xf>
    <xf numFmtId="1" fontId="19" fillId="5" borderId="10" xfId="0" applyNumberFormat="1" applyFont="1" applyFill="1" applyBorder="1"/>
    <xf numFmtId="0" fontId="19" fillId="5" borderId="16" xfId="0" applyFont="1" applyFill="1" applyBorder="1"/>
    <xf numFmtId="2" fontId="18" fillId="0" borderId="0" xfId="0" applyNumberFormat="1" applyFont="1" applyFill="1" applyBorder="1" applyAlignment="1">
      <alignment horizontal="left"/>
    </xf>
    <xf numFmtId="1" fontId="18" fillId="0" borderId="0" xfId="0" applyNumberFormat="1" applyFont="1" applyFill="1" applyBorder="1"/>
    <xf numFmtId="1" fontId="19" fillId="0" borderId="10" xfId="0" applyNumberFormat="1" applyFont="1" applyFill="1" applyBorder="1" applyAlignment="1">
      <alignment horizontal="center"/>
    </xf>
    <xf numFmtId="2" fontId="19" fillId="0" borderId="0" xfId="0" applyNumberFormat="1" applyFont="1" applyFill="1" applyBorder="1" applyAlignment="1">
      <alignment horizontal="center"/>
    </xf>
    <xf numFmtId="1" fontId="19" fillId="0" borderId="0" xfId="0" applyNumberFormat="1" applyFont="1" applyFill="1" applyBorder="1" applyAlignment="1">
      <alignment horizontal="center"/>
    </xf>
    <xf numFmtId="1" fontId="0" fillId="0" borderId="0" xfId="0" applyNumberFormat="1" applyFill="1"/>
    <xf numFmtId="166" fontId="0" fillId="0" borderId="0" xfId="1" applyNumberFormat="1" applyFont="1"/>
    <xf numFmtId="164" fontId="19" fillId="0" borderId="10" xfId="0" applyNumberFormat="1" applyFont="1" applyBorder="1" applyAlignment="1">
      <alignment horizontal="center"/>
    </xf>
    <xf numFmtId="0" fontId="19" fillId="11" borderId="0" xfId="0" applyFont="1" applyFill="1" applyAlignment="1">
      <alignment horizontal="center"/>
    </xf>
    <xf numFmtId="0" fontId="0" fillId="0" borderId="0" xfId="0" applyAlignment="1">
      <alignment horizontal="center"/>
    </xf>
    <xf numFmtId="0" fontId="19" fillId="0" borderId="0" xfId="0" applyFont="1" applyAlignment="1">
      <alignment horizontal="center"/>
    </xf>
    <xf numFmtId="0" fontId="19" fillId="0" borderId="0" xfId="0" applyFont="1" applyBorder="1" applyAlignment="1">
      <alignment horizontal="center"/>
    </xf>
    <xf numFmtId="0" fontId="19" fillId="0" borderId="10" xfId="0" applyFont="1" applyFill="1" applyBorder="1" applyAlignment="1">
      <alignment horizontal="center"/>
    </xf>
    <xf numFmtId="9" fontId="19" fillId="0" borderId="10" xfId="0" applyNumberFormat="1" applyFont="1" applyFill="1" applyBorder="1" applyAlignment="1">
      <alignment horizontal="center"/>
    </xf>
    <xf numFmtId="9" fontId="19" fillId="7" borderId="10" xfId="0" applyNumberFormat="1" applyFont="1" applyFill="1" applyBorder="1" applyAlignment="1">
      <alignment horizontal="center"/>
    </xf>
    <xf numFmtId="0" fontId="19" fillId="7" borderId="10" xfId="0" applyFont="1" applyFill="1" applyBorder="1" applyAlignment="1">
      <alignment horizontal="center"/>
    </xf>
    <xf numFmtId="1" fontId="19" fillId="7" borderId="10" xfId="0" applyNumberFormat="1" applyFont="1" applyFill="1" applyBorder="1" applyAlignment="1">
      <alignment horizontal="center"/>
    </xf>
    <xf numFmtId="0" fontId="19" fillId="0" borderId="0" xfId="0" applyFont="1" applyFill="1" applyAlignment="1">
      <alignment horizontal="center"/>
    </xf>
    <xf numFmtId="0" fontId="0" fillId="0" borderId="0" xfId="0" applyFill="1" applyAlignment="1">
      <alignment horizontal="center"/>
    </xf>
    <xf numFmtId="164" fontId="19" fillId="7" borderId="10" xfId="0" applyNumberFormat="1" applyFont="1" applyFill="1" applyBorder="1" applyAlignment="1">
      <alignment horizontal="center"/>
    </xf>
    <xf numFmtId="0" fontId="0" fillId="0" borderId="0" xfId="0" applyBorder="1" applyAlignment="1">
      <alignment horizontal="center"/>
    </xf>
    <xf numFmtId="0" fontId="19" fillId="5" borderId="10" xfId="0" applyFont="1" applyFill="1" applyBorder="1" applyAlignment="1">
      <alignment horizontal="center"/>
    </xf>
    <xf numFmtId="0" fontId="19" fillId="5" borderId="18" xfId="0" applyFont="1" applyFill="1" applyBorder="1"/>
    <xf numFmtId="0" fontId="19" fillId="5" borderId="21" xfId="0" applyFont="1" applyFill="1" applyBorder="1"/>
    <xf numFmtId="0" fontId="18" fillId="5" borderId="13" xfId="0" applyFont="1" applyFill="1" applyBorder="1" applyAlignment="1">
      <alignment horizontal="right"/>
    </xf>
    <xf numFmtId="1" fontId="19" fillId="0" borderId="13" xfId="0" applyNumberFormat="1" applyFont="1" applyBorder="1"/>
    <xf numFmtId="0" fontId="18" fillId="5" borderId="12" xfId="0" applyFont="1" applyFill="1" applyBorder="1" applyAlignment="1">
      <alignment horizontal="right"/>
    </xf>
    <xf numFmtId="2" fontId="19" fillId="0" borderId="12" xfId="0" applyNumberFormat="1" applyFont="1" applyBorder="1"/>
    <xf numFmtId="0" fontId="18" fillId="5" borderId="12" xfId="0" applyFont="1" applyFill="1" applyBorder="1"/>
    <xf numFmtId="164" fontId="19" fillId="0" borderId="0" xfId="0" applyNumberFormat="1" applyFont="1" applyFill="1" applyBorder="1"/>
    <xf numFmtId="0" fontId="0" fillId="5" borderId="0" xfId="0" applyFill="1"/>
    <xf numFmtId="0" fontId="19" fillId="0" borderId="0" xfId="0" applyNumberFormat="1" applyFont="1" applyFill="1" applyBorder="1"/>
    <xf numFmtId="2" fontId="19" fillId="0" borderId="0" xfId="2" applyNumberFormat="1" applyFont="1" applyFill="1" applyBorder="1"/>
    <xf numFmtId="0" fontId="17" fillId="0" borderId="0" xfId="2" applyFont="1" applyFill="1" applyBorder="1"/>
    <xf numFmtId="2" fontId="17" fillId="0" borderId="0" xfId="2" applyNumberFormat="1" applyFont="1" applyFill="1" applyBorder="1"/>
    <xf numFmtId="0" fontId="0" fillId="0" borderId="0" xfId="0" applyNumberFormat="1" applyFill="1" applyBorder="1"/>
    <xf numFmtId="1" fontId="19" fillId="0" borderId="0" xfId="0" applyNumberFormat="1" applyFont="1" applyFill="1" applyBorder="1" applyAlignment="1">
      <alignment horizontal="left" indent="2"/>
    </xf>
    <xf numFmtId="2" fontId="0" fillId="0" borderId="22" xfId="0" applyNumberFormat="1" applyBorder="1"/>
    <xf numFmtId="9" fontId="18" fillId="0" borderId="0" xfId="0" applyNumberFormat="1" applyFont="1" applyFill="1" applyBorder="1" applyAlignment="1">
      <alignment horizontal="center"/>
    </xf>
    <xf numFmtId="0" fontId="0" fillId="5" borderId="15" xfId="0" applyFill="1" applyBorder="1"/>
    <xf numFmtId="0" fontId="19" fillId="5" borderId="17" xfId="0" applyFont="1" applyFill="1" applyBorder="1" applyAlignment="1">
      <alignment horizontal="center"/>
    </xf>
    <xf numFmtId="0" fontId="19" fillId="5" borderId="17" xfId="0" applyFont="1" applyFill="1" applyBorder="1"/>
    <xf numFmtId="0" fontId="19" fillId="5" borderId="19" xfId="0" applyFont="1" applyFill="1" applyBorder="1"/>
    <xf numFmtId="0" fontId="19" fillId="5" borderId="20" xfId="0" applyFont="1" applyFill="1" applyBorder="1"/>
    <xf numFmtId="0" fontId="0" fillId="5" borderId="20" xfId="0" applyFill="1" applyBorder="1"/>
    <xf numFmtId="0" fontId="0" fillId="5" borderId="21" xfId="0" applyFill="1" applyBorder="1"/>
    <xf numFmtId="0" fontId="0" fillId="5" borderId="22" xfId="0" applyFill="1" applyBorder="1"/>
    <xf numFmtId="9" fontId="0" fillId="3" borderId="0" xfId="1" applyFont="1" applyFill="1"/>
    <xf numFmtId="0" fontId="15" fillId="0" borderId="0" xfId="0" applyFont="1" applyFill="1" applyBorder="1"/>
    <xf numFmtId="9" fontId="7" fillId="3" borderId="0" xfId="1" applyFont="1" applyFill="1"/>
    <xf numFmtId="9" fontId="19" fillId="5" borderId="10" xfId="1" applyFont="1" applyFill="1" applyBorder="1"/>
    <xf numFmtId="9" fontId="19" fillId="0" borderId="0" xfId="0" applyNumberFormat="1" applyFont="1" applyFill="1" applyBorder="1" applyAlignment="1">
      <alignment horizontal="center"/>
    </xf>
    <xf numFmtId="0" fontId="24" fillId="0" borderId="0" xfId="0" applyFont="1" applyFill="1" applyBorder="1"/>
    <xf numFmtId="0" fontId="0" fillId="0" borderId="17" xfId="0" applyBorder="1"/>
    <xf numFmtId="0" fontId="0" fillId="0" borderId="19" xfId="0" applyBorder="1"/>
    <xf numFmtId="1" fontId="0" fillId="0" borderId="22" xfId="0" applyNumberFormat="1" applyBorder="1"/>
    <xf numFmtId="9" fontId="11" fillId="0" borderId="0" xfId="0" applyNumberFormat="1" applyFont="1" applyFill="1" applyBorder="1"/>
    <xf numFmtId="0" fontId="11" fillId="0" borderId="0" xfId="0" applyNumberFormat="1" applyFont="1" applyFill="1" applyBorder="1"/>
    <xf numFmtId="0" fontId="18" fillId="0" borderId="0" xfId="0" applyFont="1" applyFill="1" applyBorder="1" applyAlignment="1">
      <alignment horizontal="left" indent="1"/>
    </xf>
    <xf numFmtId="1" fontId="18" fillId="0" borderId="0" xfId="0" applyNumberFormat="1" applyFont="1" applyFill="1" applyBorder="1" applyAlignment="1">
      <alignment horizontal="left" indent="1"/>
    </xf>
    <xf numFmtId="2" fontId="3" fillId="0" borderId="0" xfId="2" applyNumberFormat="1" applyFont="1" applyFill="1" applyBorder="1"/>
    <xf numFmtId="164" fontId="19" fillId="0" borderId="0" xfId="0" applyNumberFormat="1" applyFont="1" applyFill="1" applyBorder="1" applyAlignment="1">
      <alignment horizontal="center"/>
    </xf>
    <xf numFmtId="0" fontId="0" fillId="0" borderId="0" xfId="0" applyFill="1" applyBorder="1" applyAlignment="1">
      <alignment horizontal="center"/>
    </xf>
    <xf numFmtId="166" fontId="0" fillId="0" borderId="0" xfId="1" applyNumberFormat="1" applyFont="1" applyFill="1" applyBorder="1"/>
    <xf numFmtId="0" fontId="11" fillId="0" borderId="10" xfId="0" applyFont="1" applyFill="1" applyBorder="1"/>
    <xf numFmtId="0" fontId="11" fillId="0" borderId="10" xfId="0" applyNumberFormat="1" applyFont="1" applyFill="1" applyBorder="1"/>
    <xf numFmtId="0" fontId="11" fillId="3" borderId="10" xfId="0" applyFont="1" applyFill="1" applyBorder="1"/>
    <xf numFmtId="9" fontId="11" fillId="3" borderId="10" xfId="0" applyNumberFormat="1" applyFont="1" applyFill="1" applyBorder="1"/>
    <xf numFmtId="2" fontId="0" fillId="3" borderId="10" xfId="0" applyNumberFormat="1" applyFill="1" applyBorder="1"/>
    <xf numFmtId="0" fontId="19" fillId="3" borderId="0" xfId="0" applyFont="1" applyFill="1" applyBorder="1"/>
    <xf numFmtId="9" fontId="19" fillId="3" borderId="0" xfId="0" applyNumberFormat="1" applyFont="1" applyFill="1" applyBorder="1"/>
    <xf numFmtId="0" fontId="18" fillId="3" borderId="10" xfId="0" applyFont="1" applyFill="1" applyBorder="1"/>
    <xf numFmtId="9" fontId="19" fillId="3" borderId="10" xfId="1" applyFont="1" applyFill="1" applyBorder="1"/>
    <xf numFmtId="2" fontId="19" fillId="3" borderId="10" xfId="0" applyNumberFormat="1" applyFont="1" applyFill="1" applyBorder="1"/>
    <xf numFmtId="0" fontId="19" fillId="3" borderId="10" xfId="0" applyFont="1" applyFill="1" applyBorder="1"/>
    <xf numFmtId="0" fontId="19" fillId="3" borderId="10" xfId="0" applyFont="1" applyFill="1" applyBorder="1" applyAlignment="1">
      <alignment horizontal="center"/>
    </xf>
    <xf numFmtId="0" fontId="19" fillId="11" borderId="13" xfId="0" applyFont="1" applyFill="1" applyBorder="1" applyAlignment="1">
      <alignment horizontal="center"/>
    </xf>
    <xf numFmtId="0" fontId="19" fillId="2" borderId="10" xfId="0" applyFont="1" applyFill="1" applyBorder="1" applyAlignment="1">
      <alignment horizontal="center"/>
    </xf>
    <xf numFmtId="0" fontId="20" fillId="12" borderId="16" xfId="0" applyFont="1" applyFill="1" applyBorder="1"/>
    <xf numFmtId="0" fontId="20" fillId="12" borderId="18" xfId="0" applyFont="1" applyFill="1" applyBorder="1"/>
    <xf numFmtId="0" fontId="20" fillId="12" borderId="19" xfId="0" applyFont="1" applyFill="1" applyBorder="1"/>
    <xf numFmtId="0" fontId="12" fillId="12" borderId="15" xfId="0" applyFont="1" applyFill="1" applyBorder="1"/>
    <xf numFmtId="0" fontId="12" fillId="12" borderId="22" xfId="0" applyFont="1" applyFill="1" applyBorder="1"/>
    <xf numFmtId="0" fontId="20" fillId="0" borderId="15" xfId="0" applyFont="1" applyBorder="1" applyAlignment="1">
      <alignment horizontal="center"/>
    </xf>
    <xf numFmtId="1" fontId="20" fillId="0" borderId="22" xfId="0" applyNumberFormat="1" applyFont="1" applyBorder="1"/>
    <xf numFmtId="0" fontId="20" fillId="12" borderId="15" xfId="0" applyFont="1" applyFill="1" applyBorder="1" applyAlignment="1">
      <alignment horizontal="center"/>
    </xf>
    <xf numFmtId="1" fontId="20" fillId="12" borderId="22" xfId="0" applyNumberFormat="1" applyFont="1" applyFill="1" applyBorder="1"/>
    <xf numFmtId="0" fontId="20" fillId="12" borderId="22" xfId="0" applyFont="1" applyFill="1" applyBorder="1"/>
    <xf numFmtId="9" fontId="20" fillId="12" borderId="21" xfId="0" applyNumberFormat="1" applyFont="1" applyFill="1" applyBorder="1" applyAlignment="1">
      <alignment horizontal="center"/>
    </xf>
    <xf numFmtId="0" fontId="20" fillId="12" borderId="21" xfId="0" applyFont="1" applyFill="1" applyBorder="1"/>
    <xf numFmtId="0" fontId="19" fillId="2" borderId="16" xfId="0" applyFont="1" applyFill="1" applyBorder="1" applyAlignment="1">
      <alignment horizontal="center"/>
    </xf>
    <xf numFmtId="1" fontId="19" fillId="2" borderId="16" xfId="0" applyNumberFormat="1" applyFont="1" applyFill="1" applyBorder="1" applyAlignment="1">
      <alignment horizontal="center"/>
    </xf>
    <xf numFmtId="0" fontId="19" fillId="5" borderId="14" xfId="0" applyFont="1" applyFill="1" applyBorder="1"/>
    <xf numFmtId="164" fontId="19" fillId="2" borderId="10" xfId="0" applyNumberFormat="1" applyFont="1" applyFill="1" applyBorder="1" applyAlignment="1">
      <alignment horizontal="center"/>
    </xf>
    <xf numFmtId="0" fontId="19" fillId="5" borderId="0" xfId="0" applyFont="1" applyFill="1"/>
    <xf numFmtId="2" fontId="17" fillId="2" borderId="0" xfId="2" applyNumberFormat="1" applyFont="1" applyFill="1" applyBorder="1"/>
    <xf numFmtId="2" fontId="19" fillId="0" borderId="0" xfId="1" applyNumberFormat="1" applyFont="1" applyFill="1" applyBorder="1"/>
    <xf numFmtId="164" fontId="18" fillId="0" borderId="0" xfId="0" applyNumberFormat="1" applyFont="1" applyFill="1" applyBorder="1"/>
    <xf numFmtId="2" fontId="18" fillId="0" borderId="0" xfId="0" applyNumberFormat="1" applyFont="1" applyFill="1" applyBorder="1" applyAlignment="1">
      <alignment horizontal="center"/>
    </xf>
    <xf numFmtId="9" fontId="0" fillId="0" borderId="10" xfId="0" applyNumberFormat="1" applyBorder="1"/>
    <xf numFmtId="0" fontId="0" fillId="3" borderId="10" xfId="0" applyFill="1" applyBorder="1"/>
    <xf numFmtId="1" fontId="19" fillId="0" borderId="10" xfId="0" applyNumberFormat="1" applyFont="1" applyFill="1" applyBorder="1"/>
    <xf numFmtId="0" fontId="18" fillId="5" borderId="0" xfId="0" applyFont="1" applyFill="1" applyBorder="1"/>
    <xf numFmtId="0" fontId="19" fillId="5" borderId="0" xfId="0" applyFont="1" applyFill="1" applyBorder="1"/>
    <xf numFmtId="0" fontId="18" fillId="0" borderId="0" xfId="0" applyFont="1" applyFill="1" applyBorder="1" applyAlignment="1">
      <alignment horizontal="left"/>
    </xf>
    <xf numFmtId="9" fontId="19" fillId="6" borderId="10" xfId="1" applyFont="1" applyFill="1" applyBorder="1"/>
    <xf numFmtId="2" fontId="19" fillId="6" borderId="10" xfId="0" applyNumberFormat="1" applyFont="1" applyFill="1" applyBorder="1"/>
    <xf numFmtId="164" fontId="19" fillId="6" borderId="10" xfId="0" applyNumberFormat="1" applyFont="1" applyFill="1" applyBorder="1"/>
    <xf numFmtId="0" fontId="0" fillId="6" borderId="10" xfId="0" applyFill="1" applyBorder="1"/>
    <xf numFmtId="2" fontId="0" fillId="6" borderId="10" xfId="0" applyNumberFormat="1" applyFill="1" applyBorder="1"/>
    <xf numFmtId="4" fontId="0" fillId="6" borderId="10" xfId="0" applyNumberFormat="1" applyFill="1" applyBorder="1"/>
    <xf numFmtId="0" fontId="0" fillId="0" borderId="12" xfId="0" applyFill="1" applyBorder="1"/>
    <xf numFmtId="2" fontId="18" fillId="5" borderId="13" xfId="0" applyNumberFormat="1" applyFont="1" applyFill="1" applyBorder="1"/>
    <xf numFmtId="2" fontId="18" fillId="5" borderId="12" xfId="0" applyNumberFormat="1" applyFont="1" applyFill="1" applyBorder="1"/>
    <xf numFmtId="2" fontId="19" fillId="13" borderId="10" xfId="0" applyNumberFormat="1" applyFont="1" applyFill="1" applyBorder="1"/>
    <xf numFmtId="0" fontId="29" fillId="0" borderId="0" xfId="0" applyFont="1"/>
    <xf numFmtId="2" fontId="18" fillId="6" borderId="10" xfId="0" applyNumberFormat="1" applyFont="1" applyFill="1" applyBorder="1"/>
    <xf numFmtId="0" fontId="19" fillId="0" borderId="18" xfId="0" applyFont="1" applyBorder="1"/>
    <xf numFmtId="0" fontId="19" fillId="0" borderId="19" xfId="0" applyFont="1" applyBorder="1"/>
    <xf numFmtId="0" fontId="19" fillId="0" borderId="14" xfId="0" applyFont="1" applyBorder="1"/>
    <xf numFmtId="0" fontId="19" fillId="0" borderId="23" xfId="0" applyFont="1" applyBorder="1"/>
    <xf numFmtId="0" fontId="19" fillId="3" borderId="14" xfId="0" applyFont="1" applyFill="1" applyBorder="1"/>
    <xf numFmtId="0" fontId="19" fillId="0" borderId="20" xfId="0" applyFont="1" applyBorder="1"/>
    <xf numFmtId="0" fontId="19" fillId="0" borderId="21" xfId="0" applyFont="1" applyBorder="1"/>
    <xf numFmtId="2" fontId="19" fillId="0" borderId="21" xfId="0" applyNumberFormat="1" applyFont="1" applyBorder="1"/>
    <xf numFmtId="0" fontId="19" fillId="0" borderId="22" xfId="0" applyFont="1" applyBorder="1"/>
    <xf numFmtId="0" fontId="18" fillId="5" borderId="17" xfId="0" applyFont="1" applyFill="1" applyBorder="1"/>
    <xf numFmtId="0" fontId="30" fillId="0" borderId="0" xfId="0" applyFont="1"/>
    <xf numFmtId="0" fontId="29" fillId="0" borderId="0" xfId="0" applyFont="1" applyBorder="1"/>
    <xf numFmtId="0" fontId="31" fillId="0" borderId="0" xfId="0" applyFont="1"/>
    <xf numFmtId="0" fontId="29" fillId="0" borderId="0" xfId="0" applyFont="1" applyFill="1" applyBorder="1"/>
    <xf numFmtId="0" fontId="32" fillId="0" borderId="0" xfId="0" applyFont="1" applyAlignment="1">
      <alignment vertical="center"/>
    </xf>
    <xf numFmtId="1" fontId="0" fillId="6" borderId="10" xfId="0" applyNumberFormat="1" applyFill="1" applyBorder="1" applyAlignment="1">
      <alignment horizontal="left" indent="1"/>
    </xf>
    <xf numFmtId="9" fontId="0" fillId="3" borderId="10" xfId="0" applyNumberFormat="1" applyFill="1" applyBorder="1"/>
    <xf numFmtId="0" fontId="0" fillId="7" borderId="10" xfId="0" applyFill="1" applyBorder="1"/>
    <xf numFmtId="0" fontId="33" fillId="0" borderId="0" xfId="0" applyFont="1" applyAlignment="1">
      <alignment vertical="center"/>
    </xf>
    <xf numFmtId="0" fontId="16" fillId="0" borderId="0" xfId="0" applyFont="1" applyAlignment="1">
      <alignment vertical="center"/>
    </xf>
    <xf numFmtId="0" fontId="16" fillId="0" borderId="0" xfId="0" applyFont="1"/>
    <xf numFmtId="0" fontId="33" fillId="0" borderId="0" xfId="0" applyFont="1"/>
    <xf numFmtId="2" fontId="6" fillId="0" borderId="0" xfId="2" applyNumberFormat="1" applyFill="1" applyBorder="1" applyAlignment="1">
      <alignment horizontal="left"/>
    </xf>
    <xf numFmtId="0" fontId="17" fillId="0" borderId="0" xfId="2" applyFont="1" applyFill="1" applyBorder="1" applyAlignment="1">
      <alignment horizontal="center"/>
    </xf>
    <xf numFmtId="2" fontId="17" fillId="0" borderId="0" xfId="2" applyNumberFormat="1" applyFont="1" applyFill="1" applyBorder="1" applyAlignment="1">
      <alignment horizontal="center"/>
    </xf>
    <xf numFmtId="0" fontId="16" fillId="0" borderId="0" xfId="0" applyFont="1" applyFill="1" applyBorder="1" applyAlignment="1">
      <alignment horizontal="center"/>
    </xf>
    <xf numFmtId="0" fontId="27" fillId="0" borderId="0" xfId="2" applyFont="1" applyFill="1" applyBorder="1" applyAlignment="1">
      <alignment horizontal="center" wrapText="1"/>
    </xf>
    <xf numFmtId="0" fontId="28" fillId="0" borderId="0" xfId="0" applyFont="1" applyFill="1" applyBorder="1" applyAlignment="1">
      <alignment horizontal="right"/>
    </xf>
    <xf numFmtId="0" fontId="28" fillId="0" borderId="0" xfId="0" applyFont="1" applyFill="1" applyBorder="1"/>
    <xf numFmtId="165" fontId="25" fillId="0" borderId="0" xfId="3" applyFont="1" applyFill="1" applyBorder="1"/>
    <xf numFmtId="2" fontId="25" fillId="0" borderId="0" xfId="0" applyNumberFormat="1" applyFont="1" applyFill="1" applyBorder="1"/>
    <xf numFmtId="43" fontId="19" fillId="0" borderId="0" xfId="0" applyNumberFormat="1" applyFont="1" applyFill="1" applyBorder="1"/>
    <xf numFmtId="43" fontId="26" fillId="0" borderId="0" xfId="2" applyNumberFormat="1" applyFont="1" applyFill="1" applyBorder="1"/>
    <xf numFmtId="9" fontId="18" fillId="0" borderId="0" xfId="0" applyNumberFormat="1" applyFont="1" applyFill="1" applyBorder="1"/>
    <xf numFmtId="0" fontId="11" fillId="0" borderId="0" xfId="0" applyFont="1" applyAlignment="1">
      <alignment horizontal="center"/>
    </xf>
    <xf numFmtId="2" fontId="11" fillId="0" borderId="0" xfId="0" applyNumberFormat="1" applyFont="1" applyFill="1" applyAlignment="1">
      <alignment horizontal="center"/>
    </xf>
    <xf numFmtId="0" fontId="16" fillId="0" borderId="0" xfId="0" applyFont="1" applyFill="1"/>
    <xf numFmtId="0" fontId="16" fillId="0" borderId="0" xfId="0" applyFont="1" applyAlignment="1">
      <alignment horizontal="center"/>
    </xf>
    <xf numFmtId="0" fontId="19" fillId="3" borderId="16" xfId="0" applyFont="1" applyFill="1" applyBorder="1"/>
    <xf numFmtId="0" fontId="16" fillId="0" borderId="0" xfId="0" applyFont="1" applyFill="1" applyBorder="1" applyAlignment="1">
      <alignment vertical="center"/>
    </xf>
    <xf numFmtId="9" fontId="29" fillId="0" borderId="0" xfId="0" applyNumberFormat="1" applyFont="1" applyFill="1" applyBorder="1" applyAlignment="1">
      <alignment horizontal="center"/>
    </xf>
    <xf numFmtId="0" fontId="29" fillId="0" borderId="0" xfId="0" applyFont="1" applyFill="1" applyBorder="1" applyAlignment="1">
      <alignment horizontal="center"/>
    </xf>
    <xf numFmtId="0" fontId="17" fillId="4" borderId="10" xfId="2" applyFont="1" applyFill="1" applyBorder="1" applyAlignment="1">
      <alignment horizontal="center"/>
    </xf>
    <xf numFmtId="0" fontId="16" fillId="2" borderId="10" xfId="2" applyFont="1" applyFill="1" applyBorder="1" applyAlignment="1">
      <alignment horizontal="center"/>
    </xf>
    <xf numFmtId="165" fontId="8" fillId="14" borderId="0" xfId="3" applyFont="1" applyFill="1"/>
    <xf numFmtId="167" fontId="8" fillId="0" borderId="0" xfId="3" applyNumberFormat="1" applyFont="1"/>
    <xf numFmtId="165" fontId="8" fillId="0" borderId="7" xfId="3" applyFont="1" applyBorder="1"/>
    <xf numFmtId="167" fontId="8" fillId="0" borderId="0" xfId="3" applyNumberFormat="1" applyFont="1" applyBorder="1"/>
    <xf numFmtId="166" fontId="41" fillId="16" borderId="10" xfId="6" applyNumberFormat="1" applyFont="1" applyFill="1" applyBorder="1" applyAlignment="1">
      <alignment horizontal="center" vertical="top" wrapText="1"/>
    </xf>
    <xf numFmtId="166" fontId="43" fillId="0" borderId="28" xfId="6" applyNumberFormat="1" applyFont="1" applyBorder="1"/>
    <xf numFmtId="166" fontId="43" fillId="17" borderId="0" xfId="6" applyNumberFormat="1" applyFont="1" applyFill="1"/>
    <xf numFmtId="167" fontId="43" fillId="0" borderId="0" xfId="3" applyNumberFormat="1" applyFont="1"/>
    <xf numFmtId="167" fontId="43" fillId="13" borderId="0" xfId="3" applyNumberFormat="1" applyFont="1" applyFill="1"/>
    <xf numFmtId="167" fontId="36" fillId="0" borderId="0" xfId="3" applyNumberFormat="1" applyFont="1"/>
    <xf numFmtId="167" fontId="36" fillId="2" borderId="0" xfId="3" applyNumberFormat="1" applyFont="1" applyFill="1"/>
    <xf numFmtId="167" fontId="36" fillId="13" borderId="0" xfId="3" applyNumberFormat="1" applyFont="1" applyFill="1"/>
    <xf numFmtId="165" fontId="36" fillId="2" borderId="0" xfId="3" applyNumberFormat="1" applyFont="1" applyFill="1"/>
    <xf numFmtId="165" fontId="43" fillId="0" borderId="0" xfId="3" applyFont="1" applyFill="1"/>
    <xf numFmtId="10" fontId="36" fillId="17" borderId="0" xfId="6" applyNumberFormat="1" applyFont="1" applyFill="1"/>
    <xf numFmtId="165" fontId="36" fillId="13" borderId="0" xfId="3" applyFont="1" applyFill="1"/>
    <xf numFmtId="165" fontId="36" fillId="17" borderId="0" xfId="3" applyFont="1" applyFill="1"/>
    <xf numFmtId="165" fontId="36" fillId="0" borderId="0" xfId="3" applyFont="1" applyBorder="1"/>
    <xf numFmtId="165" fontId="36" fillId="2" borderId="0" xfId="3" applyFont="1" applyFill="1" applyBorder="1"/>
    <xf numFmtId="10" fontId="36" fillId="2" borderId="0" xfId="6" applyNumberFormat="1" applyFont="1" applyFill="1"/>
    <xf numFmtId="10" fontId="36" fillId="0" borderId="0" xfId="6" applyNumberFormat="1" applyFont="1" applyFill="1"/>
    <xf numFmtId="0" fontId="35" fillId="0" borderId="0" xfId="7" applyFont="1"/>
    <xf numFmtId="0" fontId="8" fillId="0" borderId="0" xfId="7" applyFont="1" applyFill="1" applyBorder="1"/>
    <xf numFmtId="0" fontId="8" fillId="0" borderId="0" xfId="7" applyFont="1" applyBorder="1"/>
    <xf numFmtId="0" fontId="8" fillId="0" borderId="0" xfId="7" applyFont="1"/>
    <xf numFmtId="14" fontId="8" fillId="2" borderId="0" xfId="7" applyNumberFormat="1" applyFont="1" applyFill="1" applyBorder="1" applyAlignment="1">
      <alignment horizontal="left"/>
    </xf>
    <xf numFmtId="14" fontId="8" fillId="0" borderId="0" xfId="7" applyNumberFormat="1" applyFont="1" applyBorder="1"/>
    <xf numFmtId="0" fontId="8" fillId="0" borderId="1" xfId="7" applyFont="1" applyBorder="1"/>
    <xf numFmtId="0" fontId="35" fillId="0" borderId="2" xfId="7" applyFont="1" applyBorder="1"/>
    <xf numFmtId="0" fontId="8" fillId="0" borderId="3" xfId="7" applyFont="1" applyBorder="1"/>
    <xf numFmtId="0" fontId="35" fillId="14" borderId="0" xfId="7" applyFont="1" applyFill="1" applyBorder="1"/>
    <xf numFmtId="0" fontId="35" fillId="14" borderId="0" xfId="7" applyFont="1" applyFill="1" applyBorder="1" applyAlignment="1">
      <alignment horizontal="right"/>
    </xf>
    <xf numFmtId="0" fontId="35" fillId="0" borderId="4" xfId="7" applyFont="1" applyBorder="1"/>
    <xf numFmtId="167" fontId="8" fillId="0" borderId="0" xfId="7" applyNumberFormat="1" applyFont="1" applyBorder="1"/>
    <xf numFmtId="0" fontId="8" fillId="0" borderId="5" xfId="7" applyFont="1" applyBorder="1"/>
    <xf numFmtId="0" fontId="8" fillId="14" borderId="0" xfId="7" applyFont="1" applyFill="1"/>
    <xf numFmtId="0" fontId="35" fillId="0" borderId="6" xfId="7" applyFont="1" applyBorder="1"/>
    <xf numFmtId="0" fontId="8" fillId="0" borderId="8" xfId="7" applyFont="1" applyBorder="1"/>
    <xf numFmtId="167" fontId="8" fillId="0" borderId="0" xfId="7" applyNumberFormat="1" applyFont="1"/>
    <xf numFmtId="2" fontId="8" fillId="0" borderId="0" xfId="7" applyNumberFormat="1" applyFont="1"/>
    <xf numFmtId="0" fontId="8" fillId="0" borderId="0" xfId="7" quotePrefix="1" applyFont="1"/>
    <xf numFmtId="0" fontId="36" fillId="0" borderId="0" xfId="7" applyFont="1"/>
    <xf numFmtId="2" fontId="36" fillId="0" borderId="0" xfId="7" applyNumberFormat="1" applyFont="1"/>
    <xf numFmtId="14" fontId="36" fillId="0" borderId="0" xfId="7" applyNumberFormat="1" applyFont="1" applyAlignment="1">
      <alignment horizontal="left"/>
    </xf>
    <xf numFmtId="0" fontId="43" fillId="0" borderId="0" xfId="7" applyFont="1"/>
    <xf numFmtId="0" fontId="43" fillId="0" borderId="0" xfId="7" applyFont="1" applyFill="1" applyBorder="1"/>
    <xf numFmtId="2" fontId="36" fillId="0" borderId="0" xfId="7" applyNumberFormat="1" applyFont="1" applyBorder="1"/>
    <xf numFmtId="0" fontId="36" fillId="0" borderId="0" xfId="7" applyFont="1" applyAlignment="1">
      <alignment horizontal="left"/>
    </xf>
    <xf numFmtId="0" fontId="36" fillId="0" borderId="1" xfId="7" applyFont="1" applyBorder="1"/>
    <xf numFmtId="0" fontId="36" fillId="0" borderId="2" xfId="7" applyFont="1" applyBorder="1"/>
    <xf numFmtId="0" fontId="36" fillId="0" borderId="30" xfId="7" applyFont="1" applyBorder="1"/>
    <xf numFmtId="0" fontId="36" fillId="0" borderId="3" xfId="7" applyFont="1" applyBorder="1"/>
    <xf numFmtId="165" fontId="36" fillId="0" borderId="0" xfId="7" applyNumberFormat="1" applyFont="1"/>
    <xf numFmtId="0" fontId="36" fillId="0" borderId="4" xfId="7" applyFont="1" applyBorder="1"/>
    <xf numFmtId="0" fontId="36" fillId="0" borderId="0" xfId="7" applyFont="1" applyBorder="1"/>
    <xf numFmtId="0" fontId="36" fillId="0" borderId="14" xfId="7" applyFont="1" applyBorder="1"/>
    <xf numFmtId="0" fontId="36" fillId="0" borderId="5" xfId="7" applyFont="1" applyBorder="1"/>
    <xf numFmtId="0" fontId="36" fillId="0" borderId="6" xfId="7" applyFont="1" applyBorder="1"/>
    <xf numFmtId="0" fontId="36" fillId="0" borderId="7" xfId="7" applyFont="1" applyBorder="1"/>
    <xf numFmtId="0" fontId="36" fillId="0" borderId="29" xfId="7" applyFont="1" applyBorder="1"/>
    <xf numFmtId="0" fontId="36" fillId="0" borderId="8" xfId="7" applyFont="1" applyBorder="1"/>
    <xf numFmtId="166" fontId="36" fillId="2" borderId="0" xfId="7" applyNumberFormat="1" applyFont="1" applyFill="1"/>
    <xf numFmtId="0" fontId="8" fillId="0" borderId="0" xfId="7" applyFont="1" applyFill="1"/>
    <xf numFmtId="0" fontId="36" fillId="0" borderId="10" xfId="7" applyFont="1" applyBorder="1"/>
    <xf numFmtId="0" fontId="42" fillId="16" borderId="10" xfId="7" applyFont="1" applyFill="1" applyBorder="1" applyAlignment="1">
      <alignment horizontal="center" vertical="top" wrapText="1"/>
    </xf>
    <xf numFmtId="166" fontId="41" fillId="16" borderId="10" xfId="7" applyNumberFormat="1" applyFont="1" applyFill="1" applyBorder="1" applyAlignment="1">
      <alignment horizontal="center" vertical="top" wrapText="1"/>
    </xf>
    <xf numFmtId="0" fontId="41" fillId="16" borderId="10" xfId="7" applyFont="1" applyFill="1" applyBorder="1" applyAlignment="1">
      <alignment horizontal="center" vertical="top" wrapText="1"/>
    </xf>
    <xf numFmtId="0" fontId="40" fillId="0" borderId="0" xfId="7" applyFont="1" applyAlignment="1">
      <alignment vertical="center" wrapText="1"/>
    </xf>
    <xf numFmtId="0" fontId="8" fillId="0" borderId="0" xfId="7"/>
    <xf numFmtId="0" fontId="39" fillId="0" borderId="0" xfId="7" applyFont="1" applyAlignment="1">
      <alignment vertical="center" wrapText="1"/>
    </xf>
    <xf numFmtId="0" fontId="38" fillId="15" borderId="27" xfId="7" applyFont="1" applyFill="1" applyBorder="1" applyAlignment="1">
      <alignment horizontal="left" vertical="top" wrapText="1"/>
    </xf>
    <xf numFmtId="0" fontId="38" fillId="15" borderId="26" xfId="7" applyFont="1" applyFill="1" applyBorder="1" applyAlignment="1">
      <alignment horizontal="left" vertical="top" wrapText="1"/>
    </xf>
    <xf numFmtId="0" fontId="37" fillId="15" borderId="0" xfId="7" applyFont="1" applyFill="1" applyAlignment="1">
      <alignment vertical="top" wrapText="1"/>
    </xf>
    <xf numFmtId="0" fontId="37" fillId="15" borderId="25" xfId="7" applyFont="1" applyFill="1" applyBorder="1" applyAlignment="1">
      <alignment vertical="top" wrapText="1"/>
    </xf>
    <xf numFmtId="0" fontId="44" fillId="0" borderId="0" xfId="7" applyFont="1"/>
    <xf numFmtId="0" fontId="36" fillId="17" borderId="0" xfId="7" applyFont="1" applyFill="1"/>
    <xf numFmtId="165" fontId="36" fillId="0" borderId="7" xfId="3" applyFont="1" applyBorder="1"/>
    <xf numFmtId="0" fontId="36" fillId="13" borderId="0" xfId="7" applyFont="1" applyFill="1"/>
    <xf numFmtId="0" fontId="36" fillId="13" borderId="14" xfId="7" applyFont="1" applyFill="1" applyBorder="1"/>
    <xf numFmtId="0" fontId="36" fillId="0" borderId="23" xfId="7" applyFont="1" applyBorder="1"/>
    <xf numFmtId="0" fontId="43" fillId="0" borderId="0" xfId="7" applyFont="1" applyAlignment="1">
      <alignment horizontal="left"/>
    </xf>
    <xf numFmtId="3" fontId="36" fillId="0" borderId="14" xfId="7" applyNumberFormat="1" applyFont="1" applyBorder="1"/>
    <xf numFmtId="0" fontId="45" fillId="2" borderId="23" xfId="7" applyFont="1" applyFill="1" applyBorder="1" applyAlignment="1">
      <alignment horizontal="left"/>
    </xf>
    <xf numFmtId="0" fontId="45" fillId="2" borderId="0" xfId="7" applyFont="1" applyFill="1"/>
    <xf numFmtId="3" fontId="36" fillId="13" borderId="14" xfId="7" applyNumberFormat="1" applyFont="1" applyFill="1" applyBorder="1"/>
    <xf numFmtId="0" fontId="43" fillId="0" borderId="0" xfId="7" applyFont="1" applyBorder="1"/>
    <xf numFmtId="0" fontId="43" fillId="0" borderId="14" xfId="7" applyFont="1" applyBorder="1"/>
    <xf numFmtId="0" fontId="43" fillId="0" borderId="14" xfId="7" applyFont="1" applyFill="1" applyBorder="1"/>
    <xf numFmtId="0" fontId="43" fillId="0" borderId="23" xfId="7" applyFont="1" applyBorder="1"/>
    <xf numFmtId="165" fontId="43" fillId="0" borderId="0" xfId="3" applyFont="1" applyBorder="1"/>
    <xf numFmtId="165" fontId="36" fillId="0" borderId="14" xfId="3" applyFont="1" applyBorder="1"/>
    <xf numFmtId="167" fontId="36" fillId="17" borderId="14" xfId="3" applyNumberFormat="1" applyFont="1" applyFill="1" applyBorder="1"/>
    <xf numFmtId="167" fontId="36" fillId="0" borderId="14" xfId="3" applyNumberFormat="1" applyFont="1" applyFill="1" applyBorder="1"/>
    <xf numFmtId="164" fontId="36" fillId="2" borderId="14" xfId="7" applyNumberFormat="1" applyFont="1" applyFill="1" applyBorder="1"/>
    <xf numFmtId="165" fontId="43" fillId="0" borderId="14" xfId="3" applyFont="1" applyBorder="1"/>
    <xf numFmtId="9" fontId="36" fillId="17" borderId="14" xfId="7" applyNumberFormat="1" applyFont="1" applyFill="1" applyBorder="1"/>
    <xf numFmtId="167" fontId="36" fillId="0" borderId="14" xfId="7" applyNumberFormat="1" applyFont="1" applyBorder="1"/>
    <xf numFmtId="167" fontId="43" fillId="0" borderId="14" xfId="7" applyNumberFormat="1" applyFont="1" applyBorder="1"/>
    <xf numFmtId="167" fontId="36" fillId="13" borderId="14" xfId="3" applyNumberFormat="1" applyFont="1" applyFill="1" applyBorder="1"/>
    <xf numFmtId="168" fontId="36" fillId="2" borderId="14" xfId="3" applyNumberFormat="1" applyFont="1" applyFill="1" applyBorder="1"/>
    <xf numFmtId="167" fontId="36" fillId="0" borderId="14" xfId="3" applyNumberFormat="1" applyFont="1" applyBorder="1"/>
    <xf numFmtId="1" fontId="36" fillId="0" borderId="23" xfId="7" applyNumberFormat="1" applyFont="1" applyBorder="1"/>
    <xf numFmtId="10" fontId="36" fillId="13" borderId="14" xfId="6" applyNumberFormat="1" applyFont="1" applyFill="1" applyBorder="1"/>
    <xf numFmtId="167" fontId="43" fillId="0" borderId="14" xfId="3" applyNumberFormat="1" applyFont="1" applyBorder="1"/>
    <xf numFmtId="167" fontId="36" fillId="17" borderId="0" xfId="3" applyNumberFormat="1" applyFont="1" applyFill="1" applyBorder="1"/>
    <xf numFmtId="164" fontId="36" fillId="0" borderId="23" xfId="7" applyNumberFormat="1" applyFont="1" applyBorder="1"/>
    <xf numFmtId="0" fontId="43" fillId="0" borderId="23" xfId="7" applyFont="1" applyFill="1" applyBorder="1"/>
    <xf numFmtId="165" fontId="36" fillId="2" borderId="14" xfId="3" applyFont="1" applyFill="1" applyBorder="1"/>
    <xf numFmtId="169" fontId="36" fillId="0" borderId="14" xfId="7" applyNumberFormat="1" applyFont="1" applyBorder="1"/>
    <xf numFmtId="10" fontId="36" fillId="2" borderId="14" xfId="7" applyNumberFormat="1" applyFont="1" applyFill="1" applyBorder="1"/>
    <xf numFmtId="165" fontId="43" fillId="0" borderId="0" xfId="3" applyFont="1" applyFill="1" applyBorder="1"/>
    <xf numFmtId="10" fontId="43" fillId="0" borderId="14" xfId="7" applyNumberFormat="1" applyFont="1" applyFill="1" applyBorder="1"/>
    <xf numFmtId="165" fontId="36" fillId="0" borderId="23" xfId="7" applyNumberFormat="1" applyFont="1" applyBorder="1"/>
    <xf numFmtId="168" fontId="36" fillId="0" borderId="14" xfId="3" applyNumberFormat="1" applyFont="1" applyBorder="1"/>
    <xf numFmtId="2" fontId="43" fillId="0" borderId="23" xfId="7" applyNumberFormat="1" applyFont="1" applyBorder="1"/>
    <xf numFmtId="0" fontId="43" fillId="0" borderId="0" xfId="7" applyFont="1" applyAlignment="1">
      <alignment horizontal="right"/>
    </xf>
    <xf numFmtId="165" fontId="43" fillId="17" borderId="0" xfId="3" applyFont="1" applyFill="1" applyBorder="1"/>
    <xf numFmtId="165" fontId="46" fillId="0" borderId="0" xfId="3" applyFont="1" applyBorder="1"/>
    <xf numFmtId="3" fontId="43" fillId="0" borderId="23" xfId="7" applyNumberFormat="1" applyFont="1" applyFill="1" applyBorder="1"/>
    <xf numFmtId="1" fontId="43" fillId="0" borderId="0" xfId="7" applyNumberFormat="1" applyFont="1"/>
    <xf numFmtId="1" fontId="36" fillId="0" borderId="0" xfId="7" applyNumberFormat="1" applyFont="1"/>
    <xf numFmtId="167" fontId="43" fillId="0" borderId="14" xfId="3" applyNumberFormat="1" applyFont="1" applyFill="1" applyBorder="1"/>
    <xf numFmtId="167" fontId="36" fillId="2" borderId="14" xfId="3" applyNumberFormat="1" applyFont="1" applyFill="1" applyBorder="1"/>
    <xf numFmtId="167" fontId="43" fillId="13" borderId="14" xfId="3" applyNumberFormat="1" applyFont="1" applyFill="1" applyBorder="1"/>
    <xf numFmtId="165" fontId="43" fillId="0" borderId="31" xfId="3" applyFont="1" applyBorder="1"/>
    <xf numFmtId="0" fontId="43" fillId="0" borderId="32" xfId="7" applyFont="1" applyBorder="1"/>
    <xf numFmtId="2" fontId="43" fillId="0" borderId="0" xfId="7" applyNumberFormat="1" applyFont="1"/>
    <xf numFmtId="10" fontId="43" fillId="0" borderId="0" xfId="7" applyNumberFormat="1" applyFont="1"/>
    <xf numFmtId="165" fontId="43" fillId="0" borderId="0" xfId="3" applyFont="1"/>
    <xf numFmtId="164" fontId="36" fillId="0" borderId="0" xfId="7" applyNumberFormat="1" applyFont="1"/>
    <xf numFmtId="165" fontId="36" fillId="0" borderId="0" xfId="3" applyFont="1"/>
    <xf numFmtId="166" fontId="36" fillId="13" borderId="0" xfId="7" applyNumberFormat="1" applyFont="1" applyFill="1"/>
    <xf numFmtId="166" fontId="36" fillId="13" borderId="0" xfId="6" applyNumberFormat="1" applyFont="1" applyFill="1"/>
    <xf numFmtId="166" fontId="43" fillId="0" borderId="0" xfId="7" applyNumberFormat="1" applyFont="1"/>
    <xf numFmtId="166" fontId="36" fillId="0" borderId="0" xfId="7" applyNumberFormat="1" applyFont="1"/>
    <xf numFmtId="167" fontId="36" fillId="0" borderId="0" xfId="7" applyNumberFormat="1" applyFont="1"/>
    <xf numFmtId="168" fontId="36" fillId="13" borderId="0" xfId="7" applyNumberFormat="1" applyFont="1" applyFill="1"/>
    <xf numFmtId="165" fontId="36" fillId="0" borderId="0" xfId="3" applyNumberFormat="1" applyFont="1"/>
    <xf numFmtId="170" fontId="36" fillId="0" borderId="0" xfId="7" applyNumberFormat="1" applyFont="1"/>
    <xf numFmtId="165" fontId="43" fillId="0" borderId="0" xfId="7" applyNumberFormat="1" applyFont="1"/>
    <xf numFmtId="0" fontId="0" fillId="0" borderId="33" xfId="0" applyFont="1" applyBorder="1"/>
    <xf numFmtId="3" fontId="0" fillId="0" borderId="33" xfId="0" applyNumberFormat="1" applyFont="1" applyBorder="1"/>
    <xf numFmtId="0" fontId="0" fillId="0" borderId="0" xfId="0" applyFont="1"/>
    <xf numFmtId="3" fontId="0" fillId="0" borderId="0" xfId="0" applyNumberFormat="1" applyFont="1"/>
    <xf numFmtId="0" fontId="49" fillId="18" borderId="0" xfId="0" applyFont="1" applyFill="1" applyAlignment="1">
      <alignment wrapText="1"/>
    </xf>
    <xf numFmtId="171" fontId="49" fillId="18" borderId="0" xfId="8" applyNumberFormat="1" applyFont="1" applyFill="1" applyAlignment="1">
      <alignment wrapText="1"/>
    </xf>
    <xf numFmtId="171" fontId="50" fillId="0" borderId="10" xfId="8" applyNumberFormat="1" applyFont="1" applyFill="1" applyBorder="1" applyAlignment="1">
      <alignment wrapText="1"/>
    </xf>
    <xf numFmtId="171" fontId="50" fillId="0" borderId="11" xfId="8" applyNumberFormat="1" applyFont="1" applyFill="1" applyBorder="1" applyAlignment="1">
      <alignment wrapText="1"/>
    </xf>
    <xf numFmtId="0" fontId="11" fillId="0" borderId="0" xfId="0" applyFont="1" applyAlignment="1">
      <alignment vertical="center"/>
    </xf>
    <xf numFmtId="171" fontId="0" fillId="0" borderId="33" xfId="8" applyNumberFormat="1" applyFont="1" applyBorder="1"/>
    <xf numFmtId="171" fontId="0" fillId="0" borderId="0" xfId="8" applyNumberFormat="1" applyFont="1"/>
    <xf numFmtId="0" fontId="0" fillId="0" borderId="0" xfId="0" applyFont="1" applyBorder="1"/>
    <xf numFmtId="171" fontId="0" fillId="0" borderId="0" xfId="8" applyNumberFormat="1" applyFont="1" applyBorder="1"/>
    <xf numFmtId="3" fontId="0" fillId="0" borderId="0" xfId="0" applyNumberFormat="1" applyFont="1" applyBorder="1"/>
    <xf numFmtId="171" fontId="11" fillId="0" borderId="0" xfId="0" applyNumberFormat="1" applyFont="1" applyAlignment="1">
      <alignment vertical="center"/>
    </xf>
    <xf numFmtId="171" fontId="0" fillId="0" borderId="0" xfId="0" applyNumberFormat="1"/>
    <xf numFmtId="0" fontId="51" fillId="19" borderId="1" xfId="9" applyFont="1" applyFill="1" applyBorder="1" applyAlignment="1">
      <alignment horizontal="center"/>
    </xf>
    <xf numFmtId="0" fontId="51" fillId="19" borderId="2" xfId="9" applyFont="1" applyFill="1" applyBorder="1" applyAlignment="1">
      <alignment horizontal="center"/>
    </xf>
    <xf numFmtId="0" fontId="51" fillId="19" borderId="34" xfId="9" applyFont="1" applyFill="1" applyBorder="1" applyAlignment="1">
      <alignment horizontal="center"/>
    </xf>
    <xf numFmtId="0" fontId="8" fillId="0" borderId="0" xfId="9" applyFont="1"/>
    <xf numFmtId="0" fontId="52" fillId="20" borderId="6" xfId="9" applyFont="1" applyFill="1" applyBorder="1" applyAlignment="1">
      <alignment horizontal="center"/>
    </xf>
    <xf numFmtId="0" fontId="52" fillId="20" borderId="7" xfId="9" applyFont="1" applyFill="1" applyBorder="1" applyAlignment="1">
      <alignment horizontal="center"/>
    </xf>
    <xf numFmtId="0" fontId="52" fillId="20" borderId="35" xfId="9" applyFont="1" applyFill="1" applyBorder="1" applyAlignment="1">
      <alignment horizontal="center"/>
    </xf>
    <xf numFmtId="0" fontId="8" fillId="0" borderId="0" xfId="9" applyFont="1" applyFill="1" applyBorder="1"/>
    <xf numFmtId="0" fontId="8" fillId="0" borderId="0" xfId="9" applyFont="1" applyBorder="1"/>
    <xf numFmtId="0" fontId="8" fillId="0" borderId="23" xfId="9" applyFont="1" applyBorder="1"/>
    <xf numFmtId="0" fontId="53" fillId="0" borderId="0" xfId="9" applyFont="1" applyBorder="1" applyAlignment="1">
      <alignment horizontal="left"/>
    </xf>
    <xf numFmtId="0" fontId="44" fillId="0" borderId="0" xfId="9" applyFont="1" applyBorder="1" applyAlignment="1">
      <alignment horizontal="left"/>
    </xf>
    <xf numFmtId="0" fontId="54" fillId="0" borderId="0" xfId="9" applyFont="1" applyBorder="1"/>
    <xf numFmtId="0" fontId="55" fillId="0" borderId="10" xfId="9" applyFont="1" applyBorder="1" applyAlignment="1">
      <alignment horizontal="left"/>
    </xf>
    <xf numFmtId="0" fontId="54" fillId="0" borderId="36" xfId="9" applyFont="1" applyBorder="1"/>
    <xf numFmtId="0" fontId="54" fillId="0" borderId="12" xfId="9" applyFont="1" applyBorder="1"/>
    <xf numFmtId="0" fontId="54" fillId="0" borderId="0" xfId="9" applyFont="1" applyFill="1" applyBorder="1"/>
    <xf numFmtId="0" fontId="54" fillId="0" borderId="0" xfId="9" applyFont="1"/>
    <xf numFmtId="0" fontId="35" fillId="0" borderId="37" xfId="9" applyFont="1" applyFill="1" applyBorder="1" applyAlignment="1">
      <alignment horizontal="right" wrapText="1"/>
    </xf>
    <xf numFmtId="0" fontId="35" fillId="0" borderId="38" xfId="9" applyFont="1" applyFill="1" applyBorder="1" applyAlignment="1">
      <alignment horizontal="right" wrapText="1"/>
    </xf>
    <xf numFmtId="0" fontId="35" fillId="0" borderId="39" xfId="9" applyFont="1" applyFill="1" applyBorder="1" applyAlignment="1">
      <alignment horizontal="right" wrapText="1"/>
    </xf>
    <xf numFmtId="0" fontId="13" fillId="21" borderId="40" xfId="9" applyFont="1" applyFill="1" applyBorder="1" applyAlignment="1">
      <alignment horizontal="center"/>
    </xf>
    <xf numFmtId="0" fontId="13" fillId="21" borderId="41" xfId="9" applyFont="1" applyFill="1" applyBorder="1" applyAlignment="1">
      <alignment horizontal="center"/>
    </xf>
    <xf numFmtId="0" fontId="13" fillId="21" borderId="42" xfId="9" applyFont="1" applyFill="1" applyBorder="1" applyAlignment="1">
      <alignment horizontal="center"/>
    </xf>
    <xf numFmtId="0" fontId="13" fillId="22" borderId="40" xfId="9" applyFont="1" applyFill="1" applyBorder="1" applyAlignment="1">
      <alignment horizontal="center"/>
    </xf>
    <xf numFmtId="0" fontId="13" fillId="22" borderId="41" xfId="9" applyFont="1" applyFill="1" applyBorder="1" applyAlignment="1">
      <alignment horizontal="center"/>
    </xf>
    <xf numFmtId="0" fontId="13" fillId="23" borderId="41" xfId="9" applyFont="1" applyFill="1" applyBorder="1" applyAlignment="1">
      <alignment horizontal="center"/>
    </xf>
    <xf numFmtId="0" fontId="13" fillId="23" borderId="43" xfId="9" applyFont="1" applyFill="1" applyBorder="1" applyAlignment="1">
      <alignment horizontal="center"/>
    </xf>
    <xf numFmtId="0" fontId="43" fillId="0" borderId="0" xfId="9" applyFont="1" applyFill="1" applyBorder="1" applyAlignment="1">
      <alignment horizontal="center" wrapText="1"/>
    </xf>
    <xf numFmtId="0" fontId="13" fillId="0" borderId="0" xfId="9" applyFont="1" applyFill="1" applyBorder="1" applyAlignment="1">
      <alignment horizontal="center"/>
    </xf>
    <xf numFmtId="0" fontId="43" fillId="0" borderId="44" xfId="9" applyFont="1" applyFill="1" applyBorder="1" applyAlignment="1">
      <alignment horizontal="left" wrapText="1"/>
    </xf>
    <xf numFmtId="0" fontId="43" fillId="0" borderId="45" xfId="9" applyFont="1" applyFill="1" applyBorder="1" applyAlignment="1">
      <alignment horizontal="left" wrapText="1"/>
    </xf>
    <xf numFmtId="0" fontId="43" fillId="0" borderId="46" xfId="9" applyFont="1" applyFill="1" applyBorder="1" applyAlignment="1">
      <alignment horizontal="left" wrapText="1"/>
    </xf>
    <xf numFmtId="0" fontId="13" fillId="21" borderId="47" xfId="9" applyFont="1" applyFill="1" applyBorder="1" applyAlignment="1">
      <alignment horizontal="center" wrapText="1"/>
    </xf>
    <xf numFmtId="0" fontId="13" fillId="21" borderId="11" xfId="9" applyFont="1" applyFill="1" applyBorder="1" applyAlignment="1">
      <alignment horizontal="center" wrapText="1"/>
    </xf>
    <xf numFmtId="0" fontId="13" fillId="21" borderId="14" xfId="9" applyFont="1" applyFill="1" applyBorder="1" applyAlignment="1">
      <alignment horizontal="center" wrapText="1"/>
    </xf>
    <xf numFmtId="0" fontId="13" fillId="22" borderId="4" xfId="9" applyFont="1" applyFill="1" applyBorder="1" applyAlignment="1">
      <alignment horizontal="center" wrapText="1"/>
    </xf>
    <xf numFmtId="0" fontId="13" fillId="22" borderId="11" xfId="9" applyFont="1" applyFill="1" applyBorder="1" applyAlignment="1">
      <alignment horizontal="center" wrapText="1"/>
    </xf>
    <xf numFmtId="0" fontId="13" fillId="23" borderId="11" xfId="9" applyFont="1" applyFill="1" applyBorder="1" applyAlignment="1">
      <alignment horizontal="center" wrapText="1"/>
    </xf>
    <xf numFmtId="0" fontId="13" fillId="23" borderId="48" xfId="9" applyFont="1" applyFill="1" applyBorder="1" applyAlignment="1">
      <alignment horizontal="center" wrapText="1"/>
    </xf>
    <xf numFmtId="0" fontId="13" fillId="0" borderId="0" xfId="9" applyFont="1" applyFill="1" applyBorder="1" applyAlignment="1">
      <alignment horizontal="center" wrapText="1"/>
    </xf>
    <xf numFmtId="0" fontId="51" fillId="0" borderId="0" xfId="9" applyFont="1" applyFill="1" applyBorder="1" applyAlignment="1">
      <alignment horizontal="center" wrapText="1"/>
    </xf>
    <xf numFmtId="0" fontId="35" fillId="0" borderId="40" xfId="9" applyFont="1" applyFill="1" applyBorder="1" applyAlignment="1">
      <alignment horizontal="left"/>
    </xf>
    <xf numFmtId="0" fontId="35" fillId="0" borderId="41" xfId="9" applyFont="1" applyFill="1" applyBorder="1" applyAlignment="1">
      <alignment horizontal="left"/>
    </xf>
    <xf numFmtId="0" fontId="8" fillId="0" borderId="43" xfId="9" applyFont="1" applyFill="1" applyBorder="1" applyAlignment="1">
      <alignment horizontal="left" wrapText="1"/>
    </xf>
    <xf numFmtId="2" fontId="8" fillId="0" borderId="40" xfId="9" applyNumberFormat="1" applyFont="1" applyBorder="1"/>
    <xf numFmtId="2" fontId="8" fillId="0" borderId="40" xfId="9" applyNumberFormat="1" applyFont="1" applyFill="1" applyBorder="1"/>
    <xf numFmtId="2" fontId="8" fillId="0" borderId="49" xfId="9" applyNumberFormat="1" applyFont="1" applyBorder="1"/>
    <xf numFmtId="0" fontId="35" fillId="0" borderId="0" xfId="9" applyFont="1" applyFill="1" applyBorder="1" applyAlignment="1">
      <alignment horizontal="left"/>
    </xf>
    <xf numFmtId="2" fontId="8" fillId="0" borderId="0" xfId="9" applyNumberFormat="1" applyFont="1" applyFill="1" applyBorder="1"/>
    <xf numFmtId="0" fontId="35" fillId="0" borderId="50" xfId="9" applyFont="1" applyFill="1" applyBorder="1" applyAlignment="1">
      <alignment horizontal="left" wrapText="1"/>
    </xf>
    <xf numFmtId="0" fontId="35" fillId="0" borderId="51" xfId="9" applyFont="1" applyFill="1" applyBorder="1" applyAlignment="1">
      <alignment horizontal="left" wrapText="1"/>
    </xf>
    <xf numFmtId="0" fontId="35" fillId="0" borderId="52" xfId="9" applyFont="1" applyFill="1" applyBorder="1" applyAlignment="1">
      <alignment horizontal="left" wrapText="1"/>
    </xf>
    <xf numFmtId="2" fontId="8" fillId="24" borderId="10" xfId="9" applyNumberFormat="1" applyFont="1" applyFill="1" applyBorder="1" applyAlignment="1">
      <alignment horizontal="right"/>
    </xf>
    <xf numFmtId="0" fontId="8" fillId="0" borderId="0" xfId="9" applyFont="1" applyFill="1" applyBorder="1" applyAlignment="1">
      <alignment horizontal="left" wrapText="1"/>
    </xf>
    <xf numFmtId="0" fontId="8" fillId="0" borderId="40" xfId="9" applyFont="1" applyFill="1" applyBorder="1" applyAlignment="1">
      <alignment horizontal="center" wrapText="1"/>
    </xf>
    <xf numFmtId="0" fontId="8" fillId="0" borderId="41" xfId="9" quotePrefix="1" applyFont="1" applyFill="1" applyBorder="1" applyAlignment="1">
      <alignment horizontal="center" wrapText="1"/>
    </xf>
    <xf numFmtId="0" fontId="8" fillId="0" borderId="42" xfId="9" applyFont="1" applyFill="1" applyBorder="1" applyAlignment="1">
      <alignment horizontal="left" wrapText="1"/>
    </xf>
    <xf numFmtId="165" fontId="9" fillId="0" borderId="10" xfId="3" applyFont="1" applyBorder="1"/>
    <xf numFmtId="43" fontId="8" fillId="0" borderId="0" xfId="9" applyNumberFormat="1" applyFont="1"/>
    <xf numFmtId="0" fontId="8" fillId="0" borderId="53" xfId="9" applyFont="1" applyFill="1" applyBorder="1" applyAlignment="1">
      <alignment horizontal="center" wrapText="1"/>
    </xf>
    <xf numFmtId="0" fontId="8" fillId="0" borderId="10" xfId="9" applyFont="1" applyFill="1" applyBorder="1" applyAlignment="1">
      <alignment horizontal="center" wrapText="1"/>
    </xf>
    <xf numFmtId="0" fontId="8" fillId="0" borderId="13" xfId="9" applyFont="1" applyFill="1" applyBorder="1" applyAlignment="1">
      <alignment horizontal="left" wrapText="1"/>
    </xf>
    <xf numFmtId="43" fontId="8" fillId="0" borderId="10" xfId="9" applyNumberFormat="1" applyFont="1" applyFill="1" applyBorder="1"/>
    <xf numFmtId="43" fontId="8" fillId="0" borderId="10" xfId="9" applyNumberFormat="1" applyFont="1" applyBorder="1"/>
    <xf numFmtId="0" fontId="8" fillId="0" borderId="0" xfId="9" applyFont="1" applyFill="1" applyBorder="1" applyAlignment="1">
      <alignment horizontal="center" wrapText="1"/>
    </xf>
    <xf numFmtId="0" fontId="35" fillId="0" borderId="0" xfId="9" applyFont="1" applyFill="1" applyBorder="1" applyAlignment="1">
      <alignment horizontal="left" wrapText="1"/>
    </xf>
    <xf numFmtId="0" fontId="8" fillId="0" borderId="54" xfId="9" applyFont="1" applyFill="1" applyBorder="1" applyAlignment="1">
      <alignment horizontal="center" wrapText="1"/>
    </xf>
    <xf numFmtId="0" fontId="8" fillId="0" borderId="55" xfId="9" applyFont="1" applyFill="1" applyBorder="1" applyAlignment="1">
      <alignment horizontal="center" wrapText="1"/>
    </xf>
    <xf numFmtId="0" fontId="8" fillId="0" borderId="56" xfId="9" applyFont="1" applyFill="1" applyBorder="1" applyAlignment="1">
      <alignment horizontal="left" wrapText="1"/>
    </xf>
    <xf numFmtId="0" fontId="8" fillId="0" borderId="2" xfId="9" applyFont="1" applyBorder="1" applyAlignment="1">
      <alignment horizontal="center"/>
    </xf>
    <xf numFmtId="0" fontId="43" fillId="0" borderId="37" xfId="9" applyFont="1" applyBorder="1" applyAlignment="1">
      <alignment horizontal="left"/>
    </xf>
    <xf numFmtId="0" fontId="43" fillId="0" borderId="38" xfId="9" applyFont="1" applyBorder="1" applyAlignment="1">
      <alignment horizontal="left"/>
    </xf>
    <xf numFmtId="0" fontId="43" fillId="0" borderId="39" xfId="9" applyFont="1" applyBorder="1" applyAlignment="1">
      <alignment horizontal="left"/>
    </xf>
    <xf numFmtId="0" fontId="43" fillId="0" borderId="0" xfId="9" applyFont="1" applyBorder="1" applyAlignment="1">
      <alignment horizontal="left"/>
    </xf>
    <xf numFmtId="0" fontId="8" fillId="0" borderId="0" xfId="9" applyFont="1" applyBorder="1" applyAlignment="1">
      <alignment horizontal="center"/>
    </xf>
    <xf numFmtId="0" fontId="8" fillId="0" borderId="4" xfId="9" applyFont="1" applyBorder="1"/>
    <xf numFmtId="0" fontId="8" fillId="0" borderId="10" xfId="9" applyFont="1" applyBorder="1"/>
    <xf numFmtId="0" fontId="8" fillId="0" borderId="57" xfId="9" applyFont="1" applyBorder="1"/>
    <xf numFmtId="0" fontId="8" fillId="2" borderId="17" xfId="9" applyFont="1" applyFill="1" applyBorder="1"/>
    <xf numFmtId="0" fontId="8" fillId="2" borderId="18" xfId="9" applyFont="1" applyFill="1" applyBorder="1" applyAlignment="1">
      <alignment horizontal="center"/>
    </xf>
    <xf numFmtId="0" fontId="8" fillId="2" borderId="19" xfId="9" applyFont="1" applyFill="1" applyBorder="1" applyAlignment="1">
      <alignment horizontal="center"/>
    </xf>
    <xf numFmtId="0" fontId="8" fillId="0" borderId="10" xfId="9" applyFont="1" applyBorder="1" applyAlignment="1">
      <alignment horizontal="center"/>
    </xf>
    <xf numFmtId="9" fontId="8" fillId="0" borderId="10" xfId="1" applyFont="1" applyBorder="1" applyAlignment="1">
      <alignment horizontal="center"/>
    </xf>
    <xf numFmtId="9" fontId="8" fillId="0" borderId="57" xfId="1" applyFont="1" applyBorder="1" applyAlignment="1">
      <alignment horizontal="center"/>
    </xf>
    <xf numFmtId="0" fontId="8" fillId="2" borderId="14" xfId="9" applyFont="1" applyFill="1" applyBorder="1" applyAlignment="1">
      <alignment horizontal="left"/>
    </xf>
    <xf numFmtId="0" fontId="8" fillId="2" borderId="0" xfId="9" applyFont="1" applyFill="1" applyBorder="1" applyAlignment="1">
      <alignment horizontal="center"/>
    </xf>
    <xf numFmtId="0" fontId="8" fillId="2" borderId="23" xfId="9" applyFont="1" applyFill="1" applyBorder="1" applyAlignment="1">
      <alignment horizontal="center"/>
    </xf>
    <xf numFmtId="0" fontId="8" fillId="2" borderId="20" xfId="9" applyFont="1" applyFill="1" applyBorder="1" applyAlignment="1">
      <alignment horizontal="left"/>
    </xf>
    <xf numFmtId="0" fontId="8" fillId="2" borderId="21" xfId="9" applyFont="1" applyFill="1" applyBorder="1" applyAlignment="1">
      <alignment horizontal="center"/>
    </xf>
    <xf numFmtId="0" fontId="8" fillId="2" borderId="22" xfId="9" applyFont="1" applyFill="1" applyBorder="1" applyAlignment="1">
      <alignment horizontal="center"/>
    </xf>
    <xf numFmtId="0" fontId="8" fillId="0" borderId="6" xfId="9" applyFont="1" applyBorder="1"/>
    <xf numFmtId="0" fontId="8" fillId="0" borderId="55" xfId="9" applyFont="1" applyBorder="1"/>
    <xf numFmtId="0" fontId="8" fillId="0" borderId="55" xfId="9" applyFont="1" applyBorder="1" applyAlignment="1">
      <alignment horizontal="center"/>
    </xf>
    <xf numFmtId="9" fontId="8" fillId="0" borderId="55" xfId="1" applyFont="1" applyBorder="1" applyAlignment="1">
      <alignment horizontal="center"/>
    </xf>
    <xf numFmtId="9" fontId="8" fillId="0" borderId="58" xfId="1" applyFont="1" applyBorder="1" applyAlignment="1">
      <alignment horizontal="center"/>
    </xf>
    <xf numFmtId="0" fontId="36" fillId="0" borderId="0" xfId="9" applyFont="1" applyFill="1" applyBorder="1"/>
    <xf numFmtId="0" fontId="36" fillId="0" borderId="0" xfId="9" applyFont="1"/>
    <xf numFmtId="0" fontId="8" fillId="0" borderId="53" xfId="9" applyFont="1" applyBorder="1" applyAlignment="1">
      <alignment horizontal="center" vertical="top"/>
    </xf>
    <xf numFmtId="0" fontId="8" fillId="0" borderId="10" xfId="9" applyFont="1" applyBorder="1" applyAlignment="1">
      <alignment vertical="top"/>
    </xf>
    <xf numFmtId="0" fontId="8" fillId="0" borderId="10" xfId="9" applyFont="1" applyBorder="1" applyAlignment="1"/>
    <xf numFmtId="172" fontId="56" fillId="0" borderId="10" xfId="9" applyNumberFormat="1" applyFont="1" applyBorder="1" applyAlignment="1" applyProtection="1">
      <alignment vertical="top"/>
    </xf>
    <xf numFmtId="9" fontId="8" fillId="0" borderId="10" xfId="9" applyNumberFormat="1" applyFont="1" applyFill="1" applyBorder="1" applyAlignment="1">
      <alignment vertical="top"/>
    </xf>
    <xf numFmtId="172" fontId="56" fillId="0" borderId="10" xfId="9" applyNumberFormat="1" applyFont="1" applyBorder="1" applyAlignment="1" applyProtection="1">
      <alignment horizontal="left" vertical="top" wrapText="1"/>
    </xf>
    <xf numFmtId="0" fontId="8" fillId="0" borderId="10" xfId="9" applyFont="1" applyBorder="1" applyAlignment="1">
      <alignment horizontal="left" vertical="top" wrapText="1"/>
    </xf>
    <xf numFmtId="0" fontId="8" fillId="0" borderId="57" xfId="9" applyFont="1" applyBorder="1" applyAlignment="1">
      <alignment horizontal="left" vertical="top" wrapText="1"/>
    </xf>
    <xf numFmtId="0" fontId="8" fillId="0" borderId="59" xfId="9" applyFont="1" applyBorder="1" applyAlignment="1">
      <alignment horizontal="center" vertical="top"/>
    </xf>
    <xf numFmtId="0" fontId="8" fillId="0" borderId="17" xfId="9" applyFont="1" applyBorder="1" applyAlignment="1">
      <alignment vertical="top"/>
    </xf>
    <xf numFmtId="0" fontId="8" fillId="0" borderId="18" xfId="9" applyFont="1" applyBorder="1" applyAlignment="1">
      <alignment vertical="top"/>
    </xf>
    <xf numFmtId="0" fontId="8" fillId="0" borderId="19" xfId="9" applyFont="1" applyBorder="1" applyAlignment="1">
      <alignment vertical="top"/>
    </xf>
    <xf numFmtId="172" fontId="56" fillId="0" borderId="13" xfId="9" applyNumberFormat="1" applyFont="1" applyFill="1" applyBorder="1" applyAlignment="1" applyProtection="1">
      <alignment vertical="top"/>
    </xf>
    <xf numFmtId="2" fontId="8" fillId="0" borderId="10" xfId="9" applyNumberFormat="1" applyFont="1" applyFill="1" applyBorder="1" applyAlignment="1">
      <alignment vertical="top"/>
    </xf>
    <xf numFmtId="172" fontId="56" fillId="0" borderId="17" xfId="9" applyNumberFormat="1" applyFont="1" applyBorder="1" applyAlignment="1" applyProtection="1">
      <alignment horizontal="left" vertical="top" wrapText="1"/>
    </xf>
    <xf numFmtId="172" fontId="56" fillId="0" borderId="18" xfId="9" applyNumberFormat="1" applyFont="1" applyBorder="1" applyAlignment="1" applyProtection="1">
      <alignment horizontal="left" vertical="top" wrapText="1"/>
    </xf>
    <xf numFmtId="172" fontId="56" fillId="0" borderId="60" xfId="9" applyNumberFormat="1" applyFont="1" applyBorder="1" applyAlignment="1" applyProtection="1">
      <alignment horizontal="left" vertical="top" wrapText="1"/>
    </xf>
    <xf numFmtId="0" fontId="8" fillId="0" borderId="0" xfId="9" quotePrefix="1" applyFont="1"/>
    <xf numFmtId="0" fontId="8" fillId="0" borderId="61" xfId="9" applyFont="1" applyBorder="1" applyAlignment="1">
      <alignment horizontal="center" vertical="top"/>
    </xf>
    <xf numFmtId="0" fontId="8" fillId="0" borderId="20" xfId="9" applyFont="1" applyBorder="1" applyAlignment="1">
      <alignment vertical="top"/>
    </xf>
    <xf numFmtId="0" fontId="8" fillId="0" borderId="21" xfId="9" applyFont="1" applyBorder="1" applyAlignment="1">
      <alignment vertical="top"/>
    </xf>
    <xf numFmtId="0" fontId="8" fillId="0" borderId="22" xfId="9" applyFont="1" applyBorder="1" applyAlignment="1">
      <alignment vertical="top"/>
    </xf>
    <xf numFmtId="172" fontId="56" fillId="0" borderId="20" xfId="9" applyNumberFormat="1" applyFont="1" applyBorder="1" applyAlignment="1" applyProtection="1">
      <alignment horizontal="left" vertical="top" wrapText="1"/>
    </xf>
    <xf numFmtId="172" fontId="56" fillId="0" borderId="21" xfId="9" applyNumberFormat="1" applyFont="1" applyBorder="1" applyAlignment="1" applyProtection="1">
      <alignment horizontal="left" vertical="top" wrapText="1"/>
    </xf>
    <xf numFmtId="172" fontId="56" fillId="0" borderId="62" xfId="9" applyNumberFormat="1" applyFont="1" applyBorder="1" applyAlignment="1" applyProtection="1">
      <alignment horizontal="left" vertical="top" wrapText="1"/>
    </xf>
    <xf numFmtId="172" fontId="56" fillId="0" borderId="13" xfId="9" applyNumberFormat="1" applyFont="1" applyBorder="1" applyAlignment="1" applyProtection="1">
      <alignment vertical="top"/>
    </xf>
    <xf numFmtId="2" fontId="8" fillId="0" borderId="10" xfId="9" applyNumberFormat="1" applyFont="1" applyFill="1" applyBorder="1"/>
    <xf numFmtId="2" fontId="8" fillId="0" borderId="10" xfId="9" applyNumberFormat="1" applyFont="1" applyBorder="1"/>
    <xf numFmtId="0" fontId="8" fillId="0" borderId="54" xfId="9" applyFont="1" applyBorder="1" applyAlignment="1">
      <alignment horizontal="center" vertical="top"/>
    </xf>
    <xf numFmtId="0" fontId="8" fillId="0" borderId="55" xfId="9" applyFont="1" applyBorder="1" applyAlignment="1">
      <alignment vertical="top"/>
    </xf>
    <xf numFmtId="0" fontId="8" fillId="0" borderId="55" xfId="9" applyFont="1" applyBorder="1" applyAlignment="1"/>
    <xf numFmtId="172" fontId="56" fillId="0" borderId="56" xfId="9" applyNumberFormat="1" applyFont="1" applyBorder="1" applyAlignment="1" applyProtection="1">
      <alignment vertical="top"/>
    </xf>
    <xf numFmtId="2" fontId="8" fillId="0" borderId="55" xfId="9" applyNumberFormat="1" applyFont="1" applyBorder="1" applyAlignment="1">
      <alignment vertical="top"/>
    </xf>
    <xf numFmtId="172" fontId="56" fillId="0" borderId="55" xfId="9" applyNumberFormat="1" applyFont="1" applyBorder="1" applyAlignment="1" applyProtection="1">
      <alignment horizontal="left" vertical="top" wrapText="1"/>
    </xf>
    <xf numFmtId="0" fontId="8" fillId="0" borderId="55" xfId="9" applyFont="1" applyBorder="1" applyAlignment="1">
      <alignment horizontal="left" vertical="top" wrapText="1"/>
    </xf>
    <xf numFmtId="0" fontId="8" fillId="0" borderId="58" xfId="9" applyFont="1" applyBorder="1" applyAlignment="1">
      <alignment horizontal="left" vertical="top" wrapText="1"/>
    </xf>
    <xf numFmtId="0" fontId="8" fillId="0" borderId="0" xfId="9" applyFont="1" applyBorder="1" applyAlignment="1">
      <alignment horizontal="center" vertical="top"/>
    </xf>
    <xf numFmtId="172" fontId="56" fillId="0" borderId="10" xfId="9" applyNumberFormat="1" applyFont="1" applyBorder="1" applyAlignment="1" applyProtection="1">
      <alignment vertical="top" wrapText="1"/>
    </xf>
    <xf numFmtId="0" fontId="8" fillId="0" borderId="10" xfId="9" applyFont="1" applyBorder="1" applyAlignment="1">
      <alignment vertical="top" wrapText="1"/>
    </xf>
    <xf numFmtId="0" fontId="8" fillId="0" borderId="57" xfId="9" applyFont="1" applyBorder="1" applyAlignment="1">
      <alignment vertical="top" wrapText="1"/>
    </xf>
    <xf numFmtId="0" fontId="8" fillId="0" borderId="47" xfId="9" applyFont="1" applyBorder="1" applyAlignment="1">
      <alignment horizontal="center" vertical="top"/>
    </xf>
    <xf numFmtId="0" fontId="8" fillId="0" borderId="14" xfId="9" applyFont="1" applyBorder="1" applyAlignment="1">
      <alignment vertical="top"/>
    </xf>
    <xf numFmtId="0" fontId="8" fillId="0" borderId="0" xfId="9" applyFont="1" applyBorder="1" applyAlignment="1">
      <alignment vertical="top"/>
    </xf>
    <xf numFmtId="0" fontId="8" fillId="0" borderId="23" xfId="9" applyFont="1" applyBorder="1" applyAlignment="1">
      <alignment vertical="top"/>
    </xf>
    <xf numFmtId="172" fontId="56" fillId="0" borderId="16" xfId="9" applyNumberFormat="1" applyFont="1" applyFill="1" applyBorder="1" applyAlignment="1" applyProtection="1">
      <alignment vertical="top"/>
    </xf>
    <xf numFmtId="2" fontId="8" fillId="0" borderId="16" xfId="9" applyNumberFormat="1" applyFont="1" applyFill="1" applyBorder="1" applyAlignment="1">
      <alignment vertical="top"/>
    </xf>
    <xf numFmtId="9" fontId="8" fillId="0" borderId="0" xfId="9" applyNumberFormat="1" applyFont="1"/>
    <xf numFmtId="172" fontId="56" fillId="0" borderId="15" xfId="9" applyNumberFormat="1" applyFont="1" applyFill="1" applyBorder="1" applyAlignment="1" applyProtection="1">
      <alignment vertical="top"/>
    </xf>
    <xf numFmtId="2" fontId="8" fillId="0" borderId="15" xfId="9" applyNumberFormat="1" applyFont="1" applyFill="1" applyBorder="1" applyAlignment="1">
      <alignment vertical="top"/>
    </xf>
    <xf numFmtId="2" fontId="8" fillId="0" borderId="10" xfId="9" applyNumberFormat="1" applyFont="1" applyBorder="1" applyAlignment="1">
      <alignment vertical="top"/>
    </xf>
    <xf numFmtId="0" fontId="8" fillId="0" borderId="47" xfId="9" applyFont="1" applyBorder="1" applyAlignment="1">
      <alignment horizontal="center" vertical="top"/>
    </xf>
    <xf numFmtId="0" fontId="8" fillId="0" borderId="13" xfId="9" applyFont="1" applyBorder="1" applyAlignment="1">
      <alignment horizontal="left" vertical="top"/>
    </xf>
    <xf numFmtId="0" fontId="8" fillId="0" borderId="36" xfId="9" applyFont="1" applyBorder="1" applyAlignment="1">
      <alignment horizontal="left" vertical="top"/>
    </xf>
    <xf numFmtId="0" fontId="8" fillId="0" borderId="12" xfId="9" applyFont="1" applyBorder="1" applyAlignment="1">
      <alignment horizontal="left" vertical="top"/>
    </xf>
    <xf numFmtId="172" fontId="56" fillId="0" borderId="17" xfId="9" applyNumberFormat="1" applyFont="1" applyFill="1" applyBorder="1" applyAlignment="1" applyProtection="1">
      <alignment vertical="top"/>
    </xf>
    <xf numFmtId="2" fontId="8" fillId="0" borderId="16" xfId="9" applyNumberFormat="1" applyFont="1" applyBorder="1" applyAlignment="1">
      <alignment vertical="top"/>
    </xf>
    <xf numFmtId="172" fontId="56" fillId="0" borderId="13" xfId="9" applyNumberFormat="1" applyFont="1" applyBorder="1" applyAlignment="1" applyProtection="1">
      <alignment horizontal="left" vertical="top" wrapText="1"/>
    </xf>
    <xf numFmtId="172" fontId="56" fillId="0" borderId="36" xfId="9" applyNumberFormat="1" applyFont="1" applyBorder="1" applyAlignment="1" applyProtection="1">
      <alignment horizontal="left" vertical="top" wrapText="1"/>
    </xf>
    <xf numFmtId="172" fontId="56" fillId="0" borderId="63" xfId="9" applyNumberFormat="1" applyFont="1" applyBorder="1" applyAlignment="1" applyProtection="1">
      <alignment horizontal="left" vertical="top" wrapText="1"/>
    </xf>
    <xf numFmtId="9" fontId="8" fillId="0" borderId="55" xfId="9" applyNumberFormat="1" applyFont="1" applyBorder="1" applyAlignment="1">
      <alignment vertical="top"/>
    </xf>
    <xf numFmtId="0" fontId="43" fillId="0" borderId="1" xfId="9" applyFont="1" applyBorder="1" applyAlignment="1">
      <alignment horizontal="left"/>
    </xf>
    <xf numFmtId="0" fontId="43" fillId="0" borderId="2" xfId="9" applyFont="1" applyBorder="1" applyAlignment="1">
      <alignment horizontal="left"/>
    </xf>
    <xf numFmtId="0" fontId="43" fillId="0" borderId="3" xfId="9" applyFont="1" applyBorder="1" applyAlignment="1">
      <alignment horizontal="left"/>
    </xf>
    <xf numFmtId="0" fontId="8" fillId="0" borderId="64" xfId="9" applyFont="1" applyBorder="1" applyAlignment="1">
      <alignment horizontal="center" vertical="top"/>
    </xf>
    <xf numFmtId="0" fontId="56" fillId="25" borderId="13" xfId="9" applyFont="1" applyFill="1" applyBorder="1" applyAlignment="1" applyProtection="1">
      <alignment vertical="top"/>
    </xf>
    <xf numFmtId="0" fontId="8" fillId="0" borderId="36" xfId="9" applyFont="1" applyBorder="1" applyAlignment="1">
      <alignment vertical="top"/>
    </xf>
    <xf numFmtId="0" fontId="8" fillId="0" borderId="65" xfId="9" applyFont="1" applyBorder="1" applyAlignment="1">
      <alignment vertical="top"/>
    </xf>
    <xf numFmtId="0" fontId="56" fillId="25" borderId="66" xfId="9" applyFont="1" applyFill="1" applyBorder="1" applyAlignment="1" applyProtection="1">
      <alignment vertical="top"/>
    </xf>
    <xf numFmtId="0" fontId="56" fillId="25" borderId="66" xfId="9" applyFont="1" applyFill="1" applyBorder="1" applyAlignment="1" applyProtection="1">
      <alignment vertical="top" wrapText="1"/>
    </xf>
    <xf numFmtId="0" fontId="8" fillId="0" borderId="67" xfId="9" applyFont="1" applyBorder="1" applyAlignment="1">
      <alignment vertical="top"/>
    </xf>
    <xf numFmtId="0" fontId="8" fillId="0" borderId="68" xfId="9" applyFont="1" applyBorder="1" applyAlignment="1">
      <alignment vertical="top"/>
    </xf>
    <xf numFmtId="0" fontId="8" fillId="0" borderId="44" xfId="9" applyFont="1" applyBorder="1" applyAlignment="1">
      <alignment horizontal="center" vertical="top"/>
    </xf>
    <xf numFmtId="0" fontId="56" fillId="25" borderId="56" xfId="9" applyFont="1" applyFill="1" applyBorder="1" applyAlignment="1" applyProtection="1">
      <alignment vertical="top"/>
    </xf>
    <xf numFmtId="0" fontId="8" fillId="0" borderId="45" xfId="9" applyFont="1" applyBorder="1" applyAlignment="1">
      <alignment vertical="top"/>
    </xf>
    <xf numFmtId="0" fontId="8" fillId="0" borderId="69" xfId="9" applyFont="1" applyBorder="1" applyAlignment="1">
      <alignment vertical="top"/>
    </xf>
    <xf numFmtId="0" fontId="56" fillId="25" borderId="70" xfId="9" applyFont="1" applyFill="1" applyBorder="1" applyAlignment="1" applyProtection="1">
      <alignment vertical="top"/>
    </xf>
    <xf numFmtId="0" fontId="56" fillId="25" borderId="70" xfId="9" applyFont="1" applyFill="1" applyBorder="1" applyAlignment="1" applyProtection="1">
      <alignment vertical="top" wrapText="1"/>
    </xf>
    <xf numFmtId="0" fontId="8" fillId="0" borderId="46" xfId="9" applyFont="1" applyBorder="1" applyAlignment="1">
      <alignment vertical="top"/>
    </xf>
    <xf numFmtId="43" fontId="56" fillId="0" borderId="70" xfId="4" applyFont="1" applyFill="1" applyBorder="1" applyAlignment="1" applyProtection="1">
      <alignment vertical="top"/>
    </xf>
    <xf numFmtId="0" fontId="8" fillId="0" borderId="2" xfId="9" applyFont="1" applyBorder="1" applyAlignment="1">
      <alignment horizontal="center" vertical="top"/>
    </xf>
    <xf numFmtId="0" fontId="8" fillId="0" borderId="53" xfId="9" applyFont="1" applyBorder="1" applyAlignment="1">
      <alignment horizontal="center" vertical="top"/>
    </xf>
    <xf numFmtId="172" fontId="56" fillId="0" borderId="10" xfId="9" applyNumberFormat="1" applyFont="1" applyFill="1" applyBorder="1" applyAlignment="1" applyProtection="1">
      <alignment vertical="top"/>
    </xf>
    <xf numFmtId="172" fontId="56" fillId="0" borderId="57" xfId="9" applyNumberFormat="1" applyFont="1" applyBorder="1" applyAlignment="1" applyProtection="1">
      <alignment horizontal="left" vertical="top" wrapText="1"/>
    </xf>
    <xf numFmtId="172" fontId="56" fillId="0" borderId="10" xfId="9" applyNumberFormat="1" applyFont="1" applyBorder="1" applyProtection="1"/>
    <xf numFmtId="0" fontId="8" fillId="0" borderId="13" xfId="9" applyFont="1" applyBorder="1" applyAlignment="1">
      <alignment vertical="top"/>
    </xf>
    <xf numFmtId="0" fontId="8" fillId="0" borderId="12" xfId="9" applyFont="1" applyBorder="1" applyAlignment="1">
      <alignment vertical="top"/>
    </xf>
    <xf numFmtId="0" fontId="56" fillId="25" borderId="10" xfId="9" applyFont="1" applyFill="1" applyBorder="1" applyAlignment="1" applyProtection="1"/>
    <xf numFmtId="0" fontId="56" fillId="25" borderId="57" xfId="9" applyFont="1" applyFill="1" applyBorder="1" applyAlignment="1" applyProtection="1"/>
    <xf numFmtId="172" fontId="56" fillId="0" borderId="7" xfId="9" applyNumberFormat="1" applyFont="1" applyBorder="1" applyProtection="1"/>
    <xf numFmtId="2" fontId="8" fillId="0" borderId="7" xfId="9" applyNumberFormat="1" applyFont="1" applyBorder="1" applyAlignment="1">
      <alignment vertical="top"/>
    </xf>
    <xf numFmtId="0" fontId="56" fillId="25" borderId="45" xfId="9" applyFont="1" applyFill="1" applyBorder="1" applyAlignment="1" applyProtection="1">
      <alignment vertical="top" wrapText="1"/>
    </xf>
    <xf numFmtId="0" fontId="56" fillId="25" borderId="46" xfId="9" applyFont="1" applyFill="1" applyBorder="1" applyAlignment="1" applyProtection="1">
      <alignment vertical="top" wrapText="1"/>
    </xf>
    <xf numFmtId="0" fontId="8" fillId="0" borderId="0" xfId="9" applyFont="1" applyBorder="1" applyAlignment="1">
      <alignment vertical="top"/>
    </xf>
    <xf numFmtId="0" fontId="0" fillId="0" borderId="0" xfId="0" quotePrefix="1"/>
    <xf numFmtId="0" fontId="1" fillId="0" borderId="0" xfId="0" applyFont="1"/>
    <xf numFmtId="0" fontId="58" fillId="0" borderId="0" xfId="0" applyFont="1"/>
    <xf numFmtId="0" fontId="59" fillId="0" borderId="0" xfId="0" applyFont="1"/>
    <xf numFmtId="0" fontId="59" fillId="3" borderId="0" xfId="0" applyFont="1" applyFill="1"/>
  </cellXfs>
  <cellStyles count="10">
    <cellStyle name="Komma" xfId="4" builtinId="3"/>
    <cellStyle name="Komma 2" xfId="3" xr:uid="{5BA7A444-05C4-184E-A521-DAB097C58FF2}"/>
    <cellStyle name="Komma 3" xfId="8" xr:uid="{571F2977-6A12-A743-AFA9-880E1B8F0532}"/>
    <cellStyle name="Normal" xfId="0" builtinId="0"/>
    <cellStyle name="Normal 2" xfId="2" xr:uid="{5B0E9DA8-4B10-5440-8C2A-BDF7BC69D8EF}"/>
    <cellStyle name="Normal 2 2" xfId="9" xr:uid="{93EC2916-6686-7B45-8E65-7DDCA5D68B74}"/>
    <cellStyle name="Normal 3" xfId="5" xr:uid="{21DECDA4-A4F5-E241-8D33-792E6B58E9C4}"/>
    <cellStyle name="Normal 4" xfId="7" xr:uid="{E9836624-6403-7F40-B6D2-FCF35183480A}"/>
    <cellStyle name="Prosent" xfId="1" builtinId="5"/>
    <cellStyle name="Prosent 2" xfId="6" xr:uid="{ADA3C4A8-A29C-2249-B8E3-A5635F89C96A}"/>
  </cellStyles>
  <dxfs count="1">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edlegg%201%20Copy%20of%20Kilometerkalkyle-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eam.nortura.no/sites/Inntransport%20r&#248;dt%20kj&#248;tt/Dokumenter/L&#248;nnsregulering/&#197;rlig%20l&#248;nnsreguler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nortura.no/sites/Inntransport%20r&#248;dt%20kj&#248;tt/Inntransport%20R&#248;dt%20Kj&#248;tt/Diesel%20listepris/Listepris%20Statoi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ortal.nortura.no/fagomrade/medlem/Medlem%20aapen/Medlemsdrift%20Rudsh&#248;gda/Inntransport/Avtaler/Prisliste%20Rudsh&#248;gda%2001.07.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psummering"/>
      <sheetName val="Grunnlag alle kalkyler"/>
      <sheetName val="Kalkyle bil 1"/>
      <sheetName val="Kalkyle bil 2"/>
      <sheetName val="Kalkyle bil 3"/>
      <sheetName val="Kalkyle henger 1"/>
      <sheetName val="Kalkyle henger 2"/>
      <sheetName val="Kalkyle henger 3"/>
      <sheetName val="Gj.sn.hastighet"/>
      <sheetName val="Forklaringer"/>
      <sheetName val="Historikk"/>
    </sheetNames>
    <sheetDataSet>
      <sheetData sheetId="0">
        <row r="2">
          <cell r="B2" t="str">
            <v>Sigve Krageboen</v>
          </cell>
        </row>
        <row r="3">
          <cell r="A3" t="str">
            <v>Fra dato:</v>
          </cell>
          <cell r="B3">
            <v>43101</v>
          </cell>
        </row>
        <row r="11">
          <cell r="H11">
            <v>23.018320101572257</v>
          </cell>
        </row>
      </sheetData>
      <sheetData sheetId="1">
        <row r="8">
          <cell r="C8">
            <v>4.5999999999999999E-2</v>
          </cell>
        </row>
        <row r="15">
          <cell r="C15">
            <v>10.86</v>
          </cell>
        </row>
        <row r="18">
          <cell r="C18">
            <v>4500</v>
          </cell>
        </row>
        <row r="22">
          <cell r="C22">
            <v>289</v>
          </cell>
        </row>
        <row r="29">
          <cell r="C29">
            <v>226.46679999999998</v>
          </cell>
        </row>
        <row r="32">
          <cell r="C32">
            <v>43.33</v>
          </cell>
        </row>
        <row r="43">
          <cell r="C43">
            <v>60000</v>
          </cell>
          <cell r="E43">
            <v>1</v>
          </cell>
        </row>
        <row r="44">
          <cell r="C44">
            <v>95000</v>
          </cell>
        </row>
        <row r="45">
          <cell r="C45">
            <v>40000</v>
          </cell>
        </row>
        <row r="48">
          <cell r="C48">
            <v>35000</v>
          </cell>
        </row>
        <row r="49">
          <cell r="C49">
            <v>0</v>
          </cell>
        </row>
        <row r="50">
          <cell r="C50">
            <v>0</v>
          </cell>
        </row>
        <row r="54">
          <cell r="C54">
            <v>3.4000000000000002E-2</v>
          </cell>
        </row>
        <row r="55">
          <cell r="C55">
            <v>0.03</v>
          </cell>
        </row>
        <row r="56">
          <cell r="C56">
            <v>0.12</v>
          </cell>
        </row>
        <row r="59">
          <cell r="C59">
            <v>0.04</v>
          </cell>
        </row>
        <row r="60">
          <cell r="C60">
            <v>0.04</v>
          </cell>
        </row>
        <row r="68">
          <cell r="C68">
            <v>0.21299999999999997</v>
          </cell>
        </row>
      </sheetData>
      <sheetData sheetId="2">
        <row r="140">
          <cell r="C140">
            <v>1384.721901684745</v>
          </cell>
        </row>
        <row r="149">
          <cell r="C149">
            <v>0.88856851937304249</v>
          </cell>
        </row>
        <row r="150">
          <cell r="C150">
            <v>0.88856851937304249</v>
          </cell>
        </row>
        <row r="152">
          <cell r="C152">
            <v>23.991350023072144</v>
          </cell>
        </row>
      </sheetData>
      <sheetData sheetId="3">
        <row r="140">
          <cell r="C140">
            <v>2192.4763443341794</v>
          </cell>
        </row>
        <row r="149">
          <cell r="C149">
            <v>0.70523937451088725</v>
          </cell>
        </row>
        <row r="150">
          <cell r="C150">
            <v>0.70523937451088725</v>
          </cell>
        </row>
        <row r="152">
          <cell r="C152">
            <v>19.041463111793959</v>
          </cell>
        </row>
      </sheetData>
      <sheetData sheetId="4">
        <row r="140">
          <cell r="C140">
            <v>923.14793445649673</v>
          </cell>
        </row>
        <row r="149">
          <cell r="C149">
            <v>0.93146094703873716</v>
          </cell>
        </row>
        <row r="150">
          <cell r="C150">
            <v>0.93146094703873716</v>
          </cell>
        </row>
        <row r="152">
          <cell r="C152">
            <v>25.149445570045902</v>
          </cell>
        </row>
      </sheetData>
      <sheetData sheetId="5">
        <row r="88">
          <cell r="C88">
            <v>0.24780380952380954</v>
          </cell>
        </row>
        <row r="89">
          <cell r="C89">
            <v>0.24780380952380954</v>
          </cell>
        </row>
        <row r="91">
          <cell r="C91">
            <v>6.6907028571428562</v>
          </cell>
        </row>
      </sheetData>
      <sheetData sheetId="6">
        <row r="88">
          <cell r="C88">
            <v>0</v>
          </cell>
        </row>
        <row r="89">
          <cell r="C89">
            <v>0</v>
          </cell>
        </row>
        <row r="91">
          <cell r="C91">
            <v>0</v>
          </cell>
        </row>
      </sheetData>
      <sheetData sheetId="7">
        <row r="88">
          <cell r="C88">
            <v>0</v>
          </cell>
        </row>
        <row r="89">
          <cell r="C89">
            <v>0</v>
          </cell>
        </row>
        <row r="91">
          <cell r="C91">
            <v>0</v>
          </cell>
        </row>
      </sheetData>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195.23</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B3">
            <v>14.7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sliste 2015"/>
      <sheetName val="Prisliste 2014 innkl faktorer"/>
    </sheetNames>
    <sheetDataSet>
      <sheetData sheetId="0"/>
      <sheetData sheetId="1">
        <row r="34">
          <cell r="G34">
            <v>200</v>
          </cell>
          <cell r="W34">
            <v>0</v>
          </cell>
        </row>
      </sheetData>
    </sheetDataSet>
  </externalBook>
</externalLink>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orfatter" refreshedDate="43500.360029976851" backgroundQuery="1" createdVersion="3" refreshedVersion="6" minRefreshableVersion="3" recordCount="0" supportSubquery="1" supportAdvancedDrill="1" xr:uid="{436D421A-7C09-4D49-AC1B-D51A61AF189C}">
  <cacheSource type="external" connectionId="2"/>
  <cacheFields count="25">
    <cacheField name="[Vare].[Avregningstype hierarki].[Avregningstype]" caption="Avregningstype" numFmtId="0" hierarchy="206" level="1">
      <sharedItems count="1">
        <s v="[Vare].[Avregningstype hierarki].[Avregningstype].&amp;[1. Slakt, ull og egg]" c="1. Slakt, ull og egg"/>
      </sharedItems>
    </cacheField>
    <cacheField name="[Vare].[Avregningstype hierarki].[Avregningsundertype]" caption="Avregningsundertype" numFmtId="0" hierarchy="206" level="2">
      <sharedItems count="9">
        <s v="[Vare].[Avregningstype hierarki].[Avregningsundertype].&amp;[1. Slakt, ull og egg]&amp;[Annet]" c="Annet"/>
        <s v="[Vare].[Avregningstype hierarki].[Avregningsundertype].&amp;[1. Slakt, ull og egg]&amp;[Egg]" c="Egg"/>
        <s v="[Vare].[Avregningstype hierarki].[Avregningsundertype].&amp;[1. Slakt, ull og egg]&amp;[Gris]" c="Gris"/>
        <s v="[Vare].[Avregningstype hierarki].[Avregningsundertype].&amp;[1. Slakt, ull og egg]&amp;[Høns]" c="Høns"/>
        <s v="[Vare].[Avregningstype hierarki].[Avregningsundertype].&amp;[1. Slakt, ull og egg]&amp;[Kalkun]" c="Kalkun"/>
        <s v="[Vare].[Avregningstype hierarki].[Avregningsundertype].&amp;[1. Slakt, ull og egg]&amp;[Kylling]" c="Kylling"/>
        <s v="[Vare].[Avregningstype hierarki].[Avregningsundertype].&amp;[1. Slakt, ull og egg]&amp;[Småfe]" c="Småfe"/>
        <s v="[Vare].[Avregningstype hierarki].[Avregningsundertype].&amp;[1. Slakt, ull og egg]&amp;[Storfe]" c="Storfe"/>
        <s v="[Vare].[Avregningstype hierarki].[Avregningsundertype].&amp;[1. Slakt, ull og egg]&amp;[Ull]" c="Ull"/>
      </sharedItems>
    </cacheField>
    <cacheField name="[Vare].[Avregningstype hierarki].[Vare]" caption="Vare" numFmtId="0" hierarchy="206" level="3">
      <sharedItems count="732">
        <s v="[Vare].[Avregningstype hierarki].[Vare].&amp;[188020 HEST P]" c="188020 HEST P"/>
        <s v="[Vare].[Avregningstype hierarki].[Vare].&amp;[188027 HEST NØDSLAKT P]" c="188027 HEST NØDSLAKT P"/>
        <s v="[Vare].[Avregningstype hierarki].[Vare].&amp;[188050 HEST O]" c="188050 HEST O"/>
        <s v="[Vare].[Avregningstype hierarki].[Vare].&amp;[188057 HEST NØDSLAKT O]" c="188057 HEST NØDSLAKT O"/>
        <s v="[Vare].[Avregningstype hierarki].[Vare].&amp;[188080 HEST R]" c="188080 HEST R"/>
        <s v="[Vare].[Avregningstype hierarki].[Vare].&amp;[188087 HEST NØDSLAKT R]" c="188087 HEST NØDSLAKT R"/>
        <s v="[Vare].[Avregningstype hierarki].[Vare].&amp;[188110 HEST U]" c="188110 HEST U"/>
        <s v="[Vare].[Avregningstype hierarki].[Vare].&amp;[188990 HEST KASSERT]" c="188990 HEST KASSERT"/>
        <s v="[Vare].[Avregningstype hierarki].[Vare].&amp;[188994 HEST KASSERT ERSTATTET]" c="188994 HEST KASSERT ERSTATTET"/>
        <s v="[Vare].[Avregningstype hierarki].[Vare].&amp;[190050 REIN O]" c="190050 REIN O"/>
        <s v="[Vare].[Avregningstype hierarki].[Vare].&amp;[190080 REIN R]" c="190080 REIN R"/>
        <s v="[Vare].[Avregningstype hierarki].[Vare].&amp;[190110 REIN U]" c="190110 REIN U"/>
        <s v="[Vare].[Avregningstype hierarki].[Vare].&amp;[190994 REIN KASSERT ERSTATTET]" c="190994 REIN KASSERT ERSTATTET"/>
        <s v="[Vare].[Avregningstype hierarki].[Vare].&amp;[191020 REINKALV P]" c="191020 REINKALV P"/>
        <s v="[Vare].[Avregningstype hierarki].[Vare].&amp;[191050 REINKALV O]" c="191050 REINKALV O"/>
        <s v="[Vare].[Avregningstype hierarki].[Vare].&amp;[191080 REINKALV R]" c="191080 REINKALV R"/>
        <s v="[Vare].[Avregningstype hierarki].[Vare].&amp;[191110 REINKALV U]" c="191110 REINKALV U"/>
        <s v="[Vare].[Avregningstype hierarki].[Vare].&amp;[191120 REINKALV U+]" c="191120 REINKALV U+"/>
        <s v="[Vare].[Avregningstype hierarki].[Vare].&amp;[191130 REINKALV E-]" c="191130 REINKALV E-"/>
        <s v="[Vare].[Avregningstype hierarki].[Vare].&amp;[191140 REINKALV E]" c="191140 REINKALV E"/>
        <s v="[Vare].[Avregningstype hierarki].[Vare].&amp;[132010 EGG MILJØINNREDNING XL]" c="132010 EGG MILJØINNREDNING XL"/>
        <s v="[Vare].[Avregningstype hierarki].[Vare].&amp;[132012 EGG FRITTGÅENDE XL]" c="132012 EGG FRITTGÅENDE XL"/>
        <s v="[Vare].[Avregningstype hierarki].[Vare].&amp;[132014 EGG FRITTGÅENDE SOLEGG XL]" c="132014 EGG FRITTGÅENDE SOLEGG XL"/>
        <s v="[Vare].[Avregningstype hierarki].[Vare].&amp;[132016 EGG ØKO XL]" c="132016 EGG ØKO XL"/>
        <s v="[Vare].[Avregningstype hierarki].[Vare].&amp;[132020 EGG MILJØINNREDNING L]" c="132020 EGG MILJØINNREDNING L"/>
        <s v="[Vare].[Avregningstype hierarki].[Vare].&amp;[132022 EGG FRITTGÅENDE L]" c="132022 EGG FRITTGÅENDE L"/>
        <s v="[Vare].[Avregningstype hierarki].[Vare].&amp;[132024 EGG FRITTGÅENDE SOLEGG L]" c="132024 EGG FRITTGÅENDE SOLEGG L"/>
        <s v="[Vare].[Avregningstype hierarki].[Vare].&amp;[132026 EGG ØKO L]" c="132026 EGG ØKO L"/>
        <s v="[Vare].[Avregningstype hierarki].[Vare].&amp;[132030 EGG MILJØINNREDNING M]" c="132030 EGG MILJØINNREDNING M"/>
        <s v="[Vare].[Avregningstype hierarki].[Vare].&amp;[132032 EGG FRITTGÅENDE M]" c="132032 EGG FRITTGÅENDE M"/>
        <s v="[Vare].[Avregningstype hierarki].[Vare].&amp;[132034 EGG FRITTGÅENDE SOLEGG M]" c="132034 EGG FRITTGÅENDE SOLEGG M"/>
        <s v="[Vare].[Avregningstype hierarki].[Vare].&amp;[132036 EGG ØKO M]" c="132036 EGG ØKO M"/>
        <s v="[Vare].[Avregningstype hierarki].[Vare].&amp;[132040 EGG MILJØINNREDNING S]" c="132040 EGG MILJØINNREDNING S"/>
        <s v="[Vare].[Avregningstype hierarki].[Vare].&amp;[132042 EGG FRITTGÅENDE S]" c="132042 EGG FRITTGÅENDE S"/>
        <s v="[Vare].[Avregningstype hierarki].[Vare].&amp;[132044 EGG FRITTGÅENDE SOLEGG S]" c="132044 EGG FRITTGÅENDE SOLEGG S"/>
        <s v="[Vare].[Avregningstype hierarki].[Vare].&amp;[132046 EGG ØKO S]" c="132046 EGG ØKO S"/>
        <s v="[Vare].[Avregningstype hierarki].[Vare].&amp;[132050 EGG MILJØINNREDNING SI]" c="132050 EGG MILJØINNREDNING SI"/>
        <s v="[Vare].[Avregningstype hierarki].[Vare].&amp;[132052 EGG FRITTGÅENDE SI]" c="132052 EGG FRITTGÅENDE SI"/>
        <s v="[Vare].[Avregningstype hierarki].[Vare].&amp;[132054 EGG FRITTGÅENDE SOLEGG SI]" c="132054 EGG FRITTGÅENDE SOLEGG SI"/>
        <s v="[Vare].[Avregningstype hierarki].[Vare].&amp;[132056 EGG ØKO SI]" c="132056 EGG ØKO SI"/>
        <s v="[Vare].[Avregningstype hierarki].[Vare].&amp;[132070 SKITNE EGG MILJØINNREDNING]" c="132070 SKITNE EGG MILJØINNREDNING"/>
        <s v="[Vare].[Avregningstype hierarki].[Vare].&amp;[132072 SKITNE EGG FRITTGÅENDE]" c="132072 SKITNE EGG FRITTGÅENDE"/>
        <s v="[Vare].[Avregningstype hierarki].[Vare].&amp;[132074 SKITNE FRITTGÅENDE SOLEGG]" c="132074 SKITNE FRITTGÅENDE SOLEGG"/>
        <s v="[Vare].[Avregningstype hierarki].[Vare].&amp;[132076 SKITNE EGG ØKO]" c="132076 SKITNE EGG ØKO"/>
        <s v="[Vare].[Avregningstype hierarki].[Vare].&amp;[132080 KLINK MILJØINNREDNING]" c="132080 KLINK MILJØINNREDNING"/>
        <s v="[Vare].[Avregningstype hierarki].[Vare].&amp;[132082 KLINK FRITTGÅENDE]" c="132082 KLINK FRITTGÅENDE"/>
        <s v="[Vare].[Avregningstype hierarki].[Vare].&amp;[132084 KLINK FRITTGÅENDE SOLEGG]" c="132084 KLINK FRITTGÅENDE SOLEGG"/>
        <s v="[Vare].[Avregningstype hierarki].[Vare].&amp;[132086 KLINK ØKO]" c="132086 KLINK ØKO"/>
        <s v="[Vare].[Avregningstype hierarki].[Vare].&amp;[132100 RUGEEGG SLAKTERASE]" c="132100 RUGEEGG SLAKTERASE"/>
        <s v="[Vare].[Avregningstype hierarki].[Vare].&amp;[170005 GRIS LITEN U/HL]" c="170005 GRIS LITEN U/HL"/>
        <s v="[Vare].[Avregningstype hierarki].[Vare].&amp;[170006 GRIS NOROC LITEN U/HL]" c="170006 GRIS NOROC LITEN U/HL"/>
        <s v="[Vare].[Avregningstype hierarki].[Vare].&amp;[170008 GRIS ØKOLOGISK LITEN U/HL]" c="170008 GRIS ØKOLOGISK LITEN U/HL"/>
        <s v="[Vare].[Avregningstype hierarki].[Vare].&amp;[170015 GRIS P- U/HL]" c="170015 GRIS P- U/HL"/>
        <s v="[Vare].[Avregningstype hierarki].[Vare].&amp;[170016 GRIS NOROC P- U/HL]" c="170016 GRIS NOROC P- U/HL"/>
        <s v="[Vare].[Avregningstype hierarki].[Vare].&amp;[170085 GRIS R U/HL]" c="170085 GRIS R U/HL"/>
        <s v="[Vare].[Avregningstype hierarki].[Vare].&amp;[170086 GRIS NOROC R U/HL]" c="170086 GRIS NOROC R U/HL"/>
        <s v="[Vare].[Avregningstype hierarki].[Vare].&amp;[170088 GRIS ØKOLOGISK R U/HL]" c="170088 GRIS ØKOLOGISK R U/HL"/>
        <s v="[Vare].[Avregningstype hierarki].[Vare].&amp;[170115 GRIS U U/HL]" c="170115 GRIS U U/HL"/>
        <s v="[Vare].[Avregningstype hierarki].[Vare].&amp;[170116 GRIS NOROC U U/HL]" c="170116 GRIS NOROC U U/HL"/>
        <s v="[Vare].[Avregningstype hierarki].[Vare].&amp;[170118 GRIS ØKOLOGISK U U/HL]" c="170118 GRIS ØKOLOGISK U U/HL"/>
        <s v="[Vare].[Avregningstype hierarki].[Vare].&amp;[170145 GRIS E U/HL]" c="170145 GRIS E U/HL"/>
        <s v="[Vare].[Avregningstype hierarki].[Vare].&amp;[170146 GRIS NOROC E U/HL]" c="170146 GRIS NOROC E U/HL"/>
        <s v="[Vare].[Avregningstype hierarki].[Vare].&amp;[170148 GRIS ØKOLOGISK E U/HL]" c="170148 GRIS ØKOLOGISK E U/HL"/>
        <s v="[Vare].[Avregningstype hierarki].[Vare].&amp;[170171 GRIS S UHL HAMPSHIRE]" c="170171 GRIS S UHL HAMPSHIRE"/>
        <s v="[Vare].[Avregningstype hierarki].[Vare].&amp;[170175 GRIS S U/HL]" c="170175 GRIS S U/HL"/>
        <s v="[Vare].[Avregningstype hierarki].[Vare].&amp;[170176 GRIS NOROC S U/HL]" c="170176 GRIS NOROC S U/HL"/>
        <s v="[Vare].[Avregningstype hierarki].[Vare].&amp;[170178 GRIS ØKOLOGISK S U/HL]" c="170178 GRIS ØKOLOGISK S U/HL"/>
        <s v="[Vare].[Avregningstype hierarki].[Vare].&amp;[170450 GRIS SMÅ/GRILL]" c="170450 GRIS SMÅ/GRILL"/>
        <s v="[Vare].[Avregningstype hierarki].[Vare].&amp;[170750 GRIS DØD FJØS]" c="170750 GRIS DØD FJØS"/>
        <s v="[Vare].[Avregningstype hierarki].[Vare].&amp;[170751 GRIS NØDAVLIVET FJØS]" c="170751 GRIS NØDAVLIVET FJØS"/>
        <s v="[Vare].[Avregningstype hierarki].[Vare].&amp;[170760 GRIS DØD TRANSPORT]" c="170760 GRIS DØD TRANSPORT"/>
        <s v="[Vare].[Avregningstype hierarki].[Vare].&amp;[170761 GRIS NØDAVLIVET TRANSPORT]" c="170761 GRIS NØDAVLIVET TRANSPORT"/>
        <s v="[Vare].[Avregningstype hierarki].[Vare].&amp;[170971 GRIS E ERSTATTET]" c="170971 GRIS E ERSTATTET"/>
        <s v="[Vare].[Avregningstype hierarki].[Vare].&amp;[170972 GRIS S ERSTATTET]" c="170972 GRIS S ERSTATTET"/>
        <s v="[Vare].[Avregningstype hierarki].[Vare].&amp;[170973 GRIS NOROC E ERSTATTET]" c="170973 GRIS NOROC E ERSTATTET"/>
        <s v="[Vare].[Avregningstype hierarki].[Vare].&amp;[170974 GRIS NOROC S ERSTATTET]" c="170974 GRIS NOROC S ERSTATTET"/>
        <s v="[Vare].[Avregningstype hierarki].[Vare].&amp;[170990 GRIS KASSERT]" c="170990 GRIS KASSERT"/>
        <s v="[Vare].[Avregningstype hierarki].[Vare].&amp;[170991 GRIS NOROC KASSERT]" c="170991 GRIS NOROC KASSERT"/>
        <s v="[Vare].[Avregningstype hierarki].[Vare].&amp;[170994 GRIS KASSERT ERSTATTET]" c="170994 GRIS KASSERT ERSTATTET"/>
        <s v="[Vare].[Avregningstype hierarki].[Vare].&amp;[171010 PURKE SKÅLDET P-]" c="171010 PURKE SKÅLDET P-"/>
        <s v="[Vare].[Avregningstype hierarki].[Vare].&amp;[171020 PURKE SKÅLDET P]" c="171020 PURKE SKÅLDET P"/>
        <s v="[Vare].[Avregningstype hierarki].[Vare].&amp;[171022 PURKE SKÅLDET M/BAKLABB P]" c="171022 PURKE SKÅLDET M/BAKLABB P"/>
        <s v="[Vare].[Avregningstype hierarki].[Vare].&amp;[171024 PURKE SKÅLDET ØKOLOGISK P]" c="171024 PURKE SKÅLDET ØKOLOGISK P"/>
        <s v="[Vare].[Avregningstype hierarki].[Vare].&amp;[171050 PURKE SKÅLDET O]" c="171050 PURKE SKÅLDET O"/>
        <s v="[Vare].[Avregningstype hierarki].[Vare].&amp;[171054 PURKE SKÅLDET ØKOLOGISK O]" c="171054 PURKE SKÅLDET ØKOLOGISK O"/>
        <s v="[Vare].[Avregningstype hierarki].[Vare].&amp;[171080 PURKE SKÅLDET R]" c="171080 PURKE SKÅLDET R"/>
        <s v="[Vare].[Avregningstype hierarki].[Vare].&amp;[171082 PURKE SKÅLDET M/BAKLABB R]" c="171082 PURKE SKÅLDET M/BAKLABB R"/>
        <s v="[Vare].[Avregningstype hierarki].[Vare].&amp;[171084 PURKE SKÅLDET ØKOLOGISK R]" c="171084 PURKE SKÅLDET ØKOLOGISK R"/>
        <s v="[Vare].[Avregningstype hierarki].[Vare].&amp;[171110 PURKE SKÅLDET U]" c="171110 PURKE SKÅLDET U"/>
        <s v="[Vare].[Avregningstype hierarki].[Vare].&amp;[171112 PURKE SKÅLDET M/BAKLABB]" c="171112 PURKE SKÅLDET M/BAKLABB"/>
        <s v="[Vare].[Avregningstype hierarki].[Vare].&amp;[171114 PURKE SKÅLDET ØKOLOGISK U]" c="171114 PURKE SKÅLDET ØKOLOGISK U"/>
        <s v="[Vare].[Avregningstype hierarki].[Vare].&amp;[171140 PURKE SKÅLDET E]" c="171140 PURKE SKÅLDET E"/>
        <s v="[Vare].[Avregningstype hierarki].[Vare].&amp;[171142 PURKE SKÅLDET M/BAKLABB E]" c="171142 PURKE SKÅLDET M/BAKLABB E"/>
        <s v="[Vare].[Avregningstype hierarki].[Vare].&amp;[171144 PURKE SKÅLDET ØKOLOGISK E]" c="171144 PURKE SKÅLDET ØKOLOGISK E"/>
        <s v="[Vare].[Avregningstype hierarki].[Vare].&amp;[171170 PURKE SKÅLDET S]" c="171170 PURKE SKÅLDET S"/>
        <s v="[Vare].[Avregningstype hierarki].[Vare].&amp;[171172 PURKE SKÅLDET M/BAKLABB S]" c="171172 PURKE SKÅLDET M/BAKLABB S"/>
        <s v="[Vare].[Avregningstype hierarki].[Vare].&amp;[171174 PURKE SKÅLDET ØKOLOGISK S]" c="171174 PURKE SKÅLDET ØKOLOGISK S"/>
        <s v="[Vare].[Avregningstype hierarki].[Vare].&amp;[171750 PURKE DØD FJØS]" c="171750 PURKE DØD FJØS"/>
        <s v="[Vare].[Avregningstype hierarki].[Vare].&amp;[171751 PURKE NØDAVLIVET FJØS]" c="171751 PURKE NØDAVLIVET FJØS"/>
        <s v="[Vare].[Avregningstype hierarki].[Vare].&amp;[171760 PURKE DØD TRANSPORT]" c="171760 PURKE DØD TRANSPORT"/>
        <s v="[Vare].[Avregningstype hierarki].[Vare].&amp;[171761 PURKE NØDAVLIVET TRANSPORT]" c="171761 PURKE NØDAVLIVET TRANSPORT"/>
        <s v="[Vare].[Avregningstype hierarki].[Vare].&amp;[171990 PURKE SKÅLDET KASSERT]" c="171990 PURKE SKÅLDET KASSERT"/>
        <s v="[Vare].[Avregningstype hierarki].[Vare].&amp;[171994 PURKE SKÅLDET KASSERT ERSTATTET]" c="171994 PURKE SKÅLDET KASSERT ERSTATTET"/>
        <s v="[Vare].[Avregningstype hierarki].[Vare].&amp;[172000 RÅNE SKÅLDET M/HL]" c="172000 RÅNE SKÅLDET M/HL"/>
        <s v="[Vare].[Avregningstype hierarki].[Vare].&amp;[172005 RÅNE SKÅLDET U/HL]" c="172005 RÅNE SKÅLDET U/HL"/>
        <s v="[Vare].[Avregningstype hierarki].[Vare].&amp;[172006 RÅNE SKÅLDET VAK PRØVE]" c="172006 RÅNE SKÅLDET VAK PRØVE"/>
        <s v="[Vare].[Avregningstype hierarki].[Vare].&amp;[172750 RÅNE DØD FJØS]" c="172750 RÅNE DØD FJØS"/>
        <s v="[Vare].[Avregningstype hierarki].[Vare].&amp;[172760 RÅNE DØD TRANSPORT]" c="172760 RÅNE DØD TRANSPORT"/>
        <s v="[Vare].[Avregningstype hierarki].[Vare].&amp;[172990 RÅNE SKÅLDET KASSERT]" c="172990 RÅNE SKÅLDET KASSERT"/>
        <s v="[Vare].[Avregningstype hierarki].[Vare].&amp;[172994 RÅNE SKÅLDET KASSERT ERSTATTET]" c="172994 RÅNE SKÅLDET KASSERT ERSTATTET"/>
        <s v="[Vare].[Avregningstype hierarki].[Vare].&amp;[173147 GRIS FLÅDD NØDSLAKT]" c="173147 GRIS FLÅDD NØDSLAKT"/>
        <s v="[Vare].[Avregningstype hierarki].[Vare].&amp;[173990 GRIS FLÅDD M/HL NØDSLAKT KASSERT]" c="173990 GRIS FLÅDD M/HL NØDSLAKT KASSERT"/>
        <s v="[Vare].[Avregningstype hierarki].[Vare].&amp;[174010 PURKE FLÅDD P-]" c="174010 PURKE FLÅDD P-"/>
        <s v="[Vare].[Avregningstype hierarki].[Vare].&amp;[174020 PURKE FLÅDD P]" c="174020 PURKE FLÅDD P"/>
        <s v="[Vare].[Avregningstype hierarki].[Vare].&amp;[174050 PURKE FLÅDD O]" c="174050 PURKE FLÅDD O"/>
        <s v="[Vare].[Avregningstype hierarki].[Vare].&amp;[174080 PURKE FLÅDD R]" c="174080 PURKE FLÅDD R"/>
        <s v="[Vare].[Avregningstype hierarki].[Vare].&amp;[174087 PURKE FLÅDD NØDSLAKT R]" c="174087 PURKE FLÅDD NØDSLAKT R"/>
        <s v="[Vare].[Avregningstype hierarki].[Vare].&amp;[174110 PURKE FLÅDD U]" c="174110 PURKE FLÅDD U"/>
        <s v="[Vare].[Avregningstype hierarki].[Vare].&amp;[174117 PURKE FLÅDD NØDSLAKT U]" c="174117 PURKE FLÅDD NØDSLAKT U"/>
        <s v="[Vare].[Avregningstype hierarki].[Vare].&amp;[174140 PURKE FLÅDD E]" c="174140 PURKE FLÅDD E"/>
        <s v="[Vare].[Avregningstype hierarki].[Vare].&amp;[174147 PURKE FLÅDD NØDSLAKT E]" c="174147 PURKE FLÅDD NØDSLAKT E"/>
        <s v="[Vare].[Avregningstype hierarki].[Vare].&amp;[174170 PURKE FLÅDD S]" c="174170 PURKE FLÅDD S"/>
        <s v="[Vare].[Avregningstype hierarki].[Vare].&amp;[174177 PURKE FLÅDD NØDSLAKT S]" c="174177 PURKE FLÅDD NØDSLAKT S"/>
        <s v="[Vare].[Avregningstype hierarki].[Vare].&amp;[174750 PURKE FLÅDD KREPERT ERSTATTET]" c="174750 PURKE FLÅDD KREPERT ERSTATTET"/>
        <s v="[Vare].[Avregningstype hierarki].[Vare].&amp;[174990 PURKE FLÅDD KASSERT]" c="174990 PURKE FLÅDD KASSERT"/>
        <s v="[Vare].[Avregningstype hierarki].[Vare].&amp;[174994 PURKE FLÅDD KASSERT ERSTATTET]" c="174994 PURKE FLÅDD KASSERT ERSTATTET"/>
        <s v="[Vare].[Avregningstype hierarki].[Vare].&amp;[175000 RÅNE FLÅDD]" c="175000 RÅNE FLÅDD"/>
        <s v="[Vare].[Avregningstype hierarki].[Vare].&amp;[175007 RÅNE FLÅDD NØDSLAKT]" c="175007 RÅNE FLÅDD NØDSLAKT"/>
        <s v="[Vare].[Avregningstype hierarki].[Vare].&amp;[175990 RÅNE FLÅDD KASSERT]" c="175990 RÅNE FLÅDD KASSERT"/>
        <s v="[Vare].[Avregningstype hierarki].[Vare].&amp;[176005 VAKSINERT GRIS LITEN U/HL]" c="176005 VAKSINERT GRIS LITEN U/HL"/>
        <s v="[Vare].[Avregningstype hierarki].[Vare].&amp;[176006 VAKSINERT GRIS NOROC LITEN U/HL]" c="176006 VAKSINERT GRIS NOROC LITEN U/HL"/>
        <s v="[Vare].[Avregningstype hierarki].[Vare].&amp;[176085 VAKSINERT GRIS R U/HL]" c="176085 VAKSINERT GRIS R U/HL"/>
        <s v="[Vare].[Avregningstype hierarki].[Vare].&amp;[176086 VAKSINERT GRIS NOROC R U/HL]" c="176086 VAKSINERT GRIS NOROC R U/HL"/>
        <s v="[Vare].[Avregningstype hierarki].[Vare].&amp;[176115 VAKSINERT GRIS U U/HL]" c="176115 VAKSINERT GRIS U U/HL"/>
        <s v="[Vare].[Avregningstype hierarki].[Vare].&amp;[176116 VAKSINERT GRIS NOROC U U/HL]" c="176116 VAKSINERT GRIS NOROC U U/HL"/>
        <s v="[Vare].[Avregningstype hierarki].[Vare].&amp;[176145 VAKSINERT GRIS E U/HL]" c="176145 VAKSINERT GRIS E U/HL"/>
        <s v="[Vare].[Avregningstype hierarki].[Vare].&amp;[176146 VAKSINERT GRIS NOROC E U/HL]" c="176146 VAKSINERT GRIS NOROC E U/HL"/>
        <s v="[Vare].[Avregningstype hierarki].[Vare].&amp;[176175 VAKSINERT GRIS S U/HL]" c="176175 VAKSINERT GRIS S U/HL"/>
        <s v="[Vare].[Avregningstype hierarki].[Vare].&amp;[176176 VAKSINERT GRIS NOROC S U/HL]" c="176176 VAKSINERT GRIS NOROC S U/HL"/>
        <s v="[Vare].[Avregningstype hierarki].[Vare].&amp;[176990 VAKSINERT GRIS KASSERT]" c="176990 VAKSINERT GRIS KASSERT"/>
        <s v="[Vare].[Avregningstype hierarki].[Vare].&amp;[132220 GOURMETHØNS]" c="132220 GOURMETHØNS"/>
        <s v="[Vare].[Avregningstype hierarki].[Vare].&amp;[132226 GOURMETHØNS AVLIVET]" c="132226 GOURMETHØNS AVLIVET"/>
        <s v="[Vare].[Avregningstype hierarki].[Vare].&amp;[132230 GOURMETHANER]" c="132230 GOURMETHANER"/>
        <s v="[Vare].[Avregningstype hierarki].[Vare].&amp;[132231 GOURMETHANER AVLIVET]" c="132231 GOURMETHANER AVLIVET"/>
        <s v="[Vare].[Avregningstype hierarki].[Vare].&amp;[132238 GOURMETHØNS SLAKTESKADE]" c="132238 GOURMETHØNS SLAKTESKADE"/>
        <s v="[Vare].[Avregningstype hierarki].[Vare].&amp;[132239 GOURMETHØNS/HANER KASSERT]" c="132239 GOURMETHØNS/HANER KASSERT"/>
        <s v="[Vare].[Avregningstype hierarki].[Vare].&amp;[132241 PLUKKING GOURMETHØNE IFLG VEDL]" c="132241 PLUKKING GOURMETHØNE IFLG VEDL"/>
        <s v="[Vare].[Avregningstype hierarki].[Vare].&amp;[132520 KALKUN SPESIAL]" c="132520 KALKUN SPESIAL"/>
        <s v="[Vare].[Avregningstype hierarki].[Vare].&amp;[132521 FOREDLINGSKALKUN]" c="132521 FOREDLINGSKALKUN"/>
        <s v="[Vare].[Avregningstype hierarki].[Vare].&amp;[132523 KALKUN AVLSDYR]" c="132523 KALKUN AVLSDYR"/>
        <s v="[Vare].[Avregningstype hierarki].[Vare].&amp;[132525 FOREDLINGSKALKUN BET GODKJENT]" c="132525 FOREDLINGSKALKUN BET GODKJENT"/>
        <s v="[Vare].[Avregningstype hierarki].[Vare].&amp;[132533 KALKUN STANDARD]" c="132533 KALKUN STANDARD"/>
        <s v="[Vare].[Avregningstype hierarki].[Vare].&amp;[132535 KALKUN SLAKTESKADE]" c="132535 KALKUN SLAKTESKADE"/>
        <s v="[Vare].[Avregningstype hierarki].[Vare].&amp;[132536 FOREDLINGSKALKUN SL SKADE]" c="132536 FOREDLINGSKALKUN SL SKADE"/>
        <s v="[Vare].[Avregningstype hierarki].[Vare].&amp;[132577 AVLSKALKUN KASSERT]" c="132577 AVLSKALKUN KASSERT"/>
        <s v="[Vare].[Avregningstype hierarki].[Vare].&amp;[132578 KALKUN KASSERT]" c="132578 KALKUN KASSERT"/>
        <s v="[Vare].[Avregningstype hierarki].[Vare].&amp;[132579 FOREDLINGSKALKUN KASSERT]" c="132579 FOREDLINGSKALKUN KASSERT"/>
        <s v="[Vare].[Avregningstype hierarki].[Vare].&amp;[132310 KYLLING SP &lt; 750 G]" c="132310 KYLLING SP &lt; 750 G"/>
        <s v="[Vare].[Avregningstype hierarki].[Vare].&amp;[132311 KYLLING SP 750 G]" c="132311 KYLLING SP 750 G"/>
        <s v="[Vare].[Avregningstype hierarki].[Vare].&amp;[132312 KYLLING SP 800 G]" c="132312 KYLLING SP 800 G"/>
        <s v="[Vare].[Avregningstype hierarki].[Vare].&amp;[132313 KYLLING SP 850 G]" c="132313 KYLLING SP 850 G"/>
        <s v="[Vare].[Avregningstype hierarki].[Vare].&amp;[132314 KYLLING SP 900 G]" c="132314 KYLLING SP 900 G"/>
        <s v="[Vare].[Avregningstype hierarki].[Vare].&amp;[132315 KYLLING SP 950 G]" c="132315 KYLLING SP 950 G"/>
        <s v="[Vare].[Avregningstype hierarki].[Vare].&amp;[132316 KYLLING SP 1000 G]" c="132316 KYLLING SP 1000 G"/>
        <s v="[Vare].[Avregningstype hierarki].[Vare].&amp;[132317 KYLLING SP 1050 G]" c="132317 KYLLING SP 1050 G"/>
        <s v="[Vare].[Avregningstype hierarki].[Vare].&amp;[132318 KYLLING SP 1100 G]" c="132318 KYLLING SP 1100 G"/>
        <s v="[Vare].[Avregningstype hierarki].[Vare].&amp;[132319 KYLLING SP 1150 G]" c="132319 KYLLING SP 1150 G"/>
        <s v="[Vare].[Avregningstype hierarki].[Vare].&amp;[132320 KYLLING SP 1200 G]" c="132320 KYLLING SP 1200 G"/>
        <s v="[Vare].[Avregningstype hierarki].[Vare].&amp;[132321 KYLLING SP 1250 G]" c="132321 KYLLING SP 1250 G"/>
        <s v="[Vare].[Avregningstype hierarki].[Vare].&amp;[132322 KYLLING SP 1300 G]" c="132322 KYLLING SP 1300 G"/>
        <s v="[Vare].[Avregningstype hierarki].[Vare].&amp;[132323 KYLLING SP 1350 G]" c="132323 KYLLING SP 1350 G"/>
        <s v="[Vare].[Avregningstype hierarki].[Vare].&amp;[132324 KYLLING SP 1400 G]" c="132324 KYLLING SP 1400 G"/>
        <s v="[Vare].[Avregningstype hierarki].[Vare].&amp;[132325 KYLLING SP 1450 G]" c="132325 KYLLING SP 1450 G"/>
        <s v="[Vare].[Avregningstype hierarki].[Vare].&amp;[132326 KYLLING SP 1500 G]" c="132326 KYLLING SP 1500 G"/>
        <s v="[Vare].[Avregningstype hierarki].[Vare].&amp;[132327 KYLLING SP 1550 G]" c="132327 KYLLING SP 1550 G"/>
        <s v="[Vare].[Avregningstype hierarki].[Vare].&amp;[132328 KYLLING SP 1600 G]" c="132328 KYLLING SP 1600 G"/>
        <s v="[Vare].[Avregningstype hierarki].[Vare].&amp;[132329 KYLLING SP 1650 G]" c="132329 KYLLING SP 1650 G"/>
        <s v="[Vare].[Avregningstype hierarki].[Vare].&amp;[132330 KYLLING SP &gt; 1650 G]" c="132330 KYLLING SP &gt; 1650 G"/>
        <s v="[Vare].[Avregningstype hierarki].[Vare].&amp;[132350 KYLLING STD &lt; 8%]" c="132350 KYLLING STD &lt; 8%"/>
        <s v="[Vare].[Avregningstype hierarki].[Vare].&amp;[132351 KYLLING STD &gt; 8%]" c="132351 KYLLING STD &gt; 8%"/>
        <s v="[Vare].[Avregningstype hierarki].[Vare].&amp;[132355 KYLLING SLAKTESKADE]" c="132355 KYLLING SLAKTESKADE"/>
        <s v="[Vare].[Avregningstype hierarki].[Vare].&amp;[132356 KYLLING DØDE OVER 0,1%]" c="132356 KYLLING DØDE OVER 0,1%"/>
        <s v="[Vare].[Avregningstype hierarki].[Vare].&amp;[132360 EKSTRA STOR KYLLING SOMMER]" c="132360 EKSTRA STOR KYLLING SOMMER"/>
        <s v="[Vare].[Avregningstype hierarki].[Vare].&amp;[132361 EKSTRA STOR KYLLING VINTER]" c="132361 EKSTRA STOR KYLLING VINTER"/>
        <s v="[Vare].[Avregningstype hierarki].[Vare].&amp;[132365 EKSTRA STOR KYLL.SL SK SOMMER]" c="132365 EKSTRA STOR KYLL.SL SK SOMMER"/>
        <s v="[Vare].[Avregningstype hierarki].[Vare].&amp;[132366 EKSTRA STOR KYLL.SL SK VINTER]" c="132366 EKSTRA STOR KYLL.SL SK VINTER"/>
        <s v="[Vare].[Avregningstype hierarki].[Vare].&amp;[132371 SMAALENENE / LIVECHÈKYLLING]" c="132371 SMAALENENE / LIVECHÈKYLLING"/>
        <s v="[Vare].[Avregningstype hierarki].[Vare].&amp;[132372 LANDKYLLING]" c="132372 LANDKYLLING"/>
        <s v="[Vare].[Avregningstype hierarki].[Vare].&amp;[132374 HÅKYLLING]" c="132374 HÅKYLLING"/>
        <s v="[Vare].[Avregningstype hierarki].[Vare].&amp;[132375 ØKOLOGISK KYLLING]" c="132375 ØKOLOGISK KYLLING"/>
        <s v="[Vare].[Avregningstype hierarki].[Vare].&amp;[132377 MAISKYLLING]" c="132377 MAISKYLLING"/>
        <s v="[Vare].[Avregningstype hierarki].[Vare].&amp;[132479 KYLLING KASSERT]" c="132479 KYLLING KASSERT"/>
        <s v="[Vare].[Avregningstype hierarki].[Vare].&amp;[180010 UNG SAU P-]" c="180010 UNG SAU P-"/>
        <s v="[Vare].[Avregningstype hierarki].[Vare].&amp;[180012 UNG SAU VILLSAU P-]" c="180012 UNG SAU VILLSAU P-"/>
        <s v="[Vare].[Avregningstype hierarki].[Vare].&amp;[180014 UNG SAU ØKOLOGISK P-]" c="180014 UNG SAU ØKOLOGISK P-"/>
        <s v="[Vare].[Avregningstype hierarki].[Vare].&amp;[180020 UNG SAU P]" c="180020 UNG SAU P"/>
        <s v="[Vare].[Avregningstype hierarki].[Vare].&amp;[180022 UNG SAU VILLSAU P]" c="180022 UNG SAU VILLSAU P"/>
        <s v="[Vare].[Avregningstype hierarki].[Vare].&amp;[180024 UNG SAU ØKOLOGISK P]" c="180024 UNG SAU ØKOLOGISK P"/>
        <s v="[Vare].[Avregningstype hierarki].[Vare].&amp;[180030 UNG SAU P+]" c="180030 UNG SAU P+"/>
        <s v="[Vare].[Avregningstype hierarki].[Vare].&amp;[180032 UNG SAU VILLSAU P+]" c="180032 UNG SAU VILLSAU P+"/>
        <s v="[Vare].[Avregningstype hierarki].[Vare].&amp;[180034 UNG SAU ØKOLOGISK P+]" c="180034 UNG SAU ØKOLOGISK P+"/>
        <s v="[Vare].[Avregningstype hierarki].[Vare].&amp;[180040 UNG SAU O-]" c="180040 UNG SAU O-"/>
        <s v="[Vare].[Avregningstype hierarki].[Vare].&amp;[180042 UNG SAU VILLSAU O-]" c="180042 UNG SAU VILLSAU O-"/>
        <s v="[Vare].[Avregningstype hierarki].[Vare].&amp;[180044 UNG SAU ØKOLOGISK O-]" c="180044 UNG SAU ØKOLOGISK O-"/>
        <s v="[Vare].[Avregningstype hierarki].[Vare].&amp;[180050 UNG SAU O]" c="180050 UNG SAU O"/>
        <s v="[Vare].[Avregningstype hierarki].[Vare].&amp;[180052 UNG SAU VILLSAU O]" c="180052 UNG SAU VILLSAU O"/>
        <s v="[Vare].[Avregningstype hierarki].[Vare].&amp;[180054 UNG SAU ØKOLOGISK O]" c="180054 UNG SAU ØKOLOGISK O"/>
        <s v="[Vare].[Avregningstype hierarki].[Vare].&amp;[180060 UNG SAU O+]" c="180060 UNG SAU O+"/>
        <s v="[Vare].[Avregningstype hierarki].[Vare].&amp;[180062 UNG SAU VILLSAU O+]" c="180062 UNG SAU VILLSAU O+"/>
        <s v="[Vare].[Avregningstype hierarki].[Vare].&amp;[180064 UNG SAU ØKOLOGISK O+]" c="180064 UNG SAU ØKOLOGISK O+"/>
        <s v="[Vare].[Avregningstype hierarki].[Vare].&amp;[180070 UNG SAU R-]" c="180070 UNG SAU R-"/>
        <s v="[Vare].[Avregningstype hierarki].[Vare].&amp;[180072 UNG SAU VILLSAU R-]" c="180072 UNG SAU VILLSAU R-"/>
        <s v="[Vare].[Avregningstype hierarki].[Vare].&amp;[180074 UNG SAU ØKOLOGISK R-]" c="180074 UNG SAU ØKOLOGISK R-"/>
        <s v="[Vare].[Avregningstype hierarki].[Vare].&amp;[180080 UNG SAU R]" c="180080 UNG SAU R"/>
        <s v="[Vare].[Avregningstype hierarki].[Vare].&amp;[180082 UNG SAU VILLSAU R]" c="180082 UNG SAU VILLSAU R"/>
        <s v="[Vare].[Avregningstype hierarki].[Vare].&amp;[180084 UNG SAU ØKOLOGISK R]" c="180084 UNG SAU ØKOLOGISK R"/>
        <s v="[Vare].[Avregningstype hierarki].[Vare].&amp;[180090 UNG SAU R+]" c="180090 UNG SAU R+"/>
        <s v="[Vare].[Avregningstype hierarki].[Vare].&amp;[180092 UNG SAU VILLSAU R+]" c="180092 UNG SAU VILLSAU R+"/>
        <s v="[Vare].[Avregningstype hierarki].[Vare].&amp;[180094 UNG SAU ØKOLOGISK R+]" c="180094 UNG SAU ØKOLOGISK R+"/>
        <s v="[Vare].[Avregningstype hierarki].[Vare].&amp;[180100 UNG SAU U-]" c="180100 UNG SAU U-"/>
        <s v="[Vare].[Avregningstype hierarki].[Vare].&amp;[180102 UNG SAU VILLSAU U-]" c="180102 UNG SAU VILLSAU U-"/>
        <s v="[Vare].[Avregningstype hierarki].[Vare].&amp;[180104 UNG SAU ØKOLOGISK U-]" c="180104 UNG SAU ØKOLOGISK U-"/>
        <s v="[Vare].[Avregningstype hierarki].[Vare].&amp;[180110 UNG SAU U]" c="180110 UNG SAU U"/>
        <s v="[Vare].[Avregningstype hierarki].[Vare].&amp;[180114 UNG SAU ØKOLOGISK U]" c="180114 UNG SAU ØKOLOGISK U"/>
        <s v="[Vare].[Avregningstype hierarki].[Vare].&amp;[180120 UNG SAU U+]" c="180120 UNG SAU U+"/>
        <s v="[Vare].[Avregningstype hierarki].[Vare].&amp;[180124 UNG SAU ØKOLOGISK U+]" c="180124 UNG SAU ØKOLOGISK U+"/>
        <s v="[Vare].[Avregningstype hierarki].[Vare].&amp;[180130 UNG SAU E-]" c="180130 UNG SAU E-"/>
        <s v="[Vare].[Avregningstype hierarki].[Vare].&amp;[180140 UNG SAU E]" c="180140 UNG SAU E"/>
        <s v="[Vare].[Avregningstype hierarki].[Vare].&amp;[180144 UNG SAU ØKOLOGISK E]" c="180144 UNG SAU ØKOLOGISK E"/>
        <s v="[Vare].[Avregningstype hierarki].[Vare].&amp;[180150 UNG SAU E+]" c="180150 UNG SAU E+"/>
        <s v="[Vare].[Avregningstype hierarki].[Vare].&amp;[180750 UNG SAU DØD FJØS]" c="180750 UNG SAU DØD FJØS"/>
        <s v="[Vare].[Avregningstype hierarki].[Vare].&amp;[180751 UNG SAU NØDAVLIVET FJØS]" c="180751 UNG SAU NØDAVLIVET FJØS"/>
        <s v="[Vare].[Avregningstype hierarki].[Vare].&amp;[180760 UNG SAU DØD TRANSPORT]" c="180760 UNG SAU DØD TRANSPORT"/>
        <s v="[Vare].[Avregningstype hierarki].[Vare].&amp;[180990 UNG SAU KASSERT]" c="180990 UNG SAU KASSERT"/>
        <s v="[Vare].[Avregningstype hierarki].[Vare].&amp;[180994 UNG SAU KASSERT ERSTATTET]" c="180994 UNG SAU KASSERT ERSTATTET"/>
        <s v="[Vare].[Avregningstype hierarki].[Vare].&amp;[181010 SAU P-]" c="181010 SAU P-"/>
        <s v="[Vare].[Avregningstype hierarki].[Vare].&amp;[181012 SAU VILLSAU P-]" c="181012 SAU VILLSAU P-"/>
        <s v="[Vare].[Avregningstype hierarki].[Vare].&amp;[181014 SAU ØKOLOGISK P-]" c="181014 SAU ØKOLOGISK P-"/>
        <s v="[Vare].[Avregningstype hierarki].[Vare].&amp;[181020 SAU P]" c="181020 SAU P"/>
        <s v="[Vare].[Avregningstype hierarki].[Vare].&amp;[181022 SAU VILLSAU P]" c="181022 SAU VILLSAU P"/>
        <s v="[Vare].[Avregningstype hierarki].[Vare].&amp;[181024 SAU ØKOLOGISK P]" c="181024 SAU ØKOLOGISK P"/>
        <s v="[Vare].[Avregningstype hierarki].[Vare].&amp;[181030 SAU P+]" c="181030 SAU P+"/>
        <s v="[Vare].[Avregningstype hierarki].[Vare].&amp;[181032 SAU VILLSAU P+]" c="181032 SAU VILLSAU P+"/>
        <s v="[Vare].[Avregningstype hierarki].[Vare].&amp;[181034 SAU ØKOLOGISK P+]" c="181034 SAU ØKOLOGISK P+"/>
        <s v="[Vare].[Avregningstype hierarki].[Vare].&amp;[181040 SAU O-]" c="181040 SAU O-"/>
        <s v="[Vare].[Avregningstype hierarki].[Vare].&amp;[181042 SAU VILLSAU O-]" c="181042 SAU VILLSAU O-"/>
        <s v="[Vare].[Avregningstype hierarki].[Vare].&amp;[181044 SAU ØKOLOGISK O-]" c="181044 SAU ØKOLOGISK O-"/>
        <s v="[Vare].[Avregningstype hierarki].[Vare].&amp;[181050 SAU O]" c="181050 SAU O"/>
        <s v="[Vare].[Avregningstype hierarki].[Vare].&amp;[181052 SAU VILLSAU O]" c="181052 SAU VILLSAU O"/>
        <s v="[Vare].[Avregningstype hierarki].[Vare].&amp;[181054 SAU ØKOLOGISK O]" c="181054 SAU ØKOLOGISK O"/>
        <s v="[Vare].[Avregningstype hierarki].[Vare].&amp;[181057 SAU NØDSLAKT O]" c="181057 SAU NØDSLAKT O"/>
        <s v="[Vare].[Avregningstype hierarki].[Vare].&amp;[181060 SAU O+]" c="181060 SAU O+"/>
        <s v="[Vare].[Avregningstype hierarki].[Vare].&amp;[181062 SAU VILLSAU O+]" c="181062 SAU VILLSAU O+"/>
        <s v="[Vare].[Avregningstype hierarki].[Vare].&amp;[181064 SAU ØKOLOGISK O+]" c="181064 SAU ØKOLOGISK O+"/>
        <s v="[Vare].[Avregningstype hierarki].[Vare].&amp;[181070 SAU R-]" c="181070 SAU R-"/>
        <s v="[Vare].[Avregningstype hierarki].[Vare].&amp;[181072 SAU VILLSAU R-]" c="181072 SAU VILLSAU R-"/>
        <s v="[Vare].[Avregningstype hierarki].[Vare].&amp;[181074 SAU ØKOLOGISK R-]" c="181074 SAU ØKOLOGISK R-"/>
        <s v="[Vare].[Avregningstype hierarki].[Vare].&amp;[181077 SAU NØDSLAKT R-]" c="181077 SAU NØDSLAKT R-"/>
        <s v="[Vare].[Avregningstype hierarki].[Vare].&amp;[181080 SAU R]" c="181080 SAU R"/>
        <s v="[Vare].[Avregningstype hierarki].[Vare].&amp;[181082 SAU VILLSAU R]" c="181082 SAU VILLSAU R"/>
        <s v="[Vare].[Avregningstype hierarki].[Vare].&amp;[181084 SAU ØKOLOGISK R]" c="181084 SAU ØKOLOGISK R"/>
        <s v="[Vare].[Avregningstype hierarki].[Vare].&amp;[181090 SAU R+]" c="181090 SAU R+"/>
        <s v="[Vare].[Avregningstype hierarki].[Vare].&amp;[181092 SAU VILLSAU R+]" c="181092 SAU VILLSAU R+"/>
        <s v="[Vare].[Avregningstype hierarki].[Vare].&amp;[181094 SAU ØKOLOGISK R+]" c="181094 SAU ØKOLOGISK R+"/>
        <s v="[Vare].[Avregningstype hierarki].[Vare].&amp;[181100 SAU U-]" c="181100 SAU U-"/>
        <s v="[Vare].[Avregningstype hierarki].[Vare].&amp;[181104 SAU ØKOLOGISK U-]" c="181104 SAU ØKOLOGISK U-"/>
        <s v="[Vare].[Avregningstype hierarki].[Vare].&amp;[181110 SAU U]" c="181110 SAU U"/>
        <s v="[Vare].[Avregningstype hierarki].[Vare].&amp;[181112 SAU VILLSAU U]" c="181112 SAU VILLSAU U"/>
        <s v="[Vare].[Avregningstype hierarki].[Vare].&amp;[181114 SAU ØKOLOGISK U]" c="181114 SAU ØKOLOGISK U"/>
        <s v="[Vare].[Avregningstype hierarki].[Vare].&amp;[181120 SAU U+]" c="181120 SAU U+"/>
        <s v="[Vare].[Avregningstype hierarki].[Vare].&amp;[181124 SAU ØKOLOGISK U+]" c="181124 SAU ØKOLOGISK U+"/>
        <s v="[Vare].[Avregningstype hierarki].[Vare].&amp;[181130 SAU E-]" c="181130 SAU E-"/>
        <s v="[Vare].[Avregningstype hierarki].[Vare].&amp;[181134 SAU ØKOLOGISK E-]" c="181134 SAU ØKOLOGISK E-"/>
        <s v="[Vare].[Avregningstype hierarki].[Vare].&amp;[181140 SAU E]" c="181140 SAU E"/>
        <s v="[Vare].[Avregningstype hierarki].[Vare].&amp;[181144 SAU ØKOLOGISK E]" c="181144 SAU ØKOLOGISK E"/>
        <s v="[Vare].[Avregningstype hierarki].[Vare].&amp;[181150 SAU E+]" c="181150 SAU E+"/>
        <s v="[Vare].[Avregningstype hierarki].[Vare].&amp;[181750 SAU DØD FJØS]" c="181750 SAU DØD FJØS"/>
        <s v="[Vare].[Avregningstype hierarki].[Vare].&amp;[181751 SAU NØDAVLIVET FJØS]" c="181751 SAU NØDAVLIVET FJØS"/>
        <s v="[Vare].[Avregningstype hierarki].[Vare].&amp;[181760 SAU DØD TRANSPORT]" c="181760 SAU DØD TRANSPORT"/>
        <s v="[Vare].[Avregningstype hierarki].[Vare].&amp;[181761 SAU NØDAVLIVET TRANSPORT]" c="181761 SAU NØDAVLIVET TRANSPORT"/>
        <s v="[Vare].[Avregningstype hierarki].[Vare].&amp;[181972 SAU O ERST.]" c="181972 SAU O ERST."/>
        <s v="[Vare].[Avregningstype hierarki].[Vare].&amp;[181973 SAU R ERST.]" c="181973 SAU R ERST."/>
        <s v="[Vare].[Avregningstype hierarki].[Vare].&amp;[181974 SAU U ERST.]" c="181974 SAU U ERST."/>
        <s v="[Vare].[Avregningstype hierarki].[Vare].&amp;[181990 SAU KASSERT]" c="181990 SAU KASSERT"/>
        <s v="[Vare].[Avregningstype hierarki].[Vare].&amp;[181994 SAU KASSERT ERSTATTET]" c="181994 SAU KASSERT ERSTATTET"/>
        <s v="[Vare].[Avregningstype hierarki].[Vare].&amp;[183010 LAM P-]" c="183010 LAM P-"/>
        <s v="[Vare].[Avregningstype hierarki].[Vare].&amp;[183012 LAM VILLSAU P-]" c="183012 LAM VILLSAU P-"/>
        <s v="[Vare].[Avregningstype hierarki].[Vare].&amp;[183014 LAM ØKOLOGISK P-]" c="183014 LAM ØKOLOGISK P-"/>
        <s v="[Vare].[Avregningstype hierarki].[Vare].&amp;[183020 LAM P]" c="183020 LAM P"/>
        <s v="[Vare].[Avregningstype hierarki].[Vare].&amp;[183022 LAM VILLSAU P]" c="183022 LAM VILLSAU P"/>
        <s v="[Vare].[Avregningstype hierarki].[Vare].&amp;[183024 LAM ØKOLOGISK P]" c="183024 LAM ØKOLOGISK P"/>
        <s v="[Vare].[Avregningstype hierarki].[Vare].&amp;[183030 LAM P+]" c="183030 LAM P+"/>
        <s v="[Vare].[Avregningstype hierarki].[Vare].&amp;[183032 LAM VILLSAU P+]" c="183032 LAM VILLSAU P+"/>
        <s v="[Vare].[Avregningstype hierarki].[Vare].&amp;[183034 LAM ØKOLOGISK P+]" c="183034 LAM ØKOLOGISK P+"/>
        <s v="[Vare].[Avregningstype hierarki].[Vare].&amp;[183040 LAM O-]" c="183040 LAM O-"/>
        <s v="[Vare].[Avregningstype hierarki].[Vare].&amp;[183042 LAM VILLSAU O-]" c="183042 LAM VILLSAU O-"/>
        <s v="[Vare].[Avregningstype hierarki].[Vare].&amp;[183044 LAM ØKOLOGISK O-]" c="183044 LAM ØKOLOGISK O-"/>
        <s v="[Vare].[Avregningstype hierarki].[Vare].&amp;[183050 LAM O]" c="183050 LAM O"/>
        <s v="[Vare].[Avregningstype hierarki].[Vare].&amp;[183052 LAM VILLSAU O]" c="183052 LAM VILLSAU O"/>
        <s v="[Vare].[Avregningstype hierarki].[Vare].&amp;[183054 LAM ØKOLOGISK O]" c="183054 LAM ØKOLOGISK O"/>
        <s v="[Vare].[Avregningstype hierarki].[Vare].&amp;[183060 LAM O+]" c="183060 LAM O+"/>
        <s v="[Vare].[Avregningstype hierarki].[Vare].&amp;[183062 LAM VILLSAU O+]" c="183062 LAM VILLSAU O+"/>
        <s v="[Vare].[Avregningstype hierarki].[Vare].&amp;[183064 LAM ØKOLOGISK O+]" c="183064 LAM ØKOLOGISK O+"/>
        <s v="[Vare].[Avregningstype hierarki].[Vare].&amp;[183070 LAM R-]" c="183070 LAM R-"/>
        <s v="[Vare].[Avregningstype hierarki].[Vare].&amp;[183072 LAM VILLSAU R-]" c="183072 LAM VILLSAU R-"/>
        <s v="[Vare].[Avregningstype hierarki].[Vare].&amp;[183074 LAM ØKOLOGISK R-]" c="183074 LAM ØKOLOGISK R-"/>
        <s v="[Vare].[Avregningstype hierarki].[Vare].&amp;[183079 LAM SPESIAL R-]" c="183079 LAM SPESIAL R-"/>
        <s v="[Vare].[Avregningstype hierarki].[Vare].&amp;[183080 LAM R]" c="183080 LAM R"/>
        <s v="[Vare].[Avregningstype hierarki].[Vare].&amp;[183082 LAM VILLSAU R]" c="183082 LAM VILLSAU R"/>
        <s v="[Vare].[Avregningstype hierarki].[Vare].&amp;[183084 LAM ØKOLOGISK R]" c="183084 LAM ØKOLOGISK R"/>
        <s v="[Vare].[Avregningstype hierarki].[Vare].&amp;[183089 LAM SPESIAL R]" c="183089 LAM SPESIAL R"/>
        <s v="[Vare].[Avregningstype hierarki].[Vare].&amp;[183090 LAM R+]" c="183090 LAM R+"/>
        <s v="[Vare].[Avregningstype hierarki].[Vare].&amp;[183092 LAM VILLSAU R+]" c="183092 LAM VILLSAU R+"/>
        <s v="[Vare].[Avregningstype hierarki].[Vare].&amp;[183094 LAM ØKOLOGISK R+]" c="183094 LAM ØKOLOGISK R+"/>
        <s v="[Vare].[Avregningstype hierarki].[Vare].&amp;[183099 LAM SPESIAL R+]" c="183099 LAM SPESIAL R+"/>
        <s v="[Vare].[Avregningstype hierarki].[Vare].&amp;[183100 LAM U-]" c="183100 LAM U-"/>
        <s v="[Vare].[Avregningstype hierarki].[Vare].&amp;[183102 LAM VILLSAU U-]" c="183102 LAM VILLSAU U-"/>
        <s v="[Vare].[Avregningstype hierarki].[Vare].&amp;[183104 LAM ØKOLOGISK U-]" c="183104 LAM ØKOLOGISK U-"/>
        <s v="[Vare].[Avregningstype hierarki].[Vare].&amp;[183109 LAM SPESIAL U-]" c="183109 LAM SPESIAL U-"/>
        <s v="[Vare].[Avregningstype hierarki].[Vare].&amp;[183110 LAM U]" c="183110 LAM U"/>
        <s v="[Vare].[Avregningstype hierarki].[Vare].&amp;[183112 LAM VILLSAU U]" c="183112 LAM VILLSAU U"/>
        <s v="[Vare].[Avregningstype hierarki].[Vare].&amp;[183114 LAM ØKOLOGISK U]" c="183114 LAM ØKOLOGISK U"/>
        <s v="[Vare].[Avregningstype hierarki].[Vare].&amp;[183119 LAM SPESIAL U]" c="183119 LAM SPESIAL U"/>
        <s v="[Vare].[Avregningstype hierarki].[Vare].&amp;[183120 LAM U+]" c="183120 LAM U+"/>
        <s v="[Vare].[Avregningstype hierarki].[Vare].&amp;[183124 LAM ØKOLOGISK U+]" c="183124 LAM ØKOLOGISK U+"/>
        <s v="[Vare].[Avregningstype hierarki].[Vare].&amp;[183129 LAM SPESIAL U+]" c="183129 LAM SPESIAL U+"/>
        <s v="[Vare].[Avregningstype hierarki].[Vare].&amp;[183130 LAM E-]" c="183130 LAM E-"/>
        <s v="[Vare].[Avregningstype hierarki].[Vare].&amp;[183134 LAM ØKOLOGISK E-]" c="183134 LAM ØKOLOGISK E-"/>
        <s v="[Vare].[Avregningstype hierarki].[Vare].&amp;[183139 LAM SPESIAL E-]" c="183139 LAM SPESIAL E-"/>
        <s v="[Vare].[Avregningstype hierarki].[Vare].&amp;[183140 LAM E]" c="183140 LAM E"/>
        <s v="[Vare].[Avregningstype hierarki].[Vare].&amp;[183144 LAM ØKOLOGISK E]" c="183144 LAM ØKOLOGISK E"/>
        <s v="[Vare].[Avregningstype hierarki].[Vare].&amp;[183149 LAM SPESIAL E]" c="183149 LAM SPESIAL E"/>
        <s v="[Vare].[Avregningstype hierarki].[Vare].&amp;[183150 LAM E+]" c="183150 LAM E+"/>
        <s v="[Vare].[Avregningstype hierarki].[Vare].&amp;[183154 LAM ØKOLOGISK E+]" c="183154 LAM ØKOLOGISK E+"/>
        <s v="[Vare].[Avregningstype hierarki].[Vare].&amp;[183159 LAM SPESIAL E+]" c="183159 LAM SPESIAL E+"/>
        <s v="[Vare].[Avregningstype hierarki].[Vare].&amp;[183750 LAM DØD FJØS]" c="183750 LAM DØD FJØS"/>
        <s v="[Vare].[Avregningstype hierarki].[Vare].&amp;[183751 LAM NØDAVLIVET FJØS]" c="183751 LAM NØDAVLIVET FJØS"/>
        <s v="[Vare].[Avregningstype hierarki].[Vare].&amp;[183760 LAM DØD TRANSPORT]" c="183760 LAM DØD TRANSPORT"/>
        <s v="[Vare].[Avregningstype hierarki].[Vare].&amp;[183761 LAM NØDAVLIVET TRANSPORT]" c="183761 LAM NØDAVLIVET TRANSPORT"/>
        <s v="[Vare].[Avregningstype hierarki].[Vare].&amp;[183972 LAM O ERST.]" c="183972 LAM O ERST."/>
        <s v="[Vare].[Avregningstype hierarki].[Vare].&amp;[183973 LAM R ERST.]" c="183973 LAM R ERST."/>
        <s v="[Vare].[Avregningstype hierarki].[Vare].&amp;[183974 LAM U ERST.]" c="183974 LAM U ERST."/>
        <s v="[Vare].[Avregningstype hierarki].[Vare].&amp;[183990 LAM KASSERT]" c="183990 LAM KASSERT"/>
        <s v="[Vare].[Avregningstype hierarki].[Vare].&amp;[183994 LAM KASSERT ERSTATTET]" c="183994 LAM KASSERT ERSTATTET"/>
        <s v="[Vare].[Avregningstype hierarki].[Vare].&amp;[185010 VÆR P-]" c="185010 VÆR P-"/>
        <s v="[Vare].[Avregningstype hierarki].[Vare].&amp;[185020 VÆR P]" c="185020 VÆR P"/>
        <s v="[Vare].[Avregningstype hierarki].[Vare].&amp;[185022 VÆR VILLSAU P]" c="185022 VÆR VILLSAU P"/>
        <s v="[Vare].[Avregningstype hierarki].[Vare].&amp;[185030 VÆR P+]" c="185030 VÆR P+"/>
        <s v="[Vare].[Avregningstype hierarki].[Vare].&amp;[185032 VÆR VILLSAU P+]" c="185032 VÆR VILLSAU P+"/>
        <s v="[Vare].[Avregningstype hierarki].[Vare].&amp;[185040 VÆR O-]" c="185040 VÆR O-"/>
        <s v="[Vare].[Avregningstype hierarki].[Vare].&amp;[185042 VÆR VILLSAU O-]" c="185042 VÆR VILLSAU O-"/>
        <s v="[Vare].[Avregningstype hierarki].[Vare].&amp;[185044 VÆR ØKOLOGISK O-]" c="185044 VÆR ØKOLOGISK O-"/>
        <s v="[Vare].[Avregningstype hierarki].[Vare].&amp;[185050 VÆR O]" c="185050 VÆR O"/>
        <s v="[Vare].[Avregningstype hierarki].[Vare].&amp;[185052 VÆR VILLSAU O]" c="185052 VÆR VILLSAU O"/>
        <s v="[Vare].[Avregningstype hierarki].[Vare].&amp;[185054 VÆR ØKOLOGISK O]" c="185054 VÆR ØKOLOGISK O"/>
        <s v="[Vare].[Avregningstype hierarki].[Vare].&amp;[185060 VÆR O+]" c="185060 VÆR O+"/>
        <s v="[Vare].[Avregningstype hierarki].[Vare].&amp;[185062 VÆR VILLSAU O+]" c="185062 VÆR VILLSAU O+"/>
        <s v="[Vare].[Avregningstype hierarki].[Vare].&amp;[185064 VÆR ØKOLOGISK O+]" c="185064 VÆR ØKOLOGISK O+"/>
        <s v="[Vare].[Avregningstype hierarki].[Vare].&amp;[185070 VÆR R-]" c="185070 VÆR R-"/>
        <s v="[Vare].[Avregningstype hierarki].[Vare].&amp;[185072 VÆR VILLSAU R-]" c="185072 VÆR VILLSAU R-"/>
        <s v="[Vare].[Avregningstype hierarki].[Vare].&amp;[185074 VÆR ØKOLOGISK R-]" c="185074 VÆR ØKOLOGISK R-"/>
        <s v="[Vare].[Avregningstype hierarki].[Vare].&amp;[185080 VÆR R]" c="185080 VÆR R"/>
        <s v="[Vare].[Avregningstype hierarki].[Vare].&amp;[185082 VÆR VILLSAU R]" c="185082 VÆR VILLSAU R"/>
        <s v="[Vare].[Avregningstype hierarki].[Vare].&amp;[185084 VÆR ØKOLOGISK R]" c="185084 VÆR ØKOLOGISK R"/>
        <s v="[Vare].[Avregningstype hierarki].[Vare].&amp;[185090 VÆR R+]" c="185090 VÆR R+"/>
        <s v="[Vare].[Avregningstype hierarki].[Vare].&amp;[185092 VÆR VILLSAU R+]" c="185092 VÆR VILLSAU R+"/>
        <s v="[Vare].[Avregningstype hierarki].[Vare].&amp;[185094 VÆR ØKOLOGISK R+]" c="185094 VÆR ØKOLOGISK R+"/>
        <s v="[Vare].[Avregningstype hierarki].[Vare].&amp;[185100 VÆR U-]" c="185100 VÆR U-"/>
        <s v="[Vare].[Avregningstype hierarki].[Vare].&amp;[185104 VÆR ØKOLOGISK U-]" c="185104 VÆR ØKOLOGISK U-"/>
        <s v="[Vare].[Avregningstype hierarki].[Vare].&amp;[185110 VÆR U]" c="185110 VÆR U"/>
        <s v="[Vare].[Avregningstype hierarki].[Vare].&amp;[185114 VÆR ØKOLOGISK U]" c="185114 VÆR ØKOLOGISK U"/>
        <s v="[Vare].[Avregningstype hierarki].[Vare].&amp;[185120 VÆR U+]" c="185120 VÆR U+"/>
        <s v="[Vare].[Avregningstype hierarki].[Vare].&amp;[185124 VÆR ØKOLOGISK U+]" c="185124 VÆR ØKOLOGISK U+"/>
        <s v="[Vare].[Avregningstype hierarki].[Vare].&amp;[185130 VÆR E-]" c="185130 VÆR E-"/>
        <s v="[Vare].[Avregningstype hierarki].[Vare].&amp;[185134 VÆR ØKOLOGISK E-]" c="185134 VÆR ØKOLOGISK E-"/>
        <s v="[Vare].[Avregningstype hierarki].[Vare].&amp;[185140 VÆR E]" c="185140 VÆR E"/>
        <s v="[Vare].[Avregningstype hierarki].[Vare].&amp;[185150 VÆR E+]" c="185150 VÆR E+"/>
        <s v="[Vare].[Avregningstype hierarki].[Vare].&amp;[185750 VÆR DØD FJØS]" c="185750 VÆR DØD FJØS"/>
        <s v="[Vare].[Avregningstype hierarki].[Vare].&amp;[185751 VÆR NØDAVLIVET FJØS]" c="185751 VÆR NØDAVLIVET FJØS"/>
        <s v="[Vare].[Avregningstype hierarki].[Vare].&amp;[185760 VÆR DØD TRANSPORT]" c="185760 VÆR DØD TRANSPORT"/>
        <s v="[Vare].[Avregningstype hierarki].[Vare].&amp;[185990 VÆR KASSERT]" c="185990 VÆR KASSERT"/>
        <s v="[Vare].[Avregningstype hierarki].[Vare].&amp;[185994 VÆR KASSERT ERSTATTET]" c="185994 VÆR KASSERT ERSTATTET"/>
        <s v="[Vare].[Avregningstype hierarki].[Vare].&amp;[186010 GEIT P-]" c="186010 GEIT P-"/>
        <s v="[Vare].[Avregningstype hierarki].[Vare].&amp;[186014 GEIT ØKOLOGISK P-]" c="186014 GEIT ØKOLOGISK P-"/>
        <s v="[Vare].[Avregningstype hierarki].[Vare].&amp;[186020 GEIT P]" c="186020 GEIT P"/>
        <s v="[Vare].[Avregningstype hierarki].[Vare].&amp;[186030 GEIT P+]" c="186030 GEIT P+"/>
        <s v="[Vare].[Avregningstype hierarki].[Vare].&amp;[186034 GEIT ØKOLOGISK P+]" c="186034 GEIT ØKOLOGISK P+"/>
        <s v="[Vare].[Avregningstype hierarki].[Vare].&amp;[186040 GEIT O-]" c="186040 GEIT O-"/>
        <s v="[Vare].[Avregningstype hierarki].[Vare].&amp;[186044 GEIT ØKOLOGISK O-]" c="186044 GEIT ØKOLOGISK O-"/>
        <s v="[Vare].[Avregningstype hierarki].[Vare].&amp;[186050 GEIT O]" c="186050 GEIT O"/>
        <s v="[Vare].[Avregningstype hierarki].[Vare].&amp;[186054 GEIT ØKOLOGISK O]" c="186054 GEIT ØKOLOGISK O"/>
        <s v="[Vare].[Avregningstype hierarki].[Vare].&amp;[186060 GEIT O+]" c="186060 GEIT O+"/>
        <s v="[Vare].[Avregningstype hierarki].[Vare].&amp;[186064 GEIT ØKOLOGISK O+]" c="186064 GEIT ØKOLOGISK O+"/>
        <s v="[Vare].[Avregningstype hierarki].[Vare].&amp;[186080 GEIT R]" c="186080 GEIT R"/>
        <s v="[Vare].[Avregningstype hierarki].[Vare].&amp;[186084 GEIT ØKOLOGISK R]" c="186084 GEIT ØKOLOGISK R"/>
        <s v="[Vare].[Avregningstype hierarki].[Vare].&amp;[186110 GEIT U]" c="186110 GEIT U"/>
        <s v="[Vare].[Avregningstype hierarki].[Vare].&amp;[186751 GEIT NØDAVLIVET FJØS]" c="186751 GEIT NØDAVLIVET FJØS"/>
        <s v="[Vare].[Avregningstype hierarki].[Vare].&amp;[186760 GEIT DØD TRANSPORT]" c="186760 GEIT DØD TRANSPORT"/>
        <s v="[Vare].[Avregningstype hierarki].[Vare].&amp;[186990 GEIT KASSERT]" c="186990 GEIT KASSERT"/>
        <s v="[Vare].[Avregningstype hierarki].[Vare].&amp;[186994 GEIT KASSERT ERSTATTET]" c="186994 GEIT KASSERT ERSTATTET"/>
        <s v="[Vare].[Avregningstype hierarki].[Vare].&amp;[187010 KJE P-]" c="187010 KJE P-"/>
        <s v="[Vare].[Avregningstype hierarki].[Vare].&amp;[187014 KJE ØKOLOGISK P-]" c="187014 KJE ØKOLOGISK P-"/>
        <s v="[Vare].[Avregningstype hierarki].[Vare].&amp;[187020 KJE P]" c="187020 KJE P"/>
        <s v="[Vare].[Avregningstype hierarki].[Vare].&amp;[187024 KJE ØKOLOGISK P]" c="187024 KJE ØKOLOGISK P"/>
        <s v="[Vare].[Avregningstype hierarki].[Vare].&amp;[187030 KJE P+]" c="187030 KJE P+"/>
        <s v="[Vare].[Avregningstype hierarki].[Vare].&amp;[187034 KJE ØKOLOGISK P+]" c="187034 KJE ØKOLOGISK P+"/>
        <s v="[Vare].[Avregningstype hierarki].[Vare].&amp;[187040 KJE O-]" c="187040 KJE O-"/>
        <s v="[Vare].[Avregningstype hierarki].[Vare].&amp;[187044 KJE ØKOLOGISK O-]" c="187044 KJE ØKOLOGISK O-"/>
        <s v="[Vare].[Avregningstype hierarki].[Vare].&amp;[187050 KJE O]" c="187050 KJE O"/>
        <s v="[Vare].[Avregningstype hierarki].[Vare].&amp;[187054 KJE ØKOLOGISK O]" c="187054 KJE ØKOLOGISK O"/>
        <s v="[Vare].[Avregningstype hierarki].[Vare].&amp;[187060 KJE O+]" c="187060 KJE O+"/>
        <s v="[Vare].[Avregningstype hierarki].[Vare].&amp;[187064 KJE ØKOLOGISK O+]" c="187064 KJE ØKOLOGISK O+"/>
        <s v="[Vare].[Avregningstype hierarki].[Vare].&amp;[187080 KJE R]" c="187080 KJE R"/>
        <s v="[Vare].[Avregningstype hierarki].[Vare].&amp;[187084 KJE ØKOLOGISK R]" c="187084 KJE ØKOLOGISK R"/>
        <s v="[Vare].[Avregningstype hierarki].[Vare].&amp;[187110 KJE U]" c="187110 KJE U"/>
        <s v="[Vare].[Avregningstype hierarki].[Vare].&amp;[187750 KJE DØD FJØS]" c="187750 KJE DØD FJØS"/>
        <s v="[Vare].[Avregningstype hierarki].[Vare].&amp;[187751 KJE NØDAVLIVET FJØS]" c="187751 KJE NØDAVLIVET FJØS"/>
        <s v="[Vare].[Avregningstype hierarki].[Vare].&amp;[187760 KJE DØD TRANSPORT]" c="187760 KJE DØD TRANSPORT"/>
        <s v="[Vare].[Avregningstype hierarki].[Vare].&amp;[187990 KJE KASSERT]" c="187990 KJE KASSERT"/>
        <s v="[Vare].[Avregningstype hierarki].[Vare].&amp;[187994 KJE KASSERT ERSTATTET]" c="187994 KJE KASSERT ERSTATTET"/>
        <s v="[Vare].[Avregningstype hierarki].[Vare].&amp;[160010 KALV P-]" c="160010 KALV P-"/>
        <s v="[Vare].[Avregningstype hierarki].[Vare].&amp;[160014 KALV ØKOLOGISK P-]" c="160014 KALV ØKOLOGISK P-"/>
        <s v="[Vare].[Avregningstype hierarki].[Vare].&amp;[160017 KALV NØDSLAKT P-]" c="160017 KALV NØDSLAKT P-"/>
        <s v="[Vare].[Avregningstype hierarki].[Vare].&amp;[160020 KALV P]" c="160020 KALV P"/>
        <s v="[Vare].[Avregningstype hierarki].[Vare].&amp;[160024 KALV ØKOLOGISK P]" c="160024 KALV ØKOLOGISK P"/>
        <s v="[Vare].[Avregningstype hierarki].[Vare].&amp;[160027 KALV NØDSLAKT P]" c="160027 KALV NØDSLAKT P"/>
        <s v="[Vare].[Avregningstype hierarki].[Vare].&amp;[160030 KALV P+]" c="160030 KALV P+"/>
        <s v="[Vare].[Avregningstype hierarki].[Vare].&amp;[160034 KALV ØKOLOGISK P+]" c="160034 KALV ØKOLOGISK P+"/>
        <s v="[Vare].[Avregningstype hierarki].[Vare].&amp;[160037 KALV NØDSLAKT P+]" c="160037 KALV NØDSLAKT P+"/>
        <s v="[Vare].[Avregningstype hierarki].[Vare].&amp;[160040 KALV O-]" c="160040 KALV O-"/>
        <s v="[Vare].[Avregningstype hierarki].[Vare].&amp;[160044 KALV ØKOLOGISK O-]" c="160044 KALV ØKOLOGISK O-"/>
        <s v="[Vare].[Avregningstype hierarki].[Vare].&amp;[160047 KALV NØDSLAKT O-]" c="160047 KALV NØDSLAKT O-"/>
        <s v="[Vare].[Avregningstype hierarki].[Vare].&amp;[160049 KALV SPESIAL O-]" c="160049 KALV SPESIAL O-"/>
        <s v="[Vare].[Avregningstype hierarki].[Vare].&amp;[160050 KALV O]" c="160050 KALV O"/>
        <s v="[Vare].[Avregningstype hierarki].[Vare].&amp;[160054 KALV ØKOLOGISK O]" c="160054 KALV ØKOLOGISK O"/>
        <s v="[Vare].[Avregningstype hierarki].[Vare].&amp;[160057 KALV NØDSLAKT O]" c="160057 KALV NØDSLAKT O"/>
        <s v="[Vare].[Avregningstype hierarki].[Vare].&amp;[160059 KALV SPESIAL O]" c="160059 KALV SPESIAL O"/>
        <s v="[Vare].[Avregningstype hierarki].[Vare].&amp;[160060 KALV O+]" c="160060 KALV O+"/>
        <s v="[Vare].[Avregningstype hierarki].[Vare].&amp;[160064 KALV ØKOLOGISK O+]" c="160064 KALV ØKOLOGISK O+"/>
        <s v="[Vare].[Avregningstype hierarki].[Vare].&amp;[160067 KALV NØDSLAKT O+]" c="160067 KALV NØDSLAKT O+"/>
        <s v="[Vare].[Avregningstype hierarki].[Vare].&amp;[160069 KALV SPESIAL O+]" c="160069 KALV SPESIAL O+"/>
        <s v="[Vare].[Avregningstype hierarki].[Vare].&amp;[160070 KALV R-]" c="160070 KALV R-"/>
        <s v="[Vare].[Avregningstype hierarki].[Vare].&amp;[160074 KALV ØKOLOGISK R-]" c="160074 KALV ØKOLOGISK R-"/>
        <s v="[Vare].[Avregningstype hierarki].[Vare].&amp;[160077 KALV NØDSLAKT R-]" c="160077 KALV NØDSLAKT R-"/>
        <s v="[Vare].[Avregningstype hierarki].[Vare].&amp;[160079 KALV SPESIAL R-]" c="160079 KALV SPESIAL R-"/>
        <s v="[Vare].[Avregningstype hierarki].[Vare].&amp;[160080 KALV R]" c="160080 KALV R"/>
        <s v="[Vare].[Avregningstype hierarki].[Vare].&amp;[160084 KALV ØKOLOGISK R]" c="160084 KALV ØKOLOGISK R"/>
        <s v="[Vare].[Avregningstype hierarki].[Vare].&amp;[160087 KALV NØDSLAKT R]" c="160087 KALV NØDSLAKT R"/>
        <s v="[Vare].[Avregningstype hierarki].[Vare].&amp;[160089 KALV SPESIAL R]" c="160089 KALV SPESIAL R"/>
        <s v="[Vare].[Avregningstype hierarki].[Vare].&amp;[160090 KALV R+]" c="160090 KALV R+"/>
        <s v="[Vare].[Avregningstype hierarki].[Vare].&amp;[160094 KALV ØKOLOGISK R+]" c="160094 KALV ØKOLOGISK R+"/>
        <s v="[Vare].[Avregningstype hierarki].[Vare].&amp;[160097 KALV NØDSLAKT R+]" c="160097 KALV NØDSLAKT R+"/>
        <s v="[Vare].[Avregningstype hierarki].[Vare].&amp;[160099 KALV SPESIAL R+]" c="160099 KALV SPESIAL R+"/>
        <s v="[Vare].[Avregningstype hierarki].[Vare].&amp;[160100 KALV U-]" c="160100 KALV U-"/>
        <s v="[Vare].[Avregningstype hierarki].[Vare].&amp;[160107 KALV NØDSLAKT U-]" c="160107 KALV NØDSLAKT U-"/>
        <s v="[Vare].[Avregningstype hierarki].[Vare].&amp;[160109 KALV SPESIAL U-]" c="160109 KALV SPESIAL U-"/>
        <s v="[Vare].[Avregningstype hierarki].[Vare].&amp;[160110 KALV U]" c="160110 KALV U"/>
        <s v="[Vare].[Avregningstype hierarki].[Vare].&amp;[160117 KALV NØDSLAKT U]" c="160117 KALV NØDSLAKT U"/>
        <s v="[Vare].[Avregningstype hierarki].[Vare].&amp;[160120 KALV U+]" c="160120 KALV U+"/>
        <s v="[Vare].[Avregningstype hierarki].[Vare].&amp;[160139 KALV SPESIAL E-]" c="160139 KALV SPESIAL E-"/>
        <s v="[Vare].[Avregningstype hierarki].[Vare].&amp;[160751 KALV NØDAVLIVET FJØS]" c="160751 KALV NØDAVLIVET FJØS"/>
        <s v="[Vare].[Avregningstype hierarki].[Vare].&amp;[160761 KALV NØDAVLIVET TRANSPORT]" c="160761 KALV NØDAVLIVET TRANSPORT"/>
        <s v="[Vare].[Avregningstype hierarki].[Vare].&amp;[160990 KALV KASSERT]" c="160990 KALV KASSERT"/>
        <s v="[Vare].[Avregningstype hierarki].[Vare].&amp;[162010 UNG OKSE P-]" c="162010 UNG OKSE P-"/>
        <s v="[Vare].[Avregningstype hierarki].[Vare].&amp;[162017 UNG OKSE NØDSLAKT P-]" c="162017 UNG OKSE NØDSLAKT P-"/>
        <s v="[Vare].[Avregningstype hierarki].[Vare].&amp;[162020 UNG OKSE P]" c="162020 UNG OKSE P"/>
        <s v="[Vare].[Avregningstype hierarki].[Vare].&amp;[162024 UNG OKSE ØKOLOGISK P]" c="162024 UNG OKSE ØKOLOGISK P"/>
        <s v="[Vare].[Avregningstype hierarki].[Vare].&amp;[162027 UNG OKSE NØDSLAKT P]" c="162027 UNG OKSE NØDSLAKT P"/>
        <s v="[Vare].[Avregningstype hierarki].[Vare].&amp;[162030 UNG OKSE P+]" c="162030 UNG OKSE P+"/>
        <s v="[Vare].[Avregningstype hierarki].[Vare].&amp;[162034 UNG OKSE ØKOLOGISK P+]" c="162034 UNG OKSE ØKOLOGISK P+"/>
        <s v="[Vare].[Avregningstype hierarki].[Vare].&amp;[162037 UNG OKSE NØDSLAKT P+]" c="162037 UNG OKSE NØDSLAKT P+"/>
        <s v="[Vare].[Avregningstype hierarki].[Vare].&amp;[162040 UNG OKSE O-]" c="162040 UNG OKSE O-"/>
        <s v="[Vare].[Avregningstype hierarki].[Vare].&amp;[162044 UNG OKSE ØKOLOGISK O-]" c="162044 UNG OKSE ØKOLOGISK O-"/>
        <s v="[Vare].[Avregningstype hierarki].[Vare].&amp;[162047 UNG OKSE NØDSLAKT O-]" c="162047 UNG OKSE NØDSLAKT O-"/>
        <s v="[Vare].[Avregningstype hierarki].[Vare].&amp;[162049 UNG OKSE SPESIAL O-]" c="162049 UNG OKSE SPESIAL O-"/>
        <s v="[Vare].[Avregningstype hierarki].[Vare].&amp;[162050 UNG OKSE O]" c="162050 UNG OKSE O"/>
        <s v="[Vare].[Avregningstype hierarki].[Vare].&amp;[162054 UNG OKSE ØKOLOGISK O]" c="162054 UNG OKSE ØKOLOGISK O"/>
        <s v="[Vare].[Avregningstype hierarki].[Vare].&amp;[162057 UNG OKSE NØDSLAKT O]" c="162057 UNG OKSE NØDSLAKT O"/>
        <s v="[Vare].[Avregningstype hierarki].[Vare].&amp;[162059 UNG OKSE SPESIAL O]" c="162059 UNG OKSE SPESIAL O"/>
        <s v="[Vare].[Avregningstype hierarki].[Vare].&amp;[162060 UNG OKSE O+]" c="162060 UNG OKSE O+"/>
        <s v="[Vare].[Avregningstype hierarki].[Vare].&amp;[162064 UNG OKSE ØKOLOGISK O+]" c="162064 UNG OKSE ØKOLOGISK O+"/>
        <s v="[Vare].[Avregningstype hierarki].[Vare].&amp;[162067 UNG OKSE NØDSLAKT O+]" c="162067 UNG OKSE NØDSLAKT O+"/>
        <s v="[Vare].[Avregningstype hierarki].[Vare].&amp;[162069 UNG OKSE SPESIAL O+]" c="162069 UNG OKSE SPESIAL O+"/>
        <s v="[Vare].[Avregningstype hierarki].[Vare].&amp;[162070 UNG OKSE R-]" c="162070 UNG OKSE R-"/>
        <s v="[Vare].[Avregningstype hierarki].[Vare].&amp;[162074 UNG OKSE ØKOLOGISK R-]" c="162074 UNG OKSE ØKOLOGISK R-"/>
        <s v="[Vare].[Avregningstype hierarki].[Vare].&amp;[162077 UNG OKSE NØDSLAKT R-]" c="162077 UNG OKSE NØDSLAKT R-"/>
        <s v="[Vare].[Avregningstype hierarki].[Vare].&amp;[162079 UNG OKSE SPESIAL R-]" c="162079 UNG OKSE SPESIAL R-"/>
        <s v="[Vare].[Avregningstype hierarki].[Vare].&amp;[162080 UNG OKSE R]" c="162080 UNG OKSE R"/>
        <s v="[Vare].[Avregningstype hierarki].[Vare].&amp;[162084 UNG OKSE ØKOLOGISK R]" c="162084 UNG OKSE ØKOLOGISK R"/>
        <s v="[Vare].[Avregningstype hierarki].[Vare].&amp;[162087 UNG OKSE NØDSLAKT R]" c="162087 UNG OKSE NØDSLAKT R"/>
        <s v="[Vare].[Avregningstype hierarki].[Vare].&amp;[162089 UNG OKSE SPESIAL R]" c="162089 UNG OKSE SPESIAL R"/>
        <s v="[Vare].[Avregningstype hierarki].[Vare].&amp;[162090 UNG OKSE R+]" c="162090 UNG OKSE R+"/>
        <s v="[Vare].[Avregningstype hierarki].[Vare].&amp;[162094 UNG OKSE ØKOLOGISK R+]" c="162094 UNG OKSE ØKOLOGISK R+"/>
        <s v="[Vare].[Avregningstype hierarki].[Vare].&amp;[162097 UNG OKSE NØDSLAKT R+]" c="162097 UNG OKSE NØDSLAKT R+"/>
        <s v="[Vare].[Avregningstype hierarki].[Vare].&amp;[162099 UNG OKSE SPESIAL R+]" c="162099 UNG OKSE SPESIAL R+"/>
        <s v="[Vare].[Avregningstype hierarki].[Vare].&amp;[162100 UNG OKSE U-]" c="162100 UNG OKSE U-"/>
        <s v="[Vare].[Avregningstype hierarki].[Vare].&amp;[162104 UNG OKSE ØKOLOGISK U-]" c="162104 UNG OKSE ØKOLOGISK U-"/>
        <s v="[Vare].[Avregningstype hierarki].[Vare].&amp;[162107 UNG OKSE NØDSLAKT U-]" c="162107 UNG OKSE NØDSLAKT U-"/>
        <s v="[Vare].[Avregningstype hierarki].[Vare].&amp;[162109 UNG OKSE SPESIAL U-]" c="162109 UNG OKSE SPESIAL U-"/>
        <s v="[Vare].[Avregningstype hierarki].[Vare].&amp;[162110 UNG OKSE U]" c="162110 UNG OKSE U"/>
        <s v="[Vare].[Avregningstype hierarki].[Vare].&amp;[162114 UNG OKSE ØKOLOGISK U]" c="162114 UNG OKSE ØKOLOGISK U"/>
        <s v="[Vare].[Avregningstype hierarki].[Vare].&amp;[162117 UNG OKSE NØDSLAKT U]" c="162117 UNG OKSE NØDSLAKT U"/>
        <s v="[Vare].[Avregningstype hierarki].[Vare].&amp;[162119 UNG OKSE SPESIAL U]" c="162119 UNG OKSE SPESIAL U"/>
        <s v="[Vare].[Avregningstype hierarki].[Vare].&amp;[162120 UNG OKSE U+]" c="162120 UNG OKSE U+"/>
        <s v="[Vare].[Avregningstype hierarki].[Vare].&amp;[162124 UNG OKSE ØKOLOGISK U+]" c="162124 UNG OKSE ØKOLOGISK U+"/>
        <s v="[Vare].[Avregningstype hierarki].[Vare].&amp;[162127 UNG OKSE NØDSLAKT U+]" c="162127 UNG OKSE NØDSLAKT U+"/>
        <s v="[Vare].[Avregningstype hierarki].[Vare].&amp;[162129 UNG OKSE SPESIAL U+]" c="162129 UNG OKSE SPESIAL U+"/>
        <s v="[Vare].[Avregningstype hierarki].[Vare].&amp;[162130 UNG OKSE E-]" c="162130 UNG OKSE E-"/>
        <s v="[Vare].[Avregningstype hierarki].[Vare].&amp;[162139 UNG OKSE SPESIAL E-]" c="162139 UNG OKSE SPESIAL E-"/>
        <s v="[Vare].[Avregningstype hierarki].[Vare].&amp;[162140 UNG OKSE E]" c="162140 UNG OKSE E"/>
        <s v="[Vare].[Avregningstype hierarki].[Vare].&amp;[162144 UNG OKSE ØKOLOGISK E]" c="162144 UNG OKSE ØKOLOGISK E"/>
        <s v="[Vare].[Avregningstype hierarki].[Vare].&amp;[162149 UNG OKSE SPESIAL E]" c="162149 UNG OKSE SPESIAL E"/>
        <s v="[Vare].[Avregningstype hierarki].[Vare].&amp;[162157 UNG OKSE NØDSLAKT E+]" c="162157 UNG OKSE NØDSLAKT E+"/>
        <s v="[Vare].[Avregningstype hierarki].[Vare].&amp;[162750 UNG OKSE DØD FJØS]" c="162750 UNG OKSE DØD FJØS"/>
        <s v="[Vare].[Avregningstype hierarki].[Vare].&amp;[162751 UNG OKSE NØDAVLIVET FJØS]" c="162751 UNG OKSE NØDAVLIVET FJØS"/>
        <s v="[Vare].[Avregningstype hierarki].[Vare].&amp;[162800 UNG OKSE BAKPART PRISTILLEGG]" c="162800 UNG OKSE BAKPART PRISTILLEGG"/>
        <s v="[Vare].[Avregningstype hierarki].[Vare].&amp;[162990 UNG OKSE KASSERT]" c="162990 UNG OKSE KASSERT"/>
        <s v="[Vare].[Avregningstype hierarki].[Vare].&amp;[162994 UNG OKSE KASSERT ERSTATTET]" c="162994 UNG OKSE KASSERT ERSTATTET"/>
        <s v="[Vare].[Avregningstype hierarki].[Vare].&amp;[163010 OKSE P-]" c="163010 OKSE P-"/>
        <s v="[Vare].[Avregningstype hierarki].[Vare].&amp;[163020 OKSE P]" c="163020 OKSE P"/>
        <s v="[Vare].[Avregningstype hierarki].[Vare].&amp;[163030 OKSE P+]" c="163030 OKSE P+"/>
        <s v="[Vare].[Avregningstype hierarki].[Vare].&amp;[163034 OKSE ØKOLOGISK P+]" c="163034 OKSE ØKOLOGISK P+"/>
        <s v="[Vare].[Avregningstype hierarki].[Vare].&amp;[163037 OKSE NØDSLAKT P+]" c="163037 OKSE NØDSLAKT P+"/>
        <s v="[Vare].[Avregningstype hierarki].[Vare].&amp;[163040 OKSE O-]" c="163040 OKSE O-"/>
        <s v="[Vare].[Avregningstype hierarki].[Vare].&amp;[163044 OKSE ØKOLOGISK O-]" c="163044 OKSE ØKOLOGISK O-"/>
        <s v="[Vare].[Avregningstype hierarki].[Vare].&amp;[163047 OKSE NØDSLAKT O-]" c="163047 OKSE NØDSLAKT O-"/>
        <s v="[Vare].[Avregningstype hierarki].[Vare].&amp;[163050 OKSE O]" c="163050 OKSE O"/>
        <s v="[Vare].[Avregningstype hierarki].[Vare].&amp;[163054 OKSE ØKOLOGISK O]" c="163054 OKSE ØKOLOGISK O"/>
        <s v="[Vare].[Avregningstype hierarki].[Vare].&amp;[163057 OKSE NØDSLAKT O]" c="163057 OKSE NØDSLAKT O"/>
        <s v="[Vare].[Avregningstype hierarki].[Vare].&amp;[163060 OKSE O+]" c="163060 OKSE O+"/>
        <s v="[Vare].[Avregningstype hierarki].[Vare].&amp;[163064 OKSE ØKOLOGISK O+]" c="163064 OKSE ØKOLOGISK O+"/>
        <s v="[Vare].[Avregningstype hierarki].[Vare].&amp;[163067 OKSE NØDSLAKT O+]" c="163067 OKSE NØDSLAKT O+"/>
        <s v="[Vare].[Avregningstype hierarki].[Vare].&amp;[163069 OKSE SPESIAL O+]" c="163069 OKSE SPESIAL O+"/>
        <s v="[Vare].[Avregningstype hierarki].[Vare].&amp;[163070 OKSE R-]" c="163070 OKSE R-"/>
        <s v="[Vare].[Avregningstype hierarki].[Vare].&amp;[163074 OKSE ØKOLOGISK R-]" c="163074 OKSE ØKOLOGISK R-"/>
        <s v="[Vare].[Avregningstype hierarki].[Vare].&amp;[163077 OKSE NØDSLAKT R-]" c="163077 OKSE NØDSLAKT R-"/>
        <s v="[Vare].[Avregningstype hierarki].[Vare].&amp;[163080 OKSE R]" c="163080 OKSE R"/>
        <s v="[Vare].[Avregningstype hierarki].[Vare].&amp;[163084 OKSE ØKOLOGISK R]" c="163084 OKSE ØKOLOGISK R"/>
        <s v="[Vare].[Avregningstype hierarki].[Vare].&amp;[163087 OKSE NØDSLAKT R]" c="163087 OKSE NØDSLAKT R"/>
        <s v="[Vare].[Avregningstype hierarki].[Vare].&amp;[163090 OKSE R+]" c="163090 OKSE R+"/>
        <s v="[Vare].[Avregningstype hierarki].[Vare].&amp;[163094 OKSE ØKOLOGISK R+]" c="163094 OKSE ØKOLOGISK R+"/>
        <s v="[Vare].[Avregningstype hierarki].[Vare].&amp;[163097 OKSE NØDSLAKT R+]" c="163097 OKSE NØDSLAKT R+"/>
        <s v="[Vare].[Avregningstype hierarki].[Vare].&amp;[163100 OKSE U-]" c="163100 OKSE U-"/>
        <s v="[Vare].[Avregningstype hierarki].[Vare].&amp;[163107 OKSE NØDSLAKT U-]" c="163107 OKSE NØDSLAKT U-"/>
        <s v="[Vare].[Avregningstype hierarki].[Vare].&amp;[163109 OKSE SPESIAL U-]" c="163109 OKSE SPESIAL U-"/>
        <s v="[Vare].[Avregningstype hierarki].[Vare].&amp;[163110 OKSE U]" c="163110 OKSE U"/>
        <s v="[Vare].[Avregningstype hierarki].[Vare].&amp;[163117 OKSE NØDSLAKT U]" c="163117 OKSE NØDSLAKT U"/>
        <s v="[Vare].[Avregningstype hierarki].[Vare].&amp;[163119 OKSE SPESIAL U]" c="163119 OKSE SPESIAL U"/>
        <s v="[Vare].[Avregningstype hierarki].[Vare].&amp;[163120 OKSE U+]" c="163120 OKSE U+"/>
        <s v="[Vare].[Avregningstype hierarki].[Vare].&amp;[163130 OKSE E-]" c="163130 OKSE E-"/>
        <s v="[Vare].[Avregningstype hierarki].[Vare].&amp;[163139 OKSE SPESIAL E-]" c="163139 OKSE SPESIAL E-"/>
        <s v="[Vare].[Avregningstype hierarki].[Vare].&amp;[163140 OKSE E]" c="163140 OKSE E"/>
        <s v="[Vare].[Avregningstype hierarki].[Vare].&amp;[163150 OKSE E+]" c="163150 OKSE E+"/>
        <s v="[Vare].[Avregningstype hierarki].[Vare].&amp;[163800 OKSE BAKPART PRISTILLEGG]" c="163800 OKSE BAKPART PRISTILLEGG"/>
        <s v="[Vare].[Avregningstype hierarki].[Vare].&amp;[163990 OKSE KASSERT]" c="163990 OKSE KASSERT"/>
        <s v="[Vare].[Avregningstype hierarki].[Vare].&amp;[164010 KASTRAT P-]" c="164010 KASTRAT P-"/>
        <s v="[Vare].[Avregningstype hierarki].[Vare].&amp;[164020 KASTRAT P]" c="164020 KASTRAT P"/>
        <s v="[Vare].[Avregningstype hierarki].[Vare].&amp;[164024 KASTRAT ØKOLOGISK P]" c="164024 KASTRAT ØKOLOGISK P"/>
        <s v="[Vare].[Avregningstype hierarki].[Vare].&amp;[164030 KASTRAT P+]" c="164030 KASTRAT P+"/>
        <s v="[Vare].[Avregningstype hierarki].[Vare].&amp;[164034 KASTRAT ØKOLOGISK P+]" c="164034 KASTRAT ØKOLOGISK P+"/>
        <s v="[Vare].[Avregningstype hierarki].[Vare].&amp;[164040 KASTRAT O-]" c="164040 KASTRAT O-"/>
        <s v="[Vare].[Avregningstype hierarki].[Vare].&amp;[164044 KASTRAT ØKOLOGISK O-]" c="164044 KASTRAT ØKOLOGISK O-"/>
        <s v="[Vare].[Avregningstype hierarki].[Vare].&amp;[164047 KASTRAT NØDSLAKT O-]" c="164047 KASTRAT NØDSLAKT O-"/>
        <s v="[Vare].[Avregningstype hierarki].[Vare].&amp;[164050 KASTRAT O]" c="164050 KASTRAT O"/>
        <s v="[Vare].[Avregningstype hierarki].[Vare].&amp;[164054 KASTRAT ØKOLOGISK O]" c="164054 KASTRAT ØKOLOGISK O"/>
        <s v="[Vare].[Avregningstype hierarki].[Vare].&amp;[164060 KASTRAT O+]" c="164060 KASTRAT O+"/>
        <s v="[Vare].[Avregningstype hierarki].[Vare].&amp;[164064 KASTRAT ØKOLOGISK  O+]" c="164064 KASTRAT ØKOLOGISK  O+"/>
        <s v="[Vare].[Avregningstype hierarki].[Vare].&amp;[164067 KASTRAT NØDSLAKT O+]" c="164067 KASTRAT NØDSLAKT O+"/>
        <s v="[Vare].[Avregningstype hierarki].[Vare].&amp;[164069 KASTRAT SPESIAL O+]" c="164069 KASTRAT SPESIAL O+"/>
        <s v="[Vare].[Avregningstype hierarki].[Vare].&amp;[164070 KASTRAT R-]" c="164070 KASTRAT R-"/>
        <s v="[Vare].[Avregningstype hierarki].[Vare].&amp;[164074 KASTRAT ØKOLOGISK R-]" c="164074 KASTRAT ØKOLOGISK R-"/>
        <s v="[Vare].[Avregningstype hierarki].[Vare].&amp;[164079 KASTRAT SPESIAL R-]" c="164079 KASTRAT SPESIAL R-"/>
        <s v="[Vare].[Avregningstype hierarki].[Vare].&amp;[164080 KASTRAT R]" c="164080 KASTRAT R"/>
        <s v="[Vare].[Avregningstype hierarki].[Vare].&amp;[164084 KASTRAT ØKOLOGISK R]" c="164084 KASTRAT ØKOLOGISK R"/>
        <s v="[Vare].[Avregningstype hierarki].[Vare].&amp;[164089 KASTRAT SPESIAL R]" c="164089 KASTRAT SPESIAL R"/>
        <s v="[Vare].[Avregningstype hierarki].[Vare].&amp;[164090 KASTRAT R+]" c="164090 KASTRAT R+"/>
        <s v="[Vare].[Avregningstype hierarki].[Vare].&amp;[166010 KVIGE P-]" c="166010 KVIGE P-"/>
        <s v="[Vare].[Avregningstype hierarki].[Vare].&amp;[166014 KVIGE ØKOLOGISK P-]" c="166014 KVIGE ØKOLOGISK P-"/>
        <s v="[Vare].[Avregningstype hierarki].[Vare].&amp;[166017 KVIGE NØDSLAKT P-]" c="166017 KVIGE NØDSLAKT P-"/>
        <s v="[Vare].[Avregningstype hierarki].[Vare].&amp;[166020 KVIGE P]" c="166020 KVIGE P"/>
        <s v="[Vare].[Avregningstype hierarki].[Vare].&amp;[166024 KVIGE ØKOLOGISK P]" c="166024 KVIGE ØKOLOGISK P"/>
        <s v="[Vare].[Avregningstype hierarki].[Vare].&amp;[166027 KVIGE NØDSLAKT P]" c="166027 KVIGE NØDSLAKT P"/>
        <s v="[Vare].[Avregningstype hierarki].[Vare].&amp;[166030 KVIGE P+]" c="166030 KVIGE P+"/>
        <s v="[Vare].[Avregningstype hierarki].[Vare].&amp;[166034 KVIGE ØKOLOGISK P+]" c="166034 KVIGE ØKOLOGISK P+"/>
        <s v="[Vare].[Avregningstype hierarki].[Vare].&amp;[166037 KVIGE NØDSLAKT P+]" c="166037 KVIGE NØDSLAKT P+"/>
        <s v="[Vare].[Avregningstype hierarki].[Vare].&amp;[166040 KVIGE O-]" c="166040 KVIGE O-"/>
        <s v="[Vare].[Avregningstype hierarki].[Vare].&amp;[166044 KVIGE ØKOLOGISK O-]" c="166044 KVIGE ØKOLOGISK O-"/>
        <s v="[Vare].[Avregningstype hierarki].[Vare].&amp;[166047 KVIGE NØDSLAKT O-]" c="166047 KVIGE NØDSLAKT O-"/>
        <s v="[Vare].[Avregningstype hierarki].[Vare].&amp;[166050 KVIGE O]" c="166050 KVIGE O"/>
        <s v="[Vare].[Avregningstype hierarki].[Vare].&amp;[166054 KVIGE ØKOLOGISK O]" c="166054 KVIGE ØKOLOGISK O"/>
        <s v="[Vare].[Avregningstype hierarki].[Vare].&amp;[166057 KVIGE NØDSLAKT O]" c="166057 KVIGE NØDSLAKT O"/>
        <s v="[Vare].[Avregningstype hierarki].[Vare].&amp;[166059 KVIGE SPESIAL O]" c="166059 KVIGE SPESIAL O"/>
        <s v="[Vare].[Avregningstype hierarki].[Vare].&amp;[166060 KVIGE O+]" c="166060 KVIGE O+"/>
        <s v="[Vare].[Avregningstype hierarki].[Vare].&amp;[166064 KVIGE ØKOLOGISK O+]" c="166064 KVIGE ØKOLOGISK O+"/>
        <s v="[Vare].[Avregningstype hierarki].[Vare].&amp;[166067 KVIGE NØDSLAKT O+]" c="166067 KVIGE NØDSLAKT O+"/>
        <s v="[Vare].[Avregningstype hierarki].[Vare].&amp;[166069 KVIGE SPESIAL O+]" c="166069 KVIGE SPESIAL O+"/>
        <s v="[Vare].[Avregningstype hierarki].[Vare].&amp;[166070 KVIGE R-]" c="166070 KVIGE R-"/>
        <s v="[Vare].[Avregningstype hierarki].[Vare].&amp;[166074 KVIGE ØKOLOGISK R-]" c="166074 KVIGE ØKOLOGISK R-"/>
        <s v="[Vare].[Avregningstype hierarki].[Vare].&amp;[166077 KVIGE NØDSLAKT R-]" c="166077 KVIGE NØDSLAKT R-"/>
        <s v="[Vare].[Avregningstype hierarki].[Vare].&amp;[166079 KVIGE SPESIAL R-]" c="166079 KVIGE SPESIAL R-"/>
        <s v="[Vare].[Avregningstype hierarki].[Vare].&amp;[166080 KVIGE R]" c="166080 KVIGE R"/>
        <s v="[Vare].[Avregningstype hierarki].[Vare].&amp;[166084 KVIGE ØKOLOGISK R]" c="166084 KVIGE ØKOLOGISK R"/>
        <s v="[Vare].[Avregningstype hierarki].[Vare].&amp;[166087 KVIGE NØDSLAKT R]" c="166087 KVIGE NØDSLAKT R"/>
        <s v="[Vare].[Avregningstype hierarki].[Vare].&amp;[166089 KVIGE SPESIAL R]" c="166089 KVIGE SPESIAL R"/>
        <s v="[Vare].[Avregningstype hierarki].[Vare].&amp;[166090 KVIGE R+]" c="166090 KVIGE R+"/>
        <s v="[Vare].[Avregningstype hierarki].[Vare].&amp;[166094 KVIGE ØKOLOGISK R+]" c="166094 KVIGE ØKOLOGISK R+"/>
        <s v="[Vare].[Avregningstype hierarki].[Vare].&amp;[166097 KVIGE NØDSLAKT R+]" c="166097 KVIGE NØDSLAKT R+"/>
        <s v="[Vare].[Avregningstype hierarki].[Vare].&amp;[166099 KVIGE SPESIAL R+]" c="166099 KVIGE SPESIAL R+"/>
        <s v="[Vare].[Avregningstype hierarki].[Vare].&amp;[166100 KVIGE U-]" c="166100 KVIGE U-"/>
        <s v="[Vare].[Avregningstype hierarki].[Vare].&amp;[166107 KVIGE NØDSLAKT U-]" c="166107 KVIGE NØDSLAKT U-"/>
        <s v="[Vare].[Avregningstype hierarki].[Vare].&amp;[166109 KVIGE SPESIAL U-]" c="166109 KVIGE SPESIAL U-"/>
        <s v="[Vare].[Avregningstype hierarki].[Vare].&amp;[166110 KVIGE U]" c="166110 KVIGE U"/>
        <s v="[Vare].[Avregningstype hierarki].[Vare].&amp;[166117 KVIGE NØDSLAKT U]" c="166117 KVIGE NØDSLAKT U"/>
        <s v="[Vare].[Avregningstype hierarki].[Vare].&amp;[166119 KVIGE SPESIAL U]" c="166119 KVIGE SPESIAL U"/>
        <s v="[Vare].[Avregningstype hierarki].[Vare].&amp;[166120 KVIGE U+]" c="166120 KVIGE U+"/>
        <s v="[Vare].[Avregningstype hierarki].[Vare].&amp;[166129 KVIGE SPESIAL U+]" c="166129 KVIGE SPESIAL U+"/>
        <s v="[Vare].[Avregningstype hierarki].[Vare].&amp;[166139 KVIGE SPESIAL E-]" c="166139 KVIGE SPESIAL E-"/>
        <s v="[Vare].[Avregningstype hierarki].[Vare].&amp;[166149 KVIGE SPESIAL E]" c="166149 KVIGE SPESIAL E"/>
        <s v="[Vare].[Avregningstype hierarki].[Vare].&amp;[166800 KVIGE BAKPART PRISTILLEGG]" c="166800 KVIGE BAKPART PRISTILLEGG"/>
        <s v="[Vare].[Avregningstype hierarki].[Vare].&amp;[166990 KVIGE KASSERT]" c="166990 KVIGE KASSERT"/>
        <s v="[Vare].[Avregningstype hierarki].[Vare].&amp;[168010 UNG KU P-]" c="168010 UNG KU P-"/>
        <s v="[Vare].[Avregningstype hierarki].[Vare].&amp;[168014 UNG KU ØKOLOGISK P-]" c="168014 UNG KU ØKOLOGISK P-"/>
        <s v="[Vare].[Avregningstype hierarki].[Vare].&amp;[168017 UNG KU NØDSLAKT P-]" c="168017 UNG KU NØDSLAKT P-"/>
        <s v="[Vare].[Avregningstype hierarki].[Vare].&amp;[168020 UNG KU P]" c="168020 UNG KU P"/>
        <s v="[Vare].[Avregningstype hierarki].[Vare].&amp;[168024 UNG KU ØKOLOGISK P]" c="168024 UNG KU ØKOLOGISK P"/>
        <s v="[Vare].[Avregningstype hierarki].[Vare].&amp;[168027 UNG KU NØDSLAKT P]" c="168027 UNG KU NØDSLAKT P"/>
        <s v="[Vare].[Avregningstype hierarki].[Vare].&amp;[168030 UNG KU P+]" c="168030 UNG KU P+"/>
        <s v="[Vare].[Avregningstype hierarki].[Vare].&amp;[168034 UNG KU ØKOLOGISK P+]" c="168034 UNG KU ØKOLOGISK P+"/>
        <s v="[Vare].[Avregningstype hierarki].[Vare].&amp;[168037 UNG KU NØDSLAKT P+]" c="168037 UNG KU NØDSLAKT P+"/>
        <s v="[Vare].[Avregningstype hierarki].[Vare].&amp;[168040 UNG KU O-]" c="168040 UNG KU O-"/>
        <s v="[Vare].[Avregningstype hierarki].[Vare].&amp;[168044 UNG KU ØKOLOGISK O-]" c="168044 UNG KU ØKOLOGISK O-"/>
        <s v="[Vare].[Avregningstype hierarki].[Vare].&amp;[168047 UNG KU NØDSLAKT O-]" c="168047 UNG KU NØDSLAKT O-"/>
        <s v="[Vare].[Avregningstype hierarki].[Vare].&amp;[168050 UNG KU O]" c="168050 UNG KU O"/>
        <s v="[Vare].[Avregningstype hierarki].[Vare].&amp;[168054 UNG KU ØKOLOGISK O]" c="168054 UNG KU ØKOLOGISK O"/>
        <s v="[Vare].[Avregningstype hierarki].[Vare].&amp;[168057 UNG KU NØDSLAKT O]" c="168057 UNG KU NØDSLAKT O"/>
        <s v="[Vare].[Avregningstype hierarki].[Vare].&amp;[168059 UNG KU SPESIAL O]" c="168059 UNG KU SPESIAL O"/>
        <s v="[Vare].[Avregningstype hierarki].[Vare].&amp;[168060 UNG KU O+]" c="168060 UNG KU O+"/>
        <s v="[Vare].[Avregningstype hierarki].[Vare].&amp;[168064 UNG KU ØKOLOGISK O+]" c="168064 UNG KU ØKOLOGISK O+"/>
        <s v="[Vare].[Avregningstype hierarki].[Vare].&amp;[168067 UNG KU NØDSLAKT O+]" c="168067 UNG KU NØDSLAKT O+"/>
        <s v="[Vare].[Avregningstype hierarki].[Vare].&amp;[168069 UNG KU SPESIAL O+]" c="168069 UNG KU SPESIAL O+"/>
        <s v="[Vare].[Avregningstype hierarki].[Vare].&amp;[168070 UNG KU R-]" c="168070 UNG KU R-"/>
        <s v="[Vare].[Avregningstype hierarki].[Vare].&amp;[168074 UNG KU ØKOLOGISK R-]" c="168074 UNG KU ØKOLOGISK R-"/>
        <s v="[Vare].[Avregningstype hierarki].[Vare].&amp;[168077 UNG KU NØDSLAKT R-]" c="168077 UNG KU NØDSLAKT R-"/>
        <s v="[Vare].[Avregningstype hierarki].[Vare].&amp;[168079 UNG KU SPESIAL R-]" c="168079 UNG KU SPESIAL R-"/>
        <s v="[Vare].[Avregningstype hierarki].[Vare].&amp;[168080 UNG KU R]" c="168080 UNG KU R"/>
        <s v="[Vare].[Avregningstype hierarki].[Vare].&amp;[168084 UNG KU ØKOLOGISK R]" c="168084 UNG KU ØKOLOGISK R"/>
        <s v="[Vare].[Avregningstype hierarki].[Vare].&amp;[168087 UNG KU NØDSLAKT R]" c="168087 UNG KU NØDSLAKT R"/>
        <s v="[Vare].[Avregningstype hierarki].[Vare].&amp;[168089 UNG KU SPESIAL R]" c="168089 UNG KU SPESIAL R"/>
        <s v="[Vare].[Avregningstype hierarki].[Vare].&amp;[168090 UNG KU R+]" c="168090 UNG KU R+"/>
        <s v="[Vare].[Avregningstype hierarki].[Vare].&amp;[168094 UNG KU ØKOLOGISK R+]" c="168094 UNG KU ØKOLOGISK R+"/>
        <s v="[Vare].[Avregningstype hierarki].[Vare].&amp;[168097 UNG KU NØDSLAKT R+]" c="168097 UNG KU NØDSLAKT R+"/>
        <s v="[Vare].[Avregningstype hierarki].[Vare].&amp;[168099 UNG KU SPESIAL R+]" c="168099 UNG KU SPESIAL R+"/>
        <s v="[Vare].[Avregningstype hierarki].[Vare].&amp;[168100 UNG KU U-]" c="168100 UNG KU U-"/>
        <s v="[Vare].[Avregningstype hierarki].[Vare].&amp;[168104 UNG KU ØKOLOGISK U-]" c="168104 UNG KU ØKOLOGISK U-"/>
        <s v="[Vare].[Avregningstype hierarki].[Vare].&amp;[168107 UNG KU NØDSLAKT U-]" c="168107 UNG KU NØDSLAKT U-"/>
        <s v="[Vare].[Avregningstype hierarki].[Vare].&amp;[168109 UNG KU SPESIAL U-]" c="168109 UNG KU SPESIAL U-"/>
        <s v="[Vare].[Avregningstype hierarki].[Vare].&amp;[168110 UNG KU U]" c="168110 UNG KU U"/>
        <s v="[Vare].[Avregningstype hierarki].[Vare].&amp;[168117 UNG KU NØDSLAKT U]" c="168117 UNG KU NØDSLAKT U"/>
        <s v="[Vare].[Avregningstype hierarki].[Vare].&amp;[168119 UNG KU SPESIAL U]" c="168119 UNG KU SPESIAL U"/>
        <s v="[Vare].[Avregningstype hierarki].[Vare].&amp;[168120 UNG KU U+]" c="168120 UNG KU U+"/>
        <s v="[Vare].[Avregningstype hierarki].[Vare].&amp;[168127 UNG KU NØDSLAKT U+]" c="168127 UNG KU NØDSLAKT U+"/>
        <s v="[Vare].[Avregningstype hierarki].[Vare].&amp;[168129 UNG KU SPESIAL U+]" c="168129 UNG KU SPESIAL U+"/>
        <s v="[Vare].[Avregningstype hierarki].[Vare].&amp;[168139 UNG KU SPESIAL E-]" c="168139 UNG KU SPESIAL E-"/>
        <s v="[Vare].[Avregningstype hierarki].[Vare].&amp;[168751 UNG KU NØDAVLIVET FJØS]" c="168751 UNG KU NØDAVLIVET FJØS"/>
        <s v="[Vare].[Avregningstype hierarki].[Vare].&amp;[168760 UNG KU DØD TRANSPORT]" c="168760 UNG KU DØD TRANSPORT"/>
        <s v="[Vare].[Avregningstype hierarki].[Vare].&amp;[168761 UNG KU NØDAVLIVET TRANSPORT]" c="168761 UNG KU NØDAVLIVET TRANSPORT"/>
        <s v="[Vare].[Avregningstype hierarki].[Vare].&amp;[168990 UNG KU KASSERT]" c="168990 UNG KU KASSERT"/>
        <s v="[Vare].[Avregningstype hierarki].[Vare].&amp;[168994 UNG KU KASSERT ERSTATTET]" c="168994 UNG KU KASSERT ERSTATTET"/>
        <s v="[Vare].[Avregningstype hierarki].[Vare].&amp;[169010 KU P-]" c="169010 KU P-"/>
        <s v="[Vare].[Avregningstype hierarki].[Vare].&amp;[169014 KU ØKOLOGISK P-]" c="169014 KU ØKOLOGISK P-"/>
        <s v="[Vare].[Avregningstype hierarki].[Vare].&amp;[169017 KU NØDSLAKT P-]" c="169017 KU NØDSLAKT P-"/>
        <s v="[Vare].[Avregningstype hierarki].[Vare].&amp;[169020 KU P]" c="169020 KU P"/>
        <s v="[Vare].[Avregningstype hierarki].[Vare].&amp;[169024 KU ØKOLOGISK P]" c="169024 KU ØKOLOGISK P"/>
        <s v="[Vare].[Avregningstype hierarki].[Vare].&amp;[169027 KU NØDSLAKT P]" c="169027 KU NØDSLAKT P"/>
        <s v="[Vare].[Avregningstype hierarki].[Vare].&amp;[169030 KU P+]" c="169030 KU P+"/>
        <s v="[Vare].[Avregningstype hierarki].[Vare].&amp;[169034 KU ØKOLOGISK P+]" c="169034 KU ØKOLOGISK P+"/>
        <s v="[Vare].[Avregningstype hierarki].[Vare].&amp;[169037 KU NØDSLAKT P+]" c="169037 KU NØDSLAKT P+"/>
        <s v="[Vare].[Avregningstype hierarki].[Vare].&amp;[169039 KU SPESIAL P+]" c="169039 KU SPESIAL P+"/>
        <s v="[Vare].[Avregningstype hierarki].[Vare].&amp;[169040 KU O-]" c="169040 KU O-"/>
        <s v="[Vare].[Avregningstype hierarki].[Vare].&amp;[169044 KU ØKOLOGISK O-]" c="169044 KU ØKOLOGISK O-"/>
        <s v="[Vare].[Avregningstype hierarki].[Vare].&amp;[169047 KU NØDSLAKT O-]" c="169047 KU NØDSLAKT O-"/>
        <s v="[Vare].[Avregningstype hierarki].[Vare].&amp;[169050 KU O]" c="169050 KU O"/>
        <s v="[Vare].[Avregningstype hierarki].[Vare].&amp;[169054 KU ØKOLOGISK O]" c="169054 KU ØKOLOGISK O"/>
        <s v="[Vare].[Avregningstype hierarki].[Vare].&amp;[169057 KU NØDSLAKT O]" c="169057 KU NØDSLAKT O"/>
        <s v="[Vare].[Avregningstype hierarki].[Vare].&amp;[169060 KU O+]" c="169060 KU O+"/>
        <s v="[Vare].[Avregningstype hierarki].[Vare].&amp;[169064 KU ØKOLOGISK O+]" c="169064 KU ØKOLOGISK O+"/>
        <s v="[Vare].[Avregningstype hierarki].[Vare].&amp;[169067 KU NØDSLAKT O+]" c="169067 KU NØDSLAKT O+"/>
        <s v="[Vare].[Avregningstype hierarki].[Vare].&amp;[169069 KU SPESIAL O+]" c="169069 KU SPESIAL O+"/>
        <s v="[Vare].[Avregningstype hierarki].[Vare].&amp;[169070 KU R-]" c="169070 KU R-"/>
        <s v="[Vare].[Avregningstype hierarki].[Vare].&amp;[169074 KU ØKOLOGISK R-]" c="169074 KU ØKOLOGISK R-"/>
        <s v="[Vare].[Avregningstype hierarki].[Vare].&amp;[169077 KU NØDSLAKT R-]" c="169077 KU NØDSLAKT R-"/>
        <s v="[Vare].[Avregningstype hierarki].[Vare].&amp;[169079 KU SPESIAL R-]" c="169079 KU SPESIAL R-"/>
        <s v="[Vare].[Avregningstype hierarki].[Vare].&amp;[169080 KU R]" c="169080 KU R"/>
        <s v="[Vare].[Avregningstype hierarki].[Vare].&amp;[169084 KU ØKOLOGISK R]" c="169084 KU ØKOLOGISK R"/>
        <s v="[Vare].[Avregningstype hierarki].[Vare].&amp;[169087 KU NØDSLAKT R]" c="169087 KU NØDSLAKT R"/>
        <s v="[Vare].[Avregningstype hierarki].[Vare].&amp;[169089 KU SPESIAL R]" c="169089 KU SPESIAL R"/>
        <s v="[Vare].[Avregningstype hierarki].[Vare].&amp;[169090 KU R+]" c="169090 KU R+"/>
        <s v="[Vare].[Avregningstype hierarki].[Vare].&amp;[169094 KU ØKOLOGISK R+]" c="169094 KU ØKOLOGISK R+"/>
        <s v="[Vare].[Avregningstype hierarki].[Vare].&amp;[169097 KU NØDSLAKT R+]" c="169097 KU NØDSLAKT R+"/>
        <s v="[Vare].[Avregningstype hierarki].[Vare].&amp;[169100 KU U-]" c="169100 KU U-"/>
        <s v="[Vare].[Avregningstype hierarki].[Vare].&amp;[169104 KU ØKOLOGISK U-]" c="169104 KU ØKOLOGISK U-"/>
        <s v="[Vare].[Avregningstype hierarki].[Vare].&amp;[169107 KU NØDSLAKT U-]" c="169107 KU NØDSLAKT U-"/>
        <s v="[Vare].[Avregningstype hierarki].[Vare].&amp;[169110 KU U]" c="169110 KU U"/>
        <s v="[Vare].[Avregningstype hierarki].[Vare].&amp;[169117 KU NØDSLAKT U]" c="169117 KU NØDSLAKT U"/>
        <s v="[Vare].[Avregningstype hierarki].[Vare].&amp;[169120 KU U+]" c="169120 KU U+"/>
        <s v="[Vare].[Avregningstype hierarki].[Vare].&amp;[169127 KU NØDSLAKT U+]" c="169127 KU NØDSLAKT U+"/>
        <s v="[Vare].[Avregningstype hierarki].[Vare].&amp;[169750 KU DØD FJØS]" c="169750 KU DØD FJØS"/>
        <s v="[Vare].[Avregningstype hierarki].[Vare].&amp;[169751 KU NØDAVLIVET FJØS]" c="169751 KU NØDAVLIVET FJØS"/>
        <s v="[Vare].[Avregningstype hierarki].[Vare].&amp;[169760 KU DØD TRANSPORT]" c="169760 KU DØD TRANSPORT"/>
        <s v="[Vare].[Avregningstype hierarki].[Vare].&amp;[169761 KU NØDAVLIVET TRANSPORT]" c="169761 KU NØDAVLIVET TRANSPORT"/>
        <s v="[Vare].[Avregningstype hierarki].[Vare].&amp;[169990 KU KASSERT]" c="169990 KU KASSERT"/>
        <s v="[Vare].[Avregningstype hierarki].[Vare].&amp;[169994 KU KASSERT ERSTATTET]" c="169994 KU KASSERT ERSTATTET"/>
        <s v="[Vare].[Avregningstype hierarki].[Vare].&amp;[743000 IKKE KLIPT]" c="743000 IKKE KLIPT"/>
        <s v="[Vare].[Avregningstype hierarki].[Vare].&amp;[743010 A1 HVIT HELÅRSULL CROSSBR KL 1]" c="743010 A1 HVIT HELÅRSULL CROSSBR KL 1"/>
        <s v="[Vare].[Avregningstype hierarki].[Vare].&amp;[743110 B1 HVIT VÅRULL CROSSBR KL 1]" c="743110 B1 HVIT VÅRULL CROSSBR KL 1"/>
        <s v="[Vare].[Avregningstype hierarki].[Vare].&amp;[743120 B2 HVIT VÅRULL KL 2]" c="743120 B2 HVIT VÅRULL KL 2"/>
        <s v="[Vare].[Avregningstype hierarki].[Vare].&amp;[743210 C1 HVIT HØSTULL CROSSBR KL 1]" c="743210 C1 HVIT HØSTULL CROSSBR KL 1"/>
        <s v="[Vare].[Avregningstype hierarki].[Vare].&amp;[743220 C2 HVIT HØSTULL CROSSBR KL 2]" c="743220 C2 HVIT HØSTULL CROSSBR KL 2"/>
        <s v="[Vare].[Avregningstype hierarki].[Vare].&amp;[743250 C1S PIGMENTERT ULL CROSSB KL 1]" c="743250 C1S PIGMENTERT ULL CROSSB KL 1"/>
        <s v="[Vare].[Avregningstype hierarki].[Vare].&amp;[743260 C2S PIGMENTERT ULL KL 2]" c="743260 C2S PIGMENTERT ULL KL 2"/>
        <s v="[Vare].[Avregningstype hierarki].[Vare].&amp;[743261 C2S FRASORTERT ULL]" c="743261 C2S FRASORTERT ULL"/>
        <s v="[Vare].[Avregningstype hierarki].[Vare].&amp;[743310 C1 HVIT HØSTULL FIN  CROSSBR KL 1]" c="743310 C1 HVIT HØSTULL FIN  CROSSBR KL 1"/>
        <s v="[Vare].[Avregningstype hierarki].[Vare].&amp;[743410 F1 HVIT HØSTULL SPEL KL 1]" c="743410 F1 HVIT HØSTULL SPEL KL 1"/>
        <s v="[Vare].[Avregningstype hierarki].[Vare].&amp;[743420 F2 HVIT HØSTULL SPEL KL 2]" c="743420 F2 HVIT HØSTULL SPEL KL 2"/>
        <s v="[Vare].[Avregningstype hierarki].[Vare].&amp;[743450 F1S PIGM. HØSTULL SPEL KL 1]" c="743450 F1S PIGM. HØSTULL SPEL KL 1"/>
        <s v="[Vare].[Avregningstype hierarki].[Vare].&amp;[743480 F1P HØSTULL PELS KL 1]" c="743480 F1P HØSTULL PELS KL 1"/>
        <s v="[Vare].[Avregningstype hierarki].[Vare].&amp;[743510 G HVIT FILTRET/GROV ULL]" c="743510 G HVIT FILTRET/GROV ULL"/>
        <s v="[Vare].[Avregningstype hierarki].[Vare].&amp;[743610 H1 HV. HØST/HELÅR BUK/LÅR/HALE]" c="743610 H1 HV. HØST/HELÅR BUK/LÅR/HALE"/>
        <s v="[Vare].[Avregningstype hierarki].[Vare].&amp;[743620 H2 HVIT VÅRULL BUK/LÅR/HALE]" c="743620 H2 HVIT VÅRULL BUK/LÅR/HALE"/>
        <s v="[Vare].[Avregningstype hierarki].[Vare].&amp;[743651 H3 URINBRENT ULL]" c="743651 H3 URINBRENT ULL"/>
        <s v="[Vare].[Avregningstype hierarki].[Vare].&amp;[743910 V HVIT ULL MED VEGETABILER]" c="743910 V HVIT ULL MED VEGETABILER"/>
        <s v="[Vare].[Avregningstype hierarki].[Vare].&amp;[743990 ULL KASSERT]" c="743990 ULL KASSERT"/>
      </sharedItems>
    </cacheField>
    <cacheField name="[Vare].[Avregningstype hierarki].[Avregningsundertype].[Avregningstype]" caption="Avregningstype" propertyName="Avregningstype" numFmtId="0" hierarchy="206" level="2" memberPropertyField="1">
      <sharedItems containsSemiMixedTypes="0" containsString="0"/>
    </cacheField>
    <cacheField name="[Vare].[Avregningstype hierarki].[Vare].[Avregningsundertype]" caption="Avregningsundertype" propertyName="Avregningsundertype" numFmtId="0" hierarchy="206" level="3" memberPropertyField="1">
      <sharedItems containsSemiMixedTypes="0" containsString="0"/>
    </cacheField>
    <cacheField name="[Vare].[Avregningstype hierarki].[Vare].[Varevariant]" caption="Varevariant" propertyName="Varevariant" numFmtId="0" hierarchy="206" level="3" memberPropertyField="1">
      <sharedItems containsSemiMixedTypes="0" containsString="0"/>
    </cacheField>
    <cacheField name="[Vare].[Avregningsvarevariantkode].[Avregningsvarevariantkode]" caption="Avregningsvarevariantkode" numFmtId="0" hierarchy="271" level="1">
      <sharedItems containsSemiMixedTypes="0" containsString="0"/>
    </cacheField>
    <cacheField name="[Measures].[Antall]" caption="Antall" numFmtId="0" hierarchy="280" level="32767"/>
    <cacheField name="[Mottatt Periode].[Regnskaps År - Måned - Dag].[Regnskapsår]" caption="År mottatt (regnskap)" numFmtId="0" hierarchy="167" level="1">
      <sharedItems containsSemiMixedTypes="0" containsString="0"/>
    </cacheField>
    <cacheField name="[Mottatt Periode].[Regnskaps År - Måned - Dag].[RegnskapsKvartal]" caption="Kvartal/år mottatt (regnskap)" numFmtId="0" hierarchy="167" level="2">
      <sharedItems containsSemiMixedTypes="0" containsString="0"/>
    </cacheField>
    <cacheField name="[Mottatt Periode].[Regnskaps År - Måned - Dag].[Regnskapsmåned]" caption="Måned/år mottatt (regnskap)" numFmtId="0" hierarchy="167" level="3">
      <sharedItems containsSemiMixedTypes="0" containsString="0"/>
    </cacheField>
    <cacheField name="[Mottatt Periode].[Regnskaps År - Måned - Dag].[Regnskapsuke]" caption="Uke/År mottatt (regnskap)" numFmtId="0" hierarchy="167" level="4">
      <sharedItems containsSemiMixedTypes="0" containsString="0"/>
    </cacheField>
    <cacheField name="[Mottatt Periode].[Regnskaps År - Måned - Dag].[Dag]" caption="Dato mottatt" numFmtId="0" hierarchy="167" level="5">
      <sharedItems containsSemiMixedTypes="0" containsString="0"/>
    </cacheField>
    <cacheField name="[Mottatt Periode].[Regnskaps År - Måned - Dag].[RegnskapsKvartal].[Regnskapsår]" caption="År mottatt (regnskap)" propertyName="Regnskapsår" numFmtId="0" hierarchy="167" level="2" memberPropertyField="1">
      <sharedItems containsSemiMixedTypes="0" containsString="0"/>
    </cacheField>
    <cacheField name="[Mottatt Periode].[Regnskaps År - Måned - Dag].[Regnskapsmåned].[RegnskapsKvartal]" caption="Kvartal/år mottatt (regnskap)" propertyName="RegnskapsKvartal" numFmtId="0" hierarchy="167" level="3" memberPropertyField="1">
      <sharedItems containsSemiMixedTypes="0" containsString="0"/>
    </cacheField>
    <cacheField name="[Mottatt Periode].[Regnskaps År - Måned - Dag].[Regnskapsuke].[Regnskapsmåned]" caption="Måned/år mottatt (regnskap)" propertyName="Regnskapsmåned" numFmtId="0" hierarchy="167" level="4" memberPropertyField="1">
      <sharedItems containsSemiMixedTypes="0" containsString="0"/>
    </cacheField>
    <cacheField name="[Mottatt Periode].[Regnskaps År - Måned - Dag].[Dag].[Regnskapsuke]" caption="Uke/År mottatt (regnskap)" propertyName="Regnskapsuke" numFmtId="0" hierarchy="167" level="5" memberPropertyField="1">
      <sharedItems containsSemiMixedTypes="0" containsString="0"/>
    </cacheField>
    <cacheField name="[Vare].[Varevariantkode].[Varevariantkode]" caption="Varevariantkode" numFmtId="0" hierarchy="225" level="1">
      <sharedItems containsSemiMixedTypes="0" containsString="0"/>
    </cacheField>
    <cacheField name="[Leverandør].[Produsentgeografi].[Fylke]" caption="Fylke navn" numFmtId="0" hierarchy="132" level="1">
      <sharedItems containsSemiMixedTypes="0" containsString="0"/>
    </cacheField>
    <cacheField name="[Leverandør].[Produsentgeografi].[Kommune]" caption="Kommune navn" numFmtId="0" hierarchy="132" level="2">
      <sharedItems containsSemiMixedTypes="0" containsString="0"/>
    </cacheField>
    <cacheField name="[Leverandør].[Produsentgeografi].[Kommune].[Fylke]" caption="Fylke navn" propertyName="Fylke" numFmtId="0" hierarchy="132" level="2" memberPropertyField="1">
      <sharedItems containsSemiMixedTypes="0" containsString="0"/>
    </cacheField>
    <cacheField name="[Leverandør].[Kommunenr Navn].[Kommunenr Navn]" caption="Kommune" numFmtId="0" hierarchy="107" level="1">
      <sharedItems count="414">
        <s v="[Leverandør].[Kommunenr Navn].&amp;[0000 Ukjent]" c="0000 Ukjent"/>
        <s v="[Leverandør].[Kommunenr Navn].&amp;[0101 HALDEN]" c="0101 HALDEN"/>
        <s v="[Leverandør].[Kommunenr Navn].&amp;[0104 MOSS]" c="0104 MOSS"/>
        <s v="[Leverandør].[Kommunenr Navn].&amp;[0105 SARPSBORG]" c="0105 SARPSBORG"/>
        <s v="[Leverandør].[Kommunenr Navn].&amp;[0106 FREDRIKSTAD]" c="0106 FREDRIKSTAD"/>
        <s v="[Leverandør].[Kommunenr Navn].&amp;[0111 HVALER]" c="0111 HVALER"/>
        <s v="[Leverandør].[Kommunenr Navn].&amp;[0118 AREMARK]" c="0118 AREMARK"/>
        <s v="[Leverandør].[Kommunenr Navn].&amp;[0119 MARKER]" c="0119 MARKER"/>
        <s v="[Leverandør].[Kommunenr Navn].&amp;[0121 RØMSKOG]" c="0121 RØMSKOG"/>
        <s v="[Leverandør].[Kommunenr Navn].&amp;[0122 TRØGSTAD]" c="0122 TRØGSTAD"/>
        <s v="[Leverandør].[Kommunenr Navn].&amp;[0123 SPYDEBERG]" c="0123 SPYDEBERG"/>
        <s v="[Leverandør].[Kommunenr Navn].&amp;[0124 ASKIM]" c="0124 ASKIM"/>
        <s v="[Leverandør].[Kommunenr Navn].&amp;[0125 EIDSBERG]" c="0125 EIDSBERG"/>
        <s v="[Leverandør].[Kommunenr Navn].&amp;[0127 SKIPTVET]" c="0127 SKIPTVET"/>
        <s v="[Leverandør].[Kommunenr Navn].&amp;[0128 RAKKESTAD]" c="0128 RAKKESTAD"/>
        <s v="[Leverandør].[Kommunenr Navn].&amp;[0135 RÅDE]" c="0135 RÅDE"/>
        <s v="[Leverandør].[Kommunenr Navn].&amp;[0136 RYGGE]" c="0136 RYGGE"/>
        <s v="[Leverandør].[Kommunenr Navn].&amp;[0137 VÅLER I ØSTFOLD]" c="0137 VÅLER I ØSTFOLD"/>
        <s v="[Leverandør].[Kommunenr Navn].&amp;[0138 HOBØL]" c="0138 HOBØL"/>
        <s v="[Leverandør].[Kommunenr Navn].&amp;[0211 VESTBY]" c="0211 VESTBY"/>
        <s v="[Leverandør].[Kommunenr Navn].&amp;[0213 SKI]" c="0213 SKI"/>
        <s v="[Leverandør].[Kommunenr Navn].&amp;[0214 ÅS]" c="0214 ÅS"/>
        <s v="[Leverandør].[Kommunenr Navn].&amp;[0216 NESODDEN]" c="0216 NESODDEN"/>
        <s v="[Leverandør].[Kommunenr Navn].&amp;[0219 BÆRUM]" c="0219 BÆRUM"/>
        <s v="[Leverandør].[Kommunenr Navn].&amp;[0220 ASKER]" c="0220 ASKER"/>
        <s v="[Leverandør].[Kommunenr Navn].&amp;[0221 AURSKOG-HØLAND]" c="0221 AURSKOG-HØLAND"/>
        <s v="[Leverandør].[Kommunenr Navn].&amp;[0226 SØRUM]" c="0226 SØRUM"/>
        <s v="[Leverandør].[Kommunenr Navn].&amp;[0227 FET]" c="0227 FET"/>
        <s v="[Leverandør].[Kommunenr Navn].&amp;[0228 RÆLINGEN]" c="0228 RÆLINGEN"/>
        <s v="[Leverandør].[Kommunenr Navn].&amp;[0229 ENEBAKK]" c="0229 ENEBAKK"/>
        <s v="[Leverandør].[Kommunenr Navn].&amp;[0230 LØRENSKOG]" c="0230 LØRENSKOG"/>
        <s v="[Leverandør].[Kommunenr Navn].&amp;[0231 SKEDSMO]" c="0231 SKEDSMO"/>
        <s v="[Leverandør].[Kommunenr Navn].&amp;[0233 NITTEDAL]" c="0233 NITTEDAL"/>
        <s v="[Leverandør].[Kommunenr Navn].&amp;[0234 GJERDRUM]" c="0234 GJERDRUM"/>
        <s v="[Leverandør].[Kommunenr Navn].&amp;[0235 ULLENSAKER]" c="0235 ULLENSAKER"/>
        <s v="[Leverandør].[Kommunenr Navn].&amp;[0236 NES I AKERSHUS]" c="0236 NES I AKERSHUS"/>
        <s v="[Leverandør].[Kommunenr Navn].&amp;[0237 EIDSVOLL]" c="0237 EIDSVOLL"/>
        <s v="[Leverandør].[Kommunenr Navn].&amp;[0238 NANNESTAD]" c="0238 NANNESTAD"/>
        <s v="[Leverandør].[Kommunenr Navn].&amp;[0239 HURDAL]" c="0239 HURDAL"/>
        <s v="[Leverandør].[Kommunenr Navn].&amp;[0301 OSLO]" c="0301 OSLO"/>
        <s v="[Leverandør].[Kommunenr Navn].&amp;[0402 KONGSVINGER]" c="0402 KONGSVINGER"/>
        <s v="[Leverandør].[Kommunenr Navn].&amp;[0403 HAMAR]" c="0403 HAMAR"/>
        <s v="[Leverandør].[Kommunenr Navn].&amp;[0412 RINGSAKER]" c="0412 RINGSAKER"/>
        <s v="[Leverandør].[Kommunenr Navn].&amp;[0415 LØTEN]" c="0415 LØTEN"/>
        <s v="[Leverandør].[Kommunenr Navn].&amp;[0417 STANGE]" c="0417 STANGE"/>
        <s v="[Leverandør].[Kommunenr Navn].&amp;[0418 NORD-ODAL]" c="0418 NORD-ODAL"/>
        <s v="[Leverandør].[Kommunenr Navn].&amp;[0419 SØR-ODAL]" c="0419 SØR-ODAL"/>
        <s v="[Leverandør].[Kommunenr Navn].&amp;[0420 EIDSKOG]" c="0420 EIDSKOG"/>
        <s v="[Leverandør].[Kommunenr Navn].&amp;[0423 GRUE]" c="0423 GRUE"/>
        <s v="[Leverandør].[Kommunenr Navn].&amp;[0425 ÅSNES]" c="0425 ÅSNES"/>
        <s v="[Leverandør].[Kommunenr Navn].&amp;[0426 VÅLER I HEDMARK]" c="0426 VÅLER I HEDMARK"/>
        <s v="[Leverandør].[Kommunenr Navn].&amp;[0427 ELVERUM]" c="0427 ELVERUM"/>
        <s v="[Leverandør].[Kommunenr Navn].&amp;[0428 TRYSIL]" c="0428 TRYSIL"/>
        <s v="[Leverandør].[Kommunenr Navn].&amp;[0429 ÅMOT]" c="0429 ÅMOT"/>
        <s v="[Leverandør].[Kommunenr Navn].&amp;[0430 STOR-ELVDAL]" c="0430 STOR-ELVDAL"/>
        <s v="[Leverandør].[Kommunenr Navn].&amp;[0432 RENDALEN]" c="0432 RENDALEN"/>
        <s v="[Leverandør].[Kommunenr Navn].&amp;[0434 ENGERDAL]" c="0434 ENGERDAL"/>
        <s v="[Leverandør].[Kommunenr Navn].&amp;[0436 TOLGA]" c="0436 TOLGA"/>
        <s v="[Leverandør].[Kommunenr Navn].&amp;[0437 TYNSET]" c="0437 TYNSET"/>
        <s v="[Leverandør].[Kommunenr Navn].&amp;[0438 ALVDAL]" c="0438 ALVDAL"/>
        <s v="[Leverandør].[Kommunenr Navn].&amp;[0439 FOLLDAL]" c="0439 FOLLDAL"/>
        <s v="[Leverandør].[Kommunenr Navn].&amp;[0441 OS I HEDMARK]" c="0441 OS I HEDMARK"/>
        <s v="[Leverandør].[Kommunenr Navn].&amp;[0501 LILLEHAMMER]" c="0501 LILLEHAMMER"/>
        <s v="[Leverandør].[Kommunenr Navn].&amp;[0502 GJØVIK]" c="0502 GJØVIK"/>
        <s v="[Leverandør].[Kommunenr Navn].&amp;[0511 DOVRE]" c="0511 DOVRE"/>
        <s v="[Leverandør].[Kommunenr Navn].&amp;[0512 LESJA]" c="0512 LESJA"/>
        <s v="[Leverandør].[Kommunenr Navn].&amp;[0513 SKJÅK]" c="0513 SKJÅK"/>
        <s v="[Leverandør].[Kommunenr Navn].&amp;[0514 LOM]" c="0514 LOM"/>
        <s v="[Leverandør].[Kommunenr Navn].&amp;[0515 VÅGÅ]" c="0515 VÅGÅ"/>
        <s v="[Leverandør].[Kommunenr Navn].&amp;[0516 NORD-FRON]" c="0516 NORD-FRON"/>
        <s v="[Leverandør].[Kommunenr Navn].&amp;[0517 SEL]" c="0517 SEL"/>
        <s v="[Leverandør].[Kommunenr Navn].&amp;[0519 SØR-FRON]" c="0519 SØR-FRON"/>
        <s v="[Leverandør].[Kommunenr Navn].&amp;[0520 RINGEBU]" c="0520 RINGEBU"/>
        <s v="[Leverandør].[Kommunenr Navn].&amp;[0521 ØYER]" c="0521 ØYER"/>
        <s v="[Leverandør].[Kommunenr Navn].&amp;[0522 GAUSDAL]" c="0522 GAUSDAL"/>
        <s v="[Leverandør].[Kommunenr Navn].&amp;[0528 ØSTRE TOTEN]" c="0528 ØSTRE TOTEN"/>
        <s v="[Leverandør].[Kommunenr Navn].&amp;[0529 VESTRE TOTEN]" c="0529 VESTRE TOTEN"/>
        <s v="[Leverandør].[Kommunenr Navn].&amp;[0532 JEVNAKER]" c="0532 JEVNAKER"/>
        <s v="[Leverandør].[Kommunenr Navn].&amp;[0533 LUNNER]" c="0533 LUNNER"/>
        <s v="[Leverandør].[Kommunenr Navn].&amp;[0534 GRAN]" c="0534 GRAN"/>
        <s v="[Leverandør].[Kommunenr Navn].&amp;[0536 SØNDRE LAND]" c="0536 SØNDRE LAND"/>
        <s v="[Leverandør].[Kommunenr Navn].&amp;[0538 NORDRE LAND]" c="0538 NORDRE LAND"/>
        <s v="[Leverandør].[Kommunenr Navn].&amp;[0540 SØR-AURDAL]" c="0540 SØR-AURDAL"/>
        <s v="[Leverandør].[Kommunenr Navn].&amp;[0541 ETNEDAL]" c="0541 ETNEDAL"/>
        <s v="[Leverandør].[Kommunenr Navn].&amp;[0542 NORD-AURDAL]" c="0542 NORD-AURDAL"/>
        <s v="[Leverandør].[Kommunenr Navn].&amp;[0543 VESTRE SLIDRE]" c="0543 VESTRE SLIDRE"/>
        <s v="[Leverandør].[Kommunenr Navn].&amp;[0544 ØYSTRE SLIDRE]" c="0544 ØYSTRE SLIDRE"/>
        <s v="[Leverandør].[Kommunenr Navn].&amp;[0545 VANG]" c="0545 VANG"/>
        <s v="[Leverandør].[Kommunenr Navn].&amp;[0602 DRAMMEN]" c="0602 DRAMMEN"/>
        <s v="[Leverandør].[Kommunenr Navn].&amp;[0604 KONGSBERG]" c="0604 KONGSBERG"/>
        <s v="[Leverandør].[Kommunenr Navn].&amp;[0605 RINGERIKE]" c="0605 RINGERIKE"/>
        <s v="[Leverandør].[Kommunenr Navn].&amp;[0612 HOLE]" c="0612 HOLE"/>
        <s v="[Leverandør].[Kommunenr Navn].&amp;[0615 FLÅ]" c="0615 FLÅ"/>
        <s v="[Leverandør].[Kommunenr Navn].&amp;[0616 NES I BUSKERUD]" c="0616 NES I BUSKERUD"/>
        <s v="[Leverandør].[Kommunenr Navn].&amp;[0617 GOL]" c="0617 GOL"/>
        <s v="[Leverandør].[Kommunenr Navn].&amp;[0618 HEMSEDAL]" c="0618 HEMSEDAL"/>
        <s v="[Leverandør].[Kommunenr Navn].&amp;[0619 ÅL]" c="0619 ÅL"/>
        <s v="[Leverandør].[Kommunenr Navn].&amp;[0620 HOL]" c="0620 HOL"/>
        <s v="[Leverandør].[Kommunenr Navn].&amp;[0621 SIGDAL]" c="0621 SIGDAL"/>
        <s v="[Leverandør].[Kommunenr Navn].&amp;[0622 KRØDSHERAD]" c="0622 KRØDSHERAD"/>
        <s v="[Leverandør].[Kommunenr Navn].&amp;[0623 MODUM]" c="0623 MODUM"/>
        <s v="[Leverandør].[Kommunenr Navn].&amp;[0624 ØVRE EIKER]" c="0624 ØVRE EIKER"/>
        <s v="[Leverandør].[Kommunenr Navn].&amp;[0625 NEDRE EIKER]" c="0625 NEDRE EIKER"/>
        <s v="[Leverandør].[Kommunenr Navn].&amp;[0626 LIER]" c="0626 LIER"/>
        <s v="[Leverandør].[Kommunenr Navn].&amp;[0627 RØYKEN]" c="0627 RØYKEN"/>
        <s v="[Leverandør].[Kommunenr Navn].&amp;[0628 HURUM]" c="0628 HURUM"/>
        <s v="[Leverandør].[Kommunenr Navn].&amp;[0631 FLESBERG]" c="0631 FLESBERG"/>
        <s v="[Leverandør].[Kommunenr Navn].&amp;[0632 ROLLAG]" c="0632 ROLLAG"/>
        <s v="[Leverandør].[Kommunenr Navn].&amp;[0633 NORE OG UVDAL]" c="0633 NORE OG UVDAL"/>
        <s v="[Leverandør].[Kommunenr Navn].&amp;[0701 HORTEN]" c="0701 HORTEN"/>
        <s v="[Leverandør].[Kommunenr Navn].&amp;[0704 TØNSBERG]" c="0704 TØNSBERG"/>
        <s v="[Leverandør].[Kommunenr Navn].&amp;[0710 SANDEFJORD]" c="0710 SANDEFJORD"/>
        <s v="[Leverandør].[Kommunenr Navn].&amp;[0711 SVELVIK]" c="0711 SVELVIK"/>
        <s v="[Leverandør].[Kommunenr Navn].&amp;[0712 LARVIK]" c="0712 LARVIK"/>
        <s v="[Leverandør].[Kommunenr Navn].&amp;[0713 SANDE I VESTFOLD]" c="0713 SANDE I VESTFOLD"/>
        <s v="[Leverandør].[Kommunenr Navn].&amp;[0715 HOLMESTRAND]" c="0715 HOLMESTRAND"/>
        <s v="[Leverandør].[Kommunenr Navn].&amp;[0716 RE]" c="0716 RE"/>
        <s v="[Leverandør].[Kommunenr Navn].&amp;[0723 TJØME]" c="0723 TJØME"/>
        <s v="[Leverandør].[Kommunenr Navn].&amp;[0729 FÆRDER]" c="0729 FÆRDER"/>
        <s v="[Leverandør].[Kommunenr Navn].&amp;[0805 PORSGRUNN]" c="0805 PORSGRUNN"/>
        <s v="[Leverandør].[Kommunenr Navn].&amp;[0806 SKIEN]" c="0806 SKIEN"/>
        <s v="[Leverandør].[Kommunenr Navn].&amp;[0807 NOTODDEN]" c="0807 NOTODDEN"/>
        <s v="[Leverandør].[Kommunenr Navn].&amp;[0811 SILJAN]" c="0811 SILJAN"/>
        <s v="[Leverandør].[Kommunenr Navn].&amp;[0814 BAMBLE]" c="0814 BAMBLE"/>
        <s v="[Leverandør].[Kommunenr Navn].&amp;[0815 KRAGERØ]" c="0815 KRAGERØ"/>
        <s v="[Leverandør].[Kommunenr Navn].&amp;[0817 DRANGEDAL]" c="0817 DRANGEDAL"/>
        <s v="[Leverandør].[Kommunenr Navn].&amp;[0819 NOME]" c="0819 NOME"/>
        <s v="[Leverandør].[Kommunenr Navn].&amp;[0821 BØ I TELEMARK]" c="0821 BØ I TELEMARK"/>
        <s v="[Leverandør].[Kommunenr Navn].&amp;[0822 SAUHERAD]" c="0822 SAUHERAD"/>
        <s v="[Leverandør].[Kommunenr Navn].&amp;[0826 TINN]" c="0826 TINN"/>
        <s v="[Leverandør].[Kommunenr Navn].&amp;[0827 HJARTDAL]" c="0827 HJARTDAL"/>
        <s v="[Leverandør].[Kommunenr Navn].&amp;[0828 SELJORD]" c="0828 SELJORD"/>
        <s v="[Leverandør].[Kommunenr Navn].&amp;[0829 KVITESEID]" c="0829 KVITESEID"/>
        <s v="[Leverandør].[Kommunenr Navn].&amp;[0830 NISSEDAL]" c="0830 NISSEDAL"/>
        <s v="[Leverandør].[Kommunenr Navn].&amp;[0831 FYRESDAL]" c="0831 FYRESDAL"/>
        <s v="[Leverandør].[Kommunenr Navn].&amp;[0833 TOKKE]" c="0833 TOKKE"/>
        <s v="[Leverandør].[Kommunenr Navn].&amp;[0834 VINJE]" c="0834 VINJE"/>
        <s v="[Leverandør].[Kommunenr Navn].&amp;[0901 RISØR]" c="0901 RISØR"/>
        <s v="[Leverandør].[Kommunenr Navn].&amp;[0904 GRIMSTAD]" c="0904 GRIMSTAD"/>
        <s v="[Leverandør].[Kommunenr Navn].&amp;[0906 ARENDAL]" c="0906 ARENDAL"/>
        <s v="[Leverandør].[Kommunenr Navn].&amp;[0911 GJERSTAD]" c="0911 GJERSTAD"/>
        <s v="[Leverandør].[Kommunenr Navn].&amp;[0912 VEGÅRSHEI]" c="0912 VEGÅRSHEI"/>
        <s v="[Leverandør].[Kommunenr Navn].&amp;[0914 TVEDESTRAND]" c="0914 TVEDESTRAND"/>
        <s v="[Leverandør].[Kommunenr Navn].&amp;[0919 FROLAND]" c="0919 FROLAND"/>
        <s v="[Leverandør].[Kommunenr Navn].&amp;[0926 LILLESAND]" c="0926 LILLESAND"/>
        <s v="[Leverandør].[Kommunenr Navn].&amp;[0928 BIRKENES]" c="0928 BIRKENES"/>
        <s v="[Leverandør].[Kommunenr Navn].&amp;[0929 ÅMLI]" c="0929 ÅMLI"/>
        <s v="[Leverandør].[Kommunenr Navn].&amp;[0935 IVELAND]" c="0935 IVELAND"/>
        <s v="[Leverandør].[Kommunenr Navn].&amp;[0937 EVJE OG HORNNES]" c="0937 EVJE OG HORNNES"/>
        <s v="[Leverandør].[Kommunenr Navn].&amp;[0938 BYGLAND]" c="0938 BYGLAND"/>
        <s v="[Leverandør].[Kommunenr Navn].&amp;[0940 VALLE]" c="0940 VALLE"/>
        <s v="[Leverandør].[Kommunenr Navn].&amp;[0941 BYKLE]" c="0941 BYKLE"/>
        <s v="[Leverandør].[Kommunenr Navn].&amp;[1001 KRISTIANSAND]" c="1001 KRISTIANSAND"/>
        <s v="[Leverandør].[Kommunenr Navn].&amp;[1002 MANDAL]" c="1002 MANDAL"/>
        <s v="[Leverandør].[Kommunenr Navn].&amp;[1003 FARSUND]" c="1003 FARSUND"/>
        <s v="[Leverandør].[Kommunenr Navn].&amp;[1004 FLEKKEFJORD]" c="1004 FLEKKEFJORD"/>
        <s v="[Leverandør].[Kommunenr Navn].&amp;[1014 VENNESLA]" c="1014 VENNESLA"/>
        <s v="[Leverandør].[Kommunenr Navn].&amp;[1017 SONGDALEN]" c="1017 SONGDALEN"/>
        <s v="[Leverandør].[Kommunenr Navn].&amp;[1018 SØGNE]" c="1018 SØGNE"/>
        <s v="[Leverandør].[Kommunenr Navn].&amp;[1021 MARNARDAL]" c="1021 MARNARDAL"/>
        <s v="[Leverandør].[Kommunenr Navn].&amp;[1026 ÅSERAL]" c="1026 ÅSERAL"/>
        <s v="[Leverandør].[Kommunenr Navn].&amp;[1027 AUDNEDAL]" c="1027 AUDNEDAL"/>
        <s v="[Leverandør].[Kommunenr Navn].&amp;[1029 LINDESNES]" c="1029 LINDESNES"/>
        <s v="[Leverandør].[Kommunenr Navn].&amp;[1032 LYNGDAL]" c="1032 LYNGDAL"/>
        <s v="[Leverandør].[Kommunenr Navn].&amp;[1034 HÆGEBOSTAD]" c="1034 HÆGEBOSTAD"/>
        <s v="[Leverandør].[Kommunenr Navn].&amp;[1037 KVINESDAL]" c="1037 KVINESDAL"/>
        <s v="[Leverandør].[Kommunenr Navn].&amp;[1046 SIRDAL]" c="1046 SIRDAL"/>
        <s v="[Leverandør].[Kommunenr Navn].&amp;[1101 EIGERSUND]" c="1101 EIGERSUND"/>
        <s v="[Leverandør].[Kommunenr Navn].&amp;[1102 SANDNES]" c="1102 SANDNES"/>
        <s v="[Leverandør].[Kommunenr Navn].&amp;[1103 STAVANGER]" c="1103 STAVANGER"/>
        <s v="[Leverandør].[Kommunenr Navn].&amp;[1106 HAUGESUND]" c="1106 HAUGESUND"/>
        <s v="[Leverandør].[Kommunenr Navn].&amp;[1111 SOKNDAL]" c="1111 SOKNDAL"/>
        <s v="[Leverandør].[Kommunenr Navn].&amp;[1112 LUND]" c="1112 LUND"/>
        <s v="[Leverandør].[Kommunenr Navn].&amp;[1114 BJERKREIM]" c="1114 BJERKREIM"/>
        <s v="[Leverandør].[Kommunenr Navn].&amp;[1119 HÅ]" c="1119 HÅ"/>
        <s v="[Leverandør].[Kommunenr Navn].&amp;[1120 KLEPP]" c="1120 KLEPP"/>
        <s v="[Leverandør].[Kommunenr Navn].&amp;[1121 TIME]" c="1121 TIME"/>
        <s v="[Leverandør].[Kommunenr Navn].&amp;[1122 GJESDAL]" c="1122 GJESDAL"/>
        <s v="[Leverandør].[Kommunenr Navn].&amp;[1124 SOLA]" c="1124 SOLA"/>
        <s v="[Leverandør].[Kommunenr Navn].&amp;[1127 RANDABERG]" c="1127 RANDABERG"/>
        <s v="[Leverandør].[Kommunenr Navn].&amp;[1129 FORSAND]" c="1129 FORSAND"/>
        <s v="[Leverandør].[Kommunenr Navn].&amp;[1130 STRAND]" c="1130 STRAND"/>
        <s v="[Leverandør].[Kommunenr Navn].&amp;[1133 HJELMELAND]" c="1133 HJELMELAND"/>
        <s v="[Leverandør].[Kommunenr Navn].&amp;[1134 SULDAL]" c="1134 SULDAL"/>
        <s v="[Leverandør].[Kommunenr Navn].&amp;[1135 SAUDA]" c="1135 SAUDA"/>
        <s v="[Leverandør].[Kommunenr Navn].&amp;[1141 FINNØY]" c="1141 FINNØY"/>
        <s v="[Leverandør].[Kommunenr Navn].&amp;[1142 RENNESØY]" c="1142 RENNESØY"/>
        <s v="[Leverandør].[Kommunenr Navn].&amp;[1144 KVITSØY]" c="1144 KVITSØY"/>
        <s v="[Leverandør].[Kommunenr Navn].&amp;[1145 BOKN]" c="1145 BOKN"/>
        <s v="[Leverandør].[Kommunenr Navn].&amp;[1146 TYSVÆR]" c="1146 TYSVÆR"/>
        <s v="[Leverandør].[Kommunenr Navn].&amp;[1149 KARMØY]" c="1149 KARMØY"/>
        <s v="[Leverandør].[Kommunenr Navn].&amp;[1151 UTSIRA]" c="1151 UTSIRA"/>
        <s v="[Leverandør].[Kommunenr Navn].&amp;[1160 VINDAFJORD]" c="1160 VINDAFJORD"/>
        <s v="[Leverandør].[Kommunenr Navn].&amp;[1201 BERGEN]" c="1201 BERGEN"/>
        <s v="[Leverandør].[Kommunenr Navn].&amp;[1211 ETNE]" c="1211 ETNE"/>
        <s v="[Leverandør].[Kommunenr Navn].&amp;[1216 SVEIO]" c="1216 SVEIO"/>
        <s v="[Leverandør].[Kommunenr Navn].&amp;[1219 BØMLO]" c="1219 BØMLO"/>
        <s v="[Leverandør].[Kommunenr Navn].&amp;[1221 STORD]" c="1221 STORD"/>
        <s v="[Leverandør].[Kommunenr Navn].&amp;[1222 FITJAR]" c="1222 FITJAR"/>
        <s v="[Leverandør].[Kommunenr Navn].&amp;[1223 TYSNES]" c="1223 TYSNES"/>
        <s v="[Leverandør].[Kommunenr Navn].&amp;[1224 KVINNHERAD]" c="1224 KVINNHERAD"/>
        <s v="[Leverandør].[Kommunenr Navn].&amp;[1227 JONDAL]" c="1227 JONDAL"/>
        <s v="[Leverandør].[Kommunenr Navn].&amp;[1228 ODDA]" c="1228 ODDA"/>
        <s v="[Leverandør].[Kommunenr Navn].&amp;[1231 ULLENSVANG]" c="1231 ULLENSVANG"/>
        <s v="[Leverandør].[Kommunenr Navn].&amp;[1232 EIDFJORD]" c="1232 EIDFJORD"/>
        <s v="[Leverandør].[Kommunenr Navn].&amp;[1233 ULVIK]" c="1233 ULVIK"/>
        <s v="[Leverandør].[Kommunenr Navn].&amp;[1234 GRANVIN]" c="1234 GRANVIN"/>
        <s v="[Leverandør].[Kommunenr Navn].&amp;[1235 VOSS]" c="1235 VOSS"/>
        <s v="[Leverandør].[Kommunenr Navn].&amp;[1238 KVAM]" c="1238 KVAM"/>
        <s v="[Leverandør].[Kommunenr Navn].&amp;[1241 FUSA]" c="1241 FUSA"/>
        <s v="[Leverandør].[Kommunenr Navn].&amp;[1242 SAMNANGER]" c="1242 SAMNANGER"/>
        <s v="[Leverandør].[Kommunenr Navn].&amp;[1243 OS I HORDALAND]" c="1243 OS I HORDALAND"/>
        <s v="[Leverandør].[Kommunenr Navn].&amp;[1244 AUSTEVOLL]" c="1244 AUSTEVOLL"/>
        <s v="[Leverandør].[Kommunenr Navn].&amp;[1245 SUND]" c="1245 SUND"/>
        <s v="[Leverandør].[Kommunenr Navn].&amp;[1246 FJELL]" c="1246 FJELL"/>
        <s v="[Leverandør].[Kommunenr Navn].&amp;[1247 ASKØY]" c="1247 ASKØY"/>
        <s v="[Leverandør].[Kommunenr Navn].&amp;[1251 VAKSDAL]" c="1251 VAKSDAL"/>
        <s v="[Leverandør].[Kommunenr Navn].&amp;[1252 MODALEN]" c="1252 MODALEN"/>
        <s v="[Leverandør].[Kommunenr Navn].&amp;[1253 OSTERØY]" c="1253 OSTERØY"/>
        <s v="[Leverandør].[Kommunenr Navn].&amp;[1256 MELAND]" c="1256 MELAND"/>
        <s v="[Leverandør].[Kommunenr Navn].&amp;[1259 ØYGARDEN]" c="1259 ØYGARDEN"/>
        <s v="[Leverandør].[Kommunenr Navn].&amp;[1260 RADØY]" c="1260 RADØY"/>
        <s v="[Leverandør].[Kommunenr Navn].&amp;[1263 LINDÅS]" c="1263 LINDÅS"/>
        <s v="[Leverandør].[Kommunenr Navn].&amp;[1264 AUSTRHEIM]" c="1264 AUSTRHEIM"/>
        <s v="[Leverandør].[Kommunenr Navn].&amp;[1265 FEDJE]" c="1265 FEDJE"/>
        <s v="[Leverandør].[Kommunenr Navn].&amp;[1266 MASFJORDEN]" c="1266 MASFJORDEN"/>
        <s v="[Leverandør].[Kommunenr Navn].&amp;[1401 FLORA]" c="1401 FLORA"/>
        <s v="[Leverandør].[Kommunenr Navn].&amp;[1411 GULEN]" c="1411 GULEN"/>
        <s v="[Leverandør].[Kommunenr Navn].&amp;[1412 SOLUND]" c="1412 SOLUND"/>
        <s v="[Leverandør].[Kommunenr Navn].&amp;[1413 HYLLESTAD]" c="1413 HYLLESTAD"/>
        <s v="[Leverandør].[Kommunenr Navn].&amp;[1416 HØYANGER]" c="1416 HØYANGER"/>
        <s v="[Leverandør].[Kommunenr Navn].&amp;[1417 VIK]" c="1417 VIK"/>
        <s v="[Leverandør].[Kommunenr Navn].&amp;[1418 BALESTRAND]" c="1418 BALESTRAND"/>
        <s v="[Leverandør].[Kommunenr Navn].&amp;[1419 LEIKANGER]" c="1419 LEIKANGER"/>
        <s v="[Leverandør].[Kommunenr Navn].&amp;[1420 SOGNDAL]" c="1420 SOGNDAL"/>
        <s v="[Leverandør].[Kommunenr Navn].&amp;[1421 AURLAND]" c="1421 AURLAND"/>
        <s v="[Leverandør].[Kommunenr Navn].&amp;[1422 LÆRDAL]" c="1422 LÆRDAL"/>
        <s v="[Leverandør].[Kommunenr Navn].&amp;[1424 ÅRDAL]" c="1424 ÅRDAL"/>
        <s v="[Leverandør].[Kommunenr Navn].&amp;[1426 LUSTER]" c="1426 LUSTER"/>
        <s v="[Leverandør].[Kommunenr Navn].&amp;[1428 ASKVOLL]" c="1428 ASKVOLL"/>
        <s v="[Leverandør].[Kommunenr Navn].&amp;[1429 FJALER]" c="1429 FJALER"/>
        <s v="[Leverandør].[Kommunenr Navn].&amp;[1430 GAULAR]" c="1430 GAULAR"/>
        <s v="[Leverandør].[Kommunenr Navn].&amp;[1431 JØLSTER]" c="1431 JØLSTER"/>
        <s v="[Leverandør].[Kommunenr Navn].&amp;[1432 FØRDE]" c="1432 FØRDE"/>
        <s v="[Leverandør].[Kommunenr Navn].&amp;[1433 NAUSTDAL]" c="1433 NAUSTDAL"/>
        <s v="[Leverandør].[Kommunenr Navn].&amp;[1438 BREMANGER]" c="1438 BREMANGER"/>
        <s v="[Leverandør].[Kommunenr Navn].&amp;[1439 VÅGSØY]" c="1439 VÅGSØY"/>
        <s v="[Leverandør].[Kommunenr Navn].&amp;[1441 SELJE]" c="1441 SELJE"/>
        <s v="[Leverandør].[Kommunenr Navn].&amp;[1443 EID]" c="1443 EID"/>
        <s v="[Leverandør].[Kommunenr Navn].&amp;[1444 HORNINDAL]" c="1444 HORNINDAL"/>
        <s v="[Leverandør].[Kommunenr Navn].&amp;[1445 GLOPPEN]" c="1445 GLOPPEN"/>
        <s v="[Leverandør].[Kommunenr Navn].&amp;[1449 STRYN]" c="1449 STRYN"/>
        <s v="[Leverandør].[Kommunenr Navn].&amp;[1502 MOLDE]" c="1502 MOLDE"/>
        <s v="[Leverandør].[Kommunenr Navn].&amp;[1504 ÅLESUND]" c="1504 ÅLESUND"/>
        <s v="[Leverandør].[Kommunenr Navn].&amp;[1505 KRISTIANSUND]" c="1505 KRISTIANSUND"/>
        <s v="[Leverandør].[Kommunenr Navn].&amp;[1511 VANYLVEN]" c="1511 VANYLVEN"/>
        <s v="[Leverandør].[Kommunenr Navn].&amp;[1514 SANDE]" c="1514 SANDE"/>
        <s v="[Leverandør].[Kommunenr Navn].&amp;[1515 HERØY]" c="1515 HERØY"/>
        <s v="[Leverandør].[Kommunenr Navn].&amp;[1516 ULSTEIN]" c="1516 ULSTEIN"/>
        <s v="[Leverandør].[Kommunenr Navn].&amp;[1517 HAREID]" c="1517 HAREID"/>
        <s v="[Leverandør].[Kommunenr Navn].&amp;[1519 VOLDA]" c="1519 VOLDA"/>
        <s v="[Leverandør].[Kommunenr Navn].&amp;[1520 ØRSTA]" c="1520 ØRSTA"/>
        <s v="[Leverandør].[Kommunenr Navn].&amp;[1523 ØRSKOG]" c="1523 ØRSKOG"/>
        <s v="[Leverandør].[Kommunenr Navn].&amp;[1524 NORDDAL]" c="1524 NORDDAL"/>
        <s v="[Leverandør].[Kommunenr Navn].&amp;[1525 STRANDA]" c="1525 STRANDA"/>
        <s v="[Leverandør].[Kommunenr Navn].&amp;[1526 STORDAL]" c="1526 STORDAL"/>
        <s v="[Leverandør].[Kommunenr Navn].&amp;[1528 SYKKYLVEN]" c="1528 SYKKYLVEN"/>
        <s v="[Leverandør].[Kommunenr Navn].&amp;[1529 SKODJE]" c="1529 SKODJE"/>
        <s v="[Leverandør].[Kommunenr Navn].&amp;[1531 SULA]" c="1531 SULA"/>
        <s v="[Leverandør].[Kommunenr Navn].&amp;[1532 GISKE]" c="1532 GISKE"/>
        <s v="[Leverandør].[Kommunenr Navn].&amp;[1534 HARAM]" c="1534 HARAM"/>
        <s v="[Leverandør].[Kommunenr Navn].&amp;[1535 VESTNES]" c="1535 VESTNES"/>
        <s v="[Leverandør].[Kommunenr Navn].&amp;[1539 RAUMA]" c="1539 RAUMA"/>
        <s v="[Leverandør].[Kommunenr Navn].&amp;[1543 NESSET]" c="1543 NESSET"/>
        <s v="[Leverandør].[Kommunenr Navn].&amp;[1545 MIDSUND]" c="1545 MIDSUND"/>
        <s v="[Leverandør].[Kommunenr Navn].&amp;[1546 SANDØY]" c="1546 SANDØY"/>
        <s v="[Leverandør].[Kommunenr Navn].&amp;[1547 AUKRA]" c="1547 AUKRA"/>
        <s v="[Leverandør].[Kommunenr Navn].&amp;[1548 FRÆNA]" c="1548 FRÆNA"/>
        <s v="[Leverandør].[Kommunenr Navn].&amp;[1551 EIDE]" c="1551 EIDE"/>
        <s v="[Leverandør].[Kommunenr Navn].&amp;[1554 AVERØY]" c="1554 AVERØY"/>
        <s v="[Leverandør].[Kommunenr Navn].&amp;[1557 GJEMNES]" c="1557 GJEMNES"/>
        <s v="[Leverandør].[Kommunenr Navn].&amp;[1560 TINGVOLL]" c="1560 TINGVOLL"/>
        <s v="[Leverandør].[Kommunenr Navn].&amp;[1563 SUNNDAL]" c="1563 SUNNDAL"/>
        <s v="[Leverandør].[Kommunenr Navn].&amp;[1566 SURNADAL]" c="1566 SURNADAL"/>
        <s v="[Leverandør].[Kommunenr Navn].&amp;[1571 HALSA]" c="1571 HALSA"/>
        <s v="[Leverandør].[Kommunenr Navn].&amp;[1573 SMØLA]" c="1573 SMØLA"/>
        <s v="[Leverandør].[Kommunenr Navn].&amp;[1576 AURE]" c="1576 AURE"/>
        <s v="[Leverandør].[Kommunenr Navn].&amp;[1804 BODØ]" c="1804 BODØ"/>
        <s v="[Leverandør].[Kommunenr Navn].&amp;[1805 NARVIK]" c="1805 NARVIK"/>
        <s v="[Leverandør].[Kommunenr Navn].&amp;[1811 BINDAL]" c="1811 BINDAL"/>
        <s v="[Leverandør].[Kommunenr Navn].&amp;[1812 SØMNA]" c="1812 SØMNA"/>
        <s v="[Leverandør].[Kommunenr Navn].&amp;[1813 BRØNNØY]" c="1813 BRØNNØY"/>
        <s v="[Leverandør].[Kommunenr Navn].&amp;[1815 VEGA]" c="1815 VEGA"/>
        <s v="[Leverandør].[Kommunenr Navn].&amp;[1816 VEVELSTAD]" c="1816 VEVELSTAD"/>
        <s v="[Leverandør].[Kommunenr Navn].&amp;[1818 HERØY I NORDLAND]" c="1818 HERØY I NORDLAND"/>
        <s v="[Leverandør].[Kommunenr Navn].&amp;[1820 ALSTAHAUG]" c="1820 ALSTAHAUG"/>
        <s v="[Leverandør].[Kommunenr Navn].&amp;[1822 LEIRFJORD]" c="1822 LEIRFJORD"/>
        <s v="[Leverandør].[Kommunenr Navn].&amp;[1824 VEFSN]" c="1824 VEFSN"/>
        <s v="[Leverandør].[Kommunenr Navn].&amp;[1825 GRANE]" c="1825 GRANE"/>
        <s v="[Leverandør].[Kommunenr Navn].&amp;[1826 HATTFJELLDAL]" c="1826 HATTFJELLDAL"/>
        <s v="[Leverandør].[Kommunenr Navn].&amp;[1827 DØNNA]" c="1827 DØNNA"/>
        <s v="[Leverandør].[Kommunenr Navn].&amp;[1828 NESNA]" c="1828 NESNA"/>
        <s v="[Leverandør].[Kommunenr Navn].&amp;[1832 HEMNES]" c="1832 HEMNES"/>
        <s v="[Leverandør].[Kommunenr Navn].&amp;[1833 RANA]" c="1833 RANA"/>
        <s v="[Leverandør].[Kommunenr Navn].&amp;[1834 LURØY]" c="1834 LURØY"/>
        <s v="[Leverandør].[Kommunenr Navn].&amp;[1835 TRÆNA]" c="1835 TRÆNA"/>
        <s v="[Leverandør].[Kommunenr Navn].&amp;[1836 RØDØY]" c="1836 RØDØY"/>
        <s v="[Leverandør].[Kommunenr Navn].&amp;[1837 MELØY]" c="1837 MELØY"/>
        <s v="[Leverandør].[Kommunenr Navn].&amp;[1838 GILDESKÅL]" c="1838 GILDESKÅL"/>
        <s v="[Leverandør].[Kommunenr Navn].&amp;[1839 BEIARN]" c="1839 BEIARN"/>
        <s v="[Leverandør].[Kommunenr Navn].&amp;[1840 SALTDAL]" c="1840 SALTDAL"/>
        <s v="[Leverandør].[Kommunenr Navn].&amp;[1841 FAUSKE]" c="1841 FAUSKE"/>
        <s v="[Leverandør].[Kommunenr Navn].&amp;[1845 SØRFOLD]" c="1845 SØRFOLD"/>
        <s v="[Leverandør].[Kommunenr Navn].&amp;[1848 STEIGEN]" c="1848 STEIGEN"/>
        <s v="[Leverandør].[Kommunenr Navn].&amp;[1849 HAMARØY]" c="1849 HAMARØY"/>
        <s v="[Leverandør].[Kommunenr Navn].&amp;[1850 TYSFJORD]" c="1850 TYSFJORD"/>
        <s v="[Leverandør].[Kommunenr Navn].&amp;[1851 LØDINGEN]" c="1851 LØDINGEN"/>
        <s v="[Leverandør].[Kommunenr Navn].&amp;[1852 TJELDSUND]" c="1852 TJELDSUND"/>
        <s v="[Leverandør].[Kommunenr Navn].&amp;[1853 EVENES]" c="1853 EVENES"/>
        <s v="[Leverandør].[Kommunenr Navn].&amp;[1854 BALLANGEN]" c="1854 BALLANGEN"/>
        <s v="[Leverandør].[Kommunenr Navn].&amp;[1859 FLAKSTAD]" c="1859 FLAKSTAD"/>
        <s v="[Leverandør].[Kommunenr Navn].&amp;[1860 VESTVÅGØY]" c="1860 VESTVÅGØY"/>
        <s v="[Leverandør].[Kommunenr Navn].&amp;[1865 VÅGAN]" c="1865 VÅGAN"/>
        <s v="[Leverandør].[Kommunenr Navn].&amp;[1866 HADSEL]" c="1866 HADSEL"/>
        <s v="[Leverandør].[Kommunenr Navn].&amp;[1867 BØ I NORDLAND]" c="1867 BØ I NORDLAND"/>
        <s v="[Leverandør].[Kommunenr Navn].&amp;[1868 ØKSNES]" c="1868 ØKSNES"/>
        <s v="[Leverandør].[Kommunenr Navn].&amp;[1870 SORTLAND]" c="1870 SORTLAND"/>
        <s v="[Leverandør].[Kommunenr Navn].&amp;[1871 ANDØY]" c="1871 ANDØY"/>
        <s v="[Leverandør].[Kommunenr Navn].&amp;[1902 TROMSØ]" c="1902 TROMSØ"/>
        <s v="[Leverandør].[Kommunenr Navn].&amp;[1903 HARSTAD]" c="1903 HARSTAD"/>
        <s v="[Leverandør].[Kommunenr Navn].&amp;[1911 KVÆFJORD]" c="1911 KVÆFJORD"/>
        <s v="[Leverandør].[Kommunenr Navn].&amp;[1913 SKÅNLAND]" c="1913 SKÅNLAND"/>
        <s v="[Leverandør].[Kommunenr Navn].&amp;[1917 IBESTAD]" c="1917 IBESTAD"/>
        <s v="[Leverandør].[Kommunenr Navn].&amp;[1919 GRATANGEN]" c="1919 GRATANGEN"/>
        <s v="[Leverandør].[Kommunenr Navn].&amp;[1920 LAVANGEN]" c="1920 LAVANGEN"/>
        <s v="[Leverandør].[Kommunenr Navn].&amp;[1922 BARDU]" c="1922 BARDU"/>
        <s v="[Leverandør].[Kommunenr Navn].&amp;[1923 SALANGEN]" c="1923 SALANGEN"/>
        <s v="[Leverandør].[Kommunenr Navn].&amp;[1924 MÅLSELV]" c="1924 MÅLSELV"/>
        <s v="[Leverandør].[Kommunenr Navn].&amp;[1925 SØRREISA]" c="1925 SØRREISA"/>
        <s v="[Leverandør].[Kommunenr Navn].&amp;[1926 DYRØY]" c="1926 DYRØY"/>
        <s v="[Leverandør].[Kommunenr Navn].&amp;[1927 TRANØY]" c="1927 TRANØY"/>
        <s v="[Leverandør].[Kommunenr Navn].&amp;[1928 TORSKEN]" c="1928 TORSKEN"/>
        <s v="[Leverandør].[Kommunenr Navn].&amp;[1931 LENVIK]" c="1931 LENVIK"/>
        <s v="[Leverandør].[Kommunenr Navn].&amp;[1933 BALSFJORD]" c="1933 BALSFJORD"/>
        <s v="[Leverandør].[Kommunenr Navn].&amp;[1936 KARLSØY]" c="1936 KARLSØY"/>
        <s v="[Leverandør].[Kommunenr Navn].&amp;[1938 LYNGEN]" c="1938 LYNGEN"/>
        <s v="[Leverandør].[Kommunenr Navn].&amp;[1939 STORFJORD]" c="1939 STORFJORD"/>
        <s v="[Leverandør].[Kommunenr Navn].&amp;[1940 KÅFJORD]" c="1940 KÅFJORD"/>
        <s v="[Leverandør].[Kommunenr Navn].&amp;[1941 SKJERVØY]" c="1941 SKJERVØY"/>
        <s v="[Leverandør].[Kommunenr Navn].&amp;[1942 NORDREISA]" c="1942 NORDREISA"/>
        <s v="[Leverandør].[Kommunenr Navn].&amp;[1943 KVÆNANGEN]" c="1943 KVÆNANGEN"/>
        <s v="[Leverandør].[Kommunenr Navn].&amp;[2002 VARDØ]" c="2002 VARDØ"/>
        <s v="[Leverandør].[Kommunenr Navn].&amp;[2003 VADSØ]" c="2003 VADSØ"/>
        <s v="[Leverandør].[Kommunenr Navn].&amp;[2004 HAMMERFEST]" c="2004 HAMMERFEST"/>
        <s v="[Leverandør].[Kommunenr Navn].&amp;[2011 KAUTOKEINO]" c="2011 KAUTOKEINO"/>
        <s v="[Leverandør].[Kommunenr Navn].&amp;[2012 ALTA]" c="2012 ALTA"/>
        <s v="[Leverandør].[Kommunenr Navn].&amp;[2017 KVALSUND]" c="2017 KVALSUND"/>
        <s v="[Leverandør].[Kommunenr Navn].&amp;[2018 MÅSØY]" c="2018 MÅSØY"/>
        <s v="[Leverandør].[Kommunenr Navn].&amp;[2020 PORSANGER]" c="2020 PORSANGER"/>
        <s v="[Leverandør].[Kommunenr Navn].&amp;[2021 KARASJOK]" c="2021 KARASJOK"/>
        <s v="[Leverandør].[Kommunenr Navn].&amp;[2022 LEBESBY]" c="2022 LEBESBY"/>
        <s v="[Leverandør].[Kommunenr Navn].&amp;[2023 GAMVIK]" c="2023 GAMVIK"/>
        <s v="[Leverandør].[Kommunenr Navn].&amp;[2024 BERLEVÅG]" c="2024 BERLEVÅG"/>
        <s v="[Leverandør].[Kommunenr Navn].&amp;[2025 TANA/DEATNU]" c="2025 TANA/DEATNU"/>
        <s v="[Leverandør].[Kommunenr Navn].&amp;[2027 NESSEBY/UNJ&amp;RGA]" c="2027 NESSEBY/UNJ&amp;RGA"/>
        <s v="[Leverandør].[Kommunenr Navn].&amp;[2030 SØR-VARANGER]" c="2030 SØR-VARANGER"/>
        <s v="[Leverandør].[Kommunenr Navn].&amp;[5001 TRONDHEIM]" c="5001 TRONDHEIM"/>
        <s v="[Leverandør].[Kommunenr Navn].&amp;[5004 STEINKJER]" c="5004 STEINKJER"/>
        <s v="[Leverandør].[Kommunenr Navn].&amp;[5005 NAMSOS]" c="5005 NAMSOS"/>
        <s v="[Leverandør].[Kommunenr Navn].&amp;[5011 HEMNE]" c="5011 HEMNE"/>
        <s v="[Leverandør].[Kommunenr Navn].&amp;[5012 SNILLFJORD]" c="5012 SNILLFJORD"/>
        <s v="[Leverandør].[Kommunenr Navn].&amp;[5013 HITRA]" c="5013 HITRA"/>
        <s v="[Leverandør].[Kommunenr Navn].&amp;[5014 FRØYA]" c="5014 FRØYA"/>
        <s v="[Leverandør].[Kommunenr Navn].&amp;[5015 ØRLAND]" c="5015 ØRLAND"/>
        <s v="[Leverandør].[Kommunenr Navn].&amp;[5016 AGDENES]" c="5016 AGDENES"/>
        <s v="[Leverandør].[Kommunenr Navn].&amp;[5017 BJUGN]" c="5017 BJUGN"/>
        <s v="[Leverandør].[Kommunenr Navn].&amp;[5018 ÅFJORD]" c="5018 ÅFJORD"/>
        <s v="[Leverandør].[Kommunenr Navn].&amp;[5019 ROAN]" c="5019 ROAN"/>
        <s v="[Leverandør].[Kommunenr Navn].&amp;[5020 OSEN]" c="5020 OSEN"/>
        <s v="[Leverandør].[Kommunenr Navn].&amp;[5021 OPPDAL]" c="5021 OPPDAL"/>
        <s v="[Leverandør].[Kommunenr Navn].&amp;[5022 RENNEBU]" c="5022 RENNEBU"/>
        <s v="[Leverandør].[Kommunenr Navn].&amp;[5023 MELDAL]" c="5023 MELDAL"/>
        <s v="[Leverandør].[Kommunenr Navn].&amp;[5024 ORKDAL]" c="5024 ORKDAL"/>
        <s v="[Leverandør].[Kommunenr Navn].&amp;[5025 RØROS]" c="5025 RØROS"/>
        <s v="[Leverandør].[Kommunenr Navn].&amp;[5026 HOLTÅLEN]" c="5026 HOLTÅLEN"/>
        <s v="[Leverandør].[Kommunenr Navn].&amp;[5027 MIDTRE GAULDAL]" c="5027 MIDTRE GAULDAL"/>
        <s v="[Leverandør].[Kommunenr Navn].&amp;[5028 MELHUS]" c="5028 MELHUS"/>
        <s v="[Leverandør].[Kommunenr Navn].&amp;[5029 SKAUN]" c="5029 SKAUN"/>
        <s v="[Leverandør].[Kommunenr Navn].&amp;[5030 KLÆBU]" c="5030 KLÆBU"/>
        <s v="[Leverandør].[Kommunenr Navn].&amp;[5031 MALVIK]" c="5031 MALVIK"/>
        <s v="[Leverandør].[Kommunenr Navn].&amp;[5032 SELBU]" c="5032 SELBU"/>
        <s v="[Leverandør].[Kommunenr Navn].&amp;[5033 TYDAL]" c="5033 TYDAL"/>
        <s v="[Leverandør].[Kommunenr Navn].&amp;[5034 MERÅKER]" c="5034 MERÅKER"/>
        <s v="[Leverandør].[Kommunenr Navn].&amp;[5035 STJØRDAL]" c="5035 STJØRDAL"/>
        <s v="[Leverandør].[Kommunenr Navn].&amp;[5036 FROSTA]" c="5036 FROSTA"/>
        <s v="[Leverandør].[Kommunenr Navn].&amp;[5037 LEVANGER]" c="5037 LEVANGER"/>
        <s v="[Leverandør].[Kommunenr Navn].&amp;[5038 VERDAL]" c="5038 VERDAL"/>
        <s v="[Leverandør].[Kommunenr Navn].&amp;[5039 VERRAN]" c="5039 VERRAN"/>
        <s v="[Leverandør].[Kommunenr Navn].&amp;[5040 NAMDALSEID]" c="5040 NAMDALSEID"/>
        <s v="[Leverandør].[Kommunenr Navn].&amp;[5041 SNÅSE - SNÅSA]" c="5041 SNÅSE - SNÅSA"/>
        <s v="[Leverandør].[Kommunenr Navn].&amp;[5042 LIERNE]" c="5042 LIERNE"/>
        <s v="[Leverandør].[Kommunenr Navn].&amp;[5043 RØYRVIK]" c="5043 RØYRVIK"/>
        <s v="[Leverandør].[Kommunenr Navn].&amp;[5044 NAMSKOGAN]" c="5044 NAMSKOGAN"/>
        <s v="[Leverandør].[Kommunenr Navn].&amp;[5045 GRONG]" c="5045 GRONG"/>
        <s v="[Leverandør].[Kommunenr Navn].&amp;[5046 HØYLANDER]" c="5046 HØYLANDER"/>
        <s v="[Leverandør].[Kommunenr Navn].&amp;[5047 OVERHALLA]" c="5047 OVERHALLA"/>
        <s v="[Leverandør].[Kommunenr Navn].&amp;[5048 FOSNES]" c="5048 FOSNES"/>
        <s v="[Leverandør].[Kommunenr Navn].&amp;[5049 FLATANGER]" c="5049 FLATANGER"/>
        <s v="[Leverandør].[Kommunenr Navn].&amp;[5050 VIKNA]" c="5050 VIKNA"/>
        <s v="[Leverandør].[Kommunenr Navn].&amp;[5051 NÆRØY]" c="5051 NÆRØY"/>
        <s v="[Leverandør].[Kommunenr Navn].&amp;[5052 LEKA]" c="5052 LEKA"/>
        <s v="[Leverandør].[Kommunenr Navn].&amp;[5053 INDERØY]" c="5053 INDERØY"/>
        <s v="[Leverandør].[Kommunenr Navn].&amp;[5054 INDRE FOSEN]" c="5054 INDRE FOSEN"/>
        <s v="[Leverandør].[Kommunenr Navn].&amp;[5061 RINDAL]" c="5061 RINDAL"/>
      </sharedItems>
    </cacheField>
    <cacheField name="[Vare].[Avregningsundertype].[Avregningsundertype]" caption="Avregningsundertype" numFmtId="0" hierarchy="207" level="1" mappingCount="1">
      <sharedItems count="3">
        <s v="[Vare].[Avregningsundertype].&amp;[1. Slakt, ull og egg]&amp;[Gris]" c="Gris" cp="1">
          <x/>
        </s>
        <s v="[Vare].[Avregningsundertype].&amp;[1. Slakt, ull og egg]&amp;[Småfe]" c="Småfe" cp="1">
          <x/>
        </s>
        <s v="[Vare].[Avregningsundertype].&amp;[1. Slakt, ull og egg]&amp;[Storfe]" c="Storfe" cp="1">
          <x/>
        </s>
      </sharedItems>
      <mpMap v="23"/>
    </cacheField>
    <cacheField name="[Vare].[Avregningsundertype].[Avregningsundertype].[Avregningstype]" caption="Avregningstype" propertyName="Avregningstype" numFmtId="0" hierarchy="207" level="1" memberPropertyField="1">
      <sharedItems count="1">
        <s v="1. Slakt, ull og egg"/>
      </sharedItems>
    </cacheField>
    <cacheField name="[Measures].[Kjoereseddel Nr]" caption="Antall kjøresedler" numFmtId="0" hierarchy="289" level="32767"/>
  </cacheFields>
  <cacheHierarchies count="345">
    <cacheHierarchy uniqueName="[Anmerkningstype].[Anmerkningskonsekvens]" caption="Anmerkningskonsekvens" attribute="1" defaultMemberUniqueName="[Anmerkningstype].[Anmerkningskonsekvens].[Alle]" allUniqueName="[Anmerkningstype].[Anmerkningskonsekvens].[Alle]" dimensionUniqueName="[Anmerkningstype]" displayFolder="" count="0" unbalanced="0"/>
    <cacheHierarchy uniqueName="[Anmerkningstype].[Anmerkningskonsekvens hierarki]" caption="Anmerkningskonsekvens hierarki" defaultMemberUniqueName="[Anmerkningstype].[Anmerkningskonsekvens hierarki].[All]" allUniqueName="[Anmerkningstype].[Anmerkningskonsekvens hierarki].[All]" dimensionUniqueName="[Anmerkningstype]" displayFolder="" count="0" unbalanced="0"/>
    <cacheHierarchy uniqueName="[Anmerkningstype].[Anmerkningskonsekvens kode navn]" caption="Anmerkningskonsekvens kode navn" attribute="1" defaultMemberUniqueName="[Anmerkningstype].[Anmerkningskonsekvens kode navn].[Alle]" allUniqueName="[Anmerkningstype].[Anmerkningskonsekvens kode navn].[Alle]" dimensionUniqueName="[Anmerkningstype]" displayFolder="" count="0" unbalanced="0"/>
    <cacheHierarchy uniqueName="[Anmerkningstype].[Anmerkningskonsekvenskode]" caption="Anmerkningskonsekvenskode" attribute="1" defaultMemberUniqueName="[Anmerkningstype].[Anmerkningskonsekvenskode].[Alle]" allUniqueName="[Anmerkningstype].[Anmerkningskonsekvenskode].[Alle]" dimensionUniqueName="[Anmerkningstype]" displayFolder="" count="0" unbalanced="0"/>
    <cacheHierarchy uniqueName="[Anmerkningstype].[Anmerkningstype]" caption="Anmerkningstype" attribute="1" defaultMemberUniqueName="[Anmerkningstype].[Anmerkningstype].[Alle]" allUniqueName="[Anmerkningstype].[Anmerkningstype].[Alle]" dimensionUniqueName="[Anmerkningstype]" displayFolder="" count="0" unbalanced="0"/>
    <cacheHierarchy uniqueName="[Anmerkningstype].[Anmerkningstype Ekstern]" caption="Anmerkningstype Ekstern" attribute="1" defaultMemberUniqueName="[Anmerkningstype].[Anmerkningstype Ekstern].[Alle]" allUniqueName="[Anmerkningstype].[Anmerkningstype Ekstern].[Alle]" dimensionUniqueName="[Anmerkningstype]" displayFolder="" count="0" unbalanced="0"/>
    <cacheHierarchy uniqueName="[Anmerkningstype].[Anmerkningstype kode navn]" caption="Anmerkningstype kode navn" attribute="1" defaultMemberUniqueName="[Anmerkningstype].[Anmerkningstype kode navn].[Alle]" allUniqueName="[Anmerkningstype].[Anmerkningstype kode navn].[Alle]" dimensionUniqueName="[Anmerkningstype]" displayFolder="" count="0" unbalanced="0"/>
    <cacheHierarchy uniqueName="[Anmerkningstype].[Anmerkningstypegruppe]" caption="Anmerkningstypegruppe" attribute="1" defaultMemberUniqueName="[Anmerkningstype].[Anmerkningstypegruppe].[Alle]" allUniqueName="[Anmerkningstype].[Anmerkningstypegruppe].[Alle]" dimensionUniqueName="[Anmerkningstype]" displayFolder="" count="0" unbalanced="0"/>
    <cacheHierarchy uniqueName="[Anmerkningstype].[Anmerkningstypegruppe hierarki]" caption="Anmerkningstypegruppe hierarki" defaultMemberUniqueName="[Anmerkningstype].[Anmerkningstypegruppe hierarki].[All]" allUniqueName="[Anmerkningstype].[Anmerkningstypegruppe hierarki].[All]" dimensionUniqueName="[Anmerkningstype]" displayFolder="" count="0" unbalanced="0"/>
    <cacheHierarchy uniqueName="[Anmerkningstype].[Anmerkningstypekode]" caption="Anmerkningstypekode" attribute="1" defaultMemberUniqueName="[Anmerkningstype].[Anmerkningstypekode].[Alle]" allUniqueName="[Anmerkningstype].[Anmerkningstypekode].[Alle]" dimensionUniqueName="[Anmerkningstype]" displayFolder="" count="0" unbalanced="0"/>
    <cacheHierarchy uniqueName="[Anmerkningstype].[Sykdomsgruppe hierarki]" caption="Sykdomsgruppe hierarki" defaultMemberUniqueName="[Anmerkningstype].[Sykdomsgruppe hierarki].[All]" allUniqueName="[Anmerkningstype].[Sykdomsgruppe hierarki].[All]" dimensionUniqueName="[Anmerkningstype]" displayFolder="" count="0" unbalanced="0"/>
    <cacheHierarchy uniqueName="[Anmerkningstype].[Sykdomsgruppekode]" caption="Sykdomsgruppekode" attribute="1" defaultMemberUniqueName="[Anmerkningstype].[Sykdomsgruppekode].[Alle]" allUniqueName="[Anmerkningstype].[Sykdomsgruppekode].[Alle]" dimensionUniqueName="[Anmerkningstype]" displayFolder="" count="0" unbalanced="0"/>
    <cacheHierarchy uniqueName="[Avdeling].[Anlegg Nr Navn]" caption="Anlegg Nr Navn" attribute="1" defaultMemberUniqueName="[Avdeling].[Anlegg Nr Navn].[Alle]" allUniqueName="[Avdeling].[Anlegg Nr Navn].[Alle]" dimensionUniqueName="[Avdeling]" displayFolder="" count="0" unbalanced="0"/>
    <cacheHierarchy uniqueName="[Avdeling].[Avdeling nr navn]" caption="Avdeling nr navn" attribute="1" defaultMemberUniqueName="[Avdeling].[Avdeling nr navn].[Alle]" allUniqueName="[Avdeling].[Avdeling nr navn].[Alle]" dimensionUniqueName="[Avdeling]" displayFolder="" count="0" unbalanced="0"/>
    <cacheHierarchy uniqueName="[Avdeling].[Efta nr]" caption="Efta nr" attribute="1" defaultMemberUniqueName="[Avdeling].[Efta nr].[Alle]" allUniqueName="[Avdeling].[Efta nr].[Alle]" dimensionUniqueName="[Avdeling]" displayFolder="" count="0" unbalanced="0"/>
    <cacheHierarchy uniqueName="[Avdeling].[Fabrikk]" caption="Fabrikk" attribute="1" defaultMemberUniqueName="[Avdeling].[Fabrikk].[Alle]" allUniqueName="[Avdeling].[Fabrikk].[Alle]" dimensionUniqueName="[Avdeling]" displayFolder="" count="0" unbalanced="0"/>
    <cacheHierarchy uniqueName="[Avdeling].[Fabrikk hierarki]" caption="Fabrikk hierarki" defaultMemberUniqueName="[Avdeling].[Fabrikk hierarki].[Alle]" allUniqueName="[Avdeling].[Fabrikk hierarki].[Alle]" dimensionUniqueName="[Avdeling]" displayFolder="" count="0" unbalanced="0"/>
    <cacheHierarchy uniqueName="[Avdeling].[Foretak]" caption="Foretak" attribute="1" defaultMemberUniqueName="[Avdeling].[Foretak].[Alle]" allUniqueName="[Avdeling].[Foretak].[Alle]" dimensionUniqueName="[Avdeling]" displayFolder="" count="0" unbalanced="0"/>
    <cacheHierarchy uniqueName="[Avdeling].[Foretak nr]" caption="Foretak nr" attribute="1" defaultMemberUniqueName="[Avdeling].[Foretak nr].[Alle]" allUniqueName="[Avdeling].[Foretak nr].[Alle]" dimensionUniqueName="[Avdeling]" displayFolder="" count="0" unbalanced="0"/>
    <cacheHierarchy uniqueName="[Avdeling].[SLF]" caption="SLF" attribute="1" defaultMemberUniqueName="[Avdeling].[SLF].[Alle]" allUniqueName="[Avdeling].[SLF].[Alle]" dimensionUniqueName="[Avdeling]" displayFolder="" count="0" unbalanced="0"/>
    <cacheHierarchy uniqueName="[Avregning].[Ankomstdato]" caption="Ankomstdato" attribute="1" defaultMemberUniqueName="[Avregning].[Ankomstdato].[Alle]" allUniqueName="[Avregning].[Ankomstdato].[Alle]" dimensionUniqueName="[Avregning]" displayFolder="" count="0" unbalanced="0"/>
    <cacheHierarchy uniqueName="[Avregning].[Ankomsttid]" caption="Ankomsttid" attribute="1" defaultMemberUniqueName="[Avregning].[Ankomsttid].[Alle]" allUniqueName="[Avregning].[Ankomsttid].[Alle]" dimensionUniqueName="[Avregning]" displayFolder="" count="0" unbalanced="0"/>
    <cacheHierarchy uniqueName="[Avregning].[Avregnings nr]" caption="Avregnings nr" attribute="1" defaultMemberUniqueName="[Avregning].[Avregnings nr].[Alle]" allUniqueName="[Avregning].[Avregnings nr].[Alle]" dimensionUniqueName="[Avregning]" displayFolder="" count="0" unbalanced="0"/>
    <cacheHierarchy uniqueName="[Avregning].[Avregningsdato]" caption="Avregningsdato" attribute="1" defaultMemberUniqueName="[Avregning].[Avregningsdato].[Alle]" allUniqueName="[Avregning].[Avregningsdato].[Alle]" dimensionUniqueName="[Avregning]" displayFolder="" count="0" unbalanced="0"/>
    <cacheHierarchy uniqueName="[Avregning].[Fettprosent Kode]" caption="Fettgruppe" attribute="1" defaultMemberUniqueName="[Avregning].[Fettprosent Kode].[Alle]" allUniqueName="[Avregning].[Fettprosent Kode].[Alle]" dimensionUniqueName="[Avregning]" displayFolder="" count="0" unbalanced="0"/>
    <cacheHierarchy uniqueName="[Avregning].[Foedselsvekt]" caption="Fødselsvekt storfe" attribute="1" defaultMemberUniqueName="[Avregning].[Foedselsvekt].[Alle]" allUniqueName="[Avregning].[Foedselsvekt].[Alle]" dimensionUniqueName="[Avregning]" displayFolder="" count="0" unbalanced="0"/>
    <cacheHierarchy uniqueName="[Avregning].[Fødselsdato]" caption="Fødselsdato" attribute="1" defaultMemberUniqueName="[Avregning].[Fødselsdato].[Alle]" allUniqueName="[Avregning].[Fødselsdato].[Alle]" dimensionUniqueName="[Avregning]" displayFolder="" count="0" unbalanced="0"/>
    <cacheHierarchy uniqueName="[Avregning].[Halal]" caption="Halal" attribute="1" defaultMemberUniqueName="[Avregning].[Halal].[Alle]" allUniqueName="[Avregning].[Halal].[Alle]" dimensionUniqueName="[Avregning]" displayFolder="" count="0" unbalanced="0"/>
    <cacheHierarchy uniqueName="[Avregning].[Hoenas Alder I Uker]" caption="Hønas alder i uker" attribute="1" defaultMemberUniqueName="[Avregning].[Hoenas Alder I Uker].[Alle]" allUniqueName="[Avregning].[Hoenas Alder I Uker].[Alle]" dimensionUniqueName="[Avregning]" displayFolder="" count="0" unbalanced="0"/>
    <cacheHierarchy uniqueName="[Avregning].[Individ Alder Dager]" caption="Individ Alder" attribute="1" defaultMemberUniqueName="[Avregning].[Individ Alder Dager].[Alle]" allUniqueName="[Avregning].[Individ Alder Dager].[Alle]" dimensionUniqueName="[Avregning]" displayFolder="" count="0" unbalanced="0"/>
    <cacheHierarchy uniqueName="[Avregning].[Individ nr]" caption="Individ nr" attribute="1" defaultMemberUniqueName="[Avregning].[Individ nr].[Alle]" allUniqueName="[Avregning].[Individ nr].[Alle]" dimensionUniqueName="[Avregning]" displayFolder="" count="0" unbalanced="0"/>
    <cacheHierarchy uniqueName="[Avregning].[Individmerke]" caption="Individmerke" attribute="1" defaultMemberUniqueName="[Avregning].[Individmerke].[Alle]" allUniqueName="[Avregning].[Individmerke].[Alle]" dimensionUniqueName="[Avregning]" displayFolder="" count="0" unbalanced="0"/>
    <cacheHierarchy uniqueName="[Avregning].[Kjoereseddel Nr]" caption="Kjøreseddel nr" attribute="1" defaultMemberUniqueName="[Avregning].[Kjoereseddel Nr].[Alle]" allUniqueName="[Avregning].[Kjoereseddel Nr].[Alle]" dimensionUniqueName="[Avregning]" displayFolder="" count="0" unbalanced="0"/>
    <cacheHierarchy uniqueName="[Avregning].[Kjoereseddeltype]" caption="Kjøreseddeltype" attribute="1" defaultMemberUniqueName="[Avregning].[Kjoereseddeltype].[Alle]" allUniqueName="[Avregning].[Kjoereseddeltype].[Alle]" dimensionUniqueName="[Avregning]" displayFolder="" count="0" unbalanced="0"/>
    <cacheHierarchy uniqueName="[Avregning].[Kjoettprosent Kode]" caption="Kjøttprosent Kode" attribute="1" defaultMemberUniqueName="[Avregning].[Kjoettprosent Kode].[Alle]" allUniqueName="[Avregning].[Kjoettprosent Kode].[Alle]" dimensionUniqueName="[Avregning]" displayFolder="" count="0" unbalanced="0"/>
    <cacheHierarchy uniqueName="[Avregning].[Km Avstand Leverandør]" caption="Avstand til mottagende fabrikk" attribute="1" defaultMemberUniqueName="[Avregning].[Km Avstand Leverandør].[Alle]" allUniqueName="[Avregning].[Km Avstand Leverandør].[Alle]" dimensionUniqueName="[Avregning]" displayFolder="" count="0" unbalanced="0"/>
    <cacheHierarchy uniqueName="[Avregning].[Lassnr]" caption="Lassnummer" attribute="1" defaultMemberUniqueName="[Avregning].[Lassnr].[Alle]" allUniqueName="[Avregning].[Lassnr].[Alle]" dimensionUniqueName="[Avregning]" displayFolder="" count="0" unbalanced="0"/>
    <cacheHierarchy uniqueName="[Avregning].[Merke]" caption="Opprinnelsesmerke" attribute="1" defaultMemberUniqueName="[Avregning].[Merke].[Alle]" allUniqueName="[Avregning].[Merke].[Alle]" dimensionUniqueName="[Avregning]" displayFolder="" count="0" unbalanced="0"/>
    <cacheHierarchy uniqueName="[Avregning].[Mottaksdato]" caption="Mottaksdato" attribute="1" defaultMemberUniqueName="[Avregning].[Mottaksdato].[Alle]" allUniqueName="[Avregning].[Mottaksdato].[Alle]" dimensionUniqueName="[Avregning]" displayFolder="" count="0" unbalanced="0"/>
    <cacheHierarchy uniqueName="[Avregning].[Overfoert Bankbeloep]" caption="Overfoert Bankbeloep" attribute="1" defaultMemberUniqueName="[Avregning].[Overfoert Bankbeloep].[Alle]" allUniqueName="[Avregning].[Overfoert Bankbeloep].[Alle]" dimensionUniqueName="[Avregning]" displayFolder="" count="0" unbalanced="0"/>
    <cacheHierarchy uniqueName="[Avregning].[Overført Bank Dato]" caption="Overført Bank Dato" attribute="1" defaultMemberUniqueName="[Avregning].[Overført Bank Dato].[Alle]" allUniqueName="[Avregning].[Overført Bank Dato].[Alle]" dimensionUniqueName="[Avregning]" displayFolder="" count="0" unbalanced="0"/>
    <cacheHierarchy uniqueName="[Avregning].[Parti Nr]" caption="Skrottnr" attribute="1" defaultMemberUniqueName="[Avregning].[Parti Nr].[Alle]" allUniqueName="[Avregning].[Parti Nr].[Alle]" dimensionUniqueName="[Avregning]" displayFolder="" count="0" unbalanced="0"/>
    <cacheHierarchy uniqueName="[Avregning].[Rute Kode]" caption="Rutenummer" attribute="1" defaultMemberUniqueName="[Avregning].[Rute Kode].[Alle]" allUniqueName="[Avregning].[Rute Kode].[Alle]" dimensionUniqueName="[Avregning]" displayFolder="" count="0" unbalanced="0"/>
    <cacheHierarchy uniqueName="[Avregning].[Sjaafoer Nr]" caption="Bilnummer" attribute="1" defaultMemberUniqueName="[Avregning].[Sjaafoer Nr].[Alle]" allUniqueName="[Avregning].[Sjaafoer Nr].[Alle]" dimensionUniqueName="[Avregning]" displayFolder="" count="0" unbalanced="0"/>
    <cacheHierarchy uniqueName="[Avregning].[Slaktedato]" caption="Slaktedato" attribute="1" defaultMemberUniqueName="[Avregning].[Slaktedato].[Alle]" allUniqueName="[Avregning].[Slaktedato].[Alle]" dimensionUniqueName="[Avregning]" displayFolder="" count="0" unbalanced="0"/>
    <cacheHierarchy uniqueName="[Avregning].[Slakteklasse Kode]" caption="Klasse" attribute="1" defaultMemberUniqueName="[Avregning].[Slakteklasse Kode].[Alle]" allUniqueName="[Avregning].[Slakteklasse Kode].[Alle]" dimensionUniqueName="[Avregning]" displayFolder="" count="0" unbalanced="0"/>
    <cacheHierarchy uniqueName="[Avregning].[Standardsats]" caption="Standardsats" attribute="1" defaultMemberUniqueName="[Avregning].[Standardsats].[Alle]" allUniqueName="[Avregning].[Standardsats].[Alle]" dimensionUniqueName="[Avregning]" displayFolder="" count="0" unbalanced="0"/>
    <cacheHierarchy uniqueName="[Avregning].[Transportsone Nr]" caption="Transportsone" attribute="1" defaultMemberUniqueName="[Avregning].[Transportsone Nr].[Alle]" allUniqueName="[Avregning].[Transportsone Nr].[Alle]" dimensionUniqueName="[Avregning]" displayFolder="" count="0" unbalanced="0"/>
    <cacheHierarchy uniqueName="[Avregning].[TurNr]" caption="TurNr" attribute="1" defaultMemberUniqueName="[Avregning].[TurNr].[Alle]" allUniqueName="[Avregning].[TurNr].[Alle]" dimensionUniqueName="[Avregning]" displayFolder="" count="0" unbalanced="0"/>
    <cacheHierarchy uniqueName="[Datakilde].[Forkortelse]" caption="Forkortelse" attribute="1" defaultMemberUniqueName="[Datakilde].[Forkortelse].[Alle]" allUniqueName="[Datakilde].[Forkortelse].[Alle]" dimensionUniqueName="[Datakilde]" displayFolder="" count="0" unbalanced="0"/>
    <cacheHierarchy uniqueName="[Datasett].[Datasett]" caption="Datasett" attribute="1" keyAttribute="1" defaultMemberUniqueName="[Datasett].[Datasett].[All]" allUniqueName="[Datasett].[Datasett].[All]" dimensionUniqueName="[Datasett]" displayFolder="" count="0" unbalanced="0"/>
    <cacheHierarchy uniqueName="[Hønas alder].[Hønas alder]" caption="Hønas alder" attribute="1" keyAttribute="1" defaultMemberUniqueName="[Hønas alder].[Hønas alder].[All]" allUniqueName="[Hønas alder].[Hønas alder].[All]" dimensionUniqueName="[Hønas alder]" displayFolder="" count="0" unbalanced="0"/>
    <cacheHierarchy uniqueName="[Kunde].[Adresse]" caption="Adresse" attribute="1" defaultMemberUniqueName="[Kunde].[Adresse].[Alle]" allUniqueName="[Kunde].[Adresse].[Alle]" dimensionUniqueName="[Kunde]" displayFolder="" count="0" unbalanced="0"/>
    <cacheHierarchy uniqueName="[Kunde].[Adresse2]" caption="Adresse2" attribute="1" defaultMemberUniqueName="[Kunde].[Adresse2].[Alle]" allUniqueName="[Kunde].[Adresse2].[Alle]" dimensionUniqueName="[Kunde]" displayFolder="" count="0" unbalanced="0"/>
    <cacheHierarchy uniqueName="[Kunde].[Bankgiro]" caption="Bankgiro" attribute="1" defaultMemberUniqueName="[Kunde].[Bankgiro].[Alle]" allUniqueName="[Kunde].[Bankgiro].[Alle]" dimensionUniqueName="[Kunde]" displayFolder="" count="0" unbalanced="0"/>
    <cacheHierarchy uniqueName="[Kunde].[Distriktssone]" caption="Distriktssone" attribute="1" defaultMemberUniqueName="[Kunde].[Distriktssone].[Alle]" allUniqueName="[Kunde].[Distriktssone].[Alle]" dimensionUniqueName="[Kunde]" displayFolder="" count="0" unbalanced="0"/>
    <cacheHierarchy uniqueName="[Kunde].[Epost]" caption="Epost" attribute="1" defaultMemberUniqueName="[Kunde].[Epost].[Alle]" allUniqueName="[Kunde].[Epost].[Alle]" dimensionUniqueName="[Kunde]" displayFolder="" count="0" unbalanced="0"/>
    <cacheHierarchy uniqueName="[Kunde].[Foedsels Nr]" caption="Fødselsnr" attribute="1" defaultMemberUniqueName="[Kunde].[Foedsels Nr].[Alle]" allUniqueName="[Kunde].[Foedsels Nr].[Alle]" dimensionUniqueName="[Kunde]" displayFolder="" count="0" unbalanced="0"/>
    <cacheHierarchy uniqueName="[Kunde].[Fylke]" caption="Fylke navn" attribute="1" defaultMemberUniqueName="[Kunde].[Fylke].[Alle]" allUniqueName="[Kunde].[Fylke].[Alle]" dimensionUniqueName="[Kunde]" displayFolder="" count="0" unbalanced="0"/>
    <cacheHierarchy uniqueName="[Kunde].[Fylkesnr Navn]" caption="Fylke" attribute="1" defaultMemberUniqueName="[Kunde].[Fylkesnr Navn].[Alle]" allUniqueName="[Kunde].[Fylkesnr Navn].[Alle]" dimensionUniqueName="[Kunde]" displayFolder="" count="0" unbalanced="0"/>
    <cacheHierarchy uniqueName="[Kunde].[Gps Koordinat Nord]" caption="Gps Koordinat Nord" attribute="1" defaultMemberUniqueName="[Kunde].[Gps Koordinat Nord].[Alle]" allUniqueName="[Kunde].[Gps Koordinat Nord].[Alle]" dimensionUniqueName="[Kunde]" displayFolder="" count="0" unbalanced="0"/>
    <cacheHierarchy uniqueName="[Kunde].[Gps Koordinat Oest]" caption="Gps Koordinat Oest" attribute="1" defaultMemberUniqueName="[Kunde].[Gps Koordinat Oest].[Alle]" allUniqueName="[Kunde].[Gps Koordinat Oest].[Alle]" dimensionUniqueName="[Kunde]" displayFolder="" count="0" unbalanced="0"/>
    <cacheHierarchy uniqueName="[Kunde].[Gaards Og Bruks Nr]" caption="Gårds og bruksnummer" attribute="1" defaultMemberUniqueName="[Kunde].[Gaards Og Bruks Nr].[Alle]" allUniqueName="[Kunde].[Gaards Og Bruks Nr].[Alle]" dimensionUniqueName="[Kunde]" displayFolder="" count="0" unbalanced="0"/>
    <cacheHierarchy uniqueName="[Kunde].[Hjemmeside]" caption="Hjemmeside" attribute="1" defaultMemberUniqueName="[Kunde].[Hjemmeside].[Alle]" allUniqueName="[Kunde].[Hjemmeside].[Alle]" dimensionUniqueName="[Kunde]" displayFolder="" count="0" unbalanced="0"/>
    <cacheHierarchy uniqueName="[Kunde].[Hovedfabrikk]" caption="Hovedfabrikk" attribute="1" defaultMemberUniqueName="[Kunde].[Hovedfabrikk].[Alle]" allUniqueName="[Kunde].[Hovedfabrikk].[Alle]" dimensionUniqueName="[Kunde]" displayFolder="" count="0" unbalanced="0"/>
    <cacheHierarchy uniqueName="[Kunde].[IBAN]" caption="IBAN" attribute="1" defaultMemberUniqueName="[Kunde].[IBAN].[Alle]" allUniqueName="[Kunde].[IBAN].[Alle]" dimensionUniqueName="[Kunde]" displayFolder="" count="0" unbalanced="0"/>
    <cacheHierarchy uniqueName="[Kunde].[Kommune]" caption="Kommune navn" attribute="1" defaultMemberUniqueName="[Kunde].[Kommune].[Alle]" allUniqueName="[Kunde].[Kommune].[Alle]" dimensionUniqueName="[Kunde]" displayFolder="" count="0" unbalanced="0"/>
    <cacheHierarchy uniqueName="[Kunde].[Kommunenr Navn]" caption="Kommune" attribute="1" defaultMemberUniqueName="[Kunde].[Kommunenr Navn].[Alle]" allUniqueName="[Kunde].[Kommunenr Navn].[Alle]" dimensionUniqueName="[Kunde]" displayFolder="" count="0" unbalanced="0"/>
    <cacheHierarchy uniqueName="[Kunde].[Kunde nr]" caption="Kunde nr" attribute="1" defaultMemberUniqueName="[Kunde].[Kunde nr].[Alle]" allUniqueName="[Kunde].[Kunde nr].[Alle]" dimensionUniqueName="[Kunde]" displayFolder="" count="0" unbalanced="0"/>
    <cacheHierarchy uniqueName="[Kunde].[Kunde Nr Navn]" caption="Kunde" attribute="1" defaultMemberUniqueName="[Kunde].[Kunde Nr Navn].[Alle]" allUniqueName="[Kunde].[Kunde Nr Navn].[Alle]" dimensionUniqueName="[Kunde]" displayFolder="" count="0" unbalanced="0"/>
    <cacheHierarchy uniqueName="[Kunde].[Medlemskap Tekst]" caption="Medlemskap" attribute="1" defaultMemberUniqueName="[Kunde].[Medlemskap Tekst].[Alle]" allUniqueName="[Kunde].[Medlemskap Tekst].[Alle]" dimensionUniqueName="[Kunde]" displayFolder="" count="0" unbalanced="0"/>
    <cacheHierarchy uniqueName="[Kunde].[Medlemsrettighet Tekst]" caption="Medlemsrettighet" attribute="1" defaultMemberUniqueName="[Kunde].[Medlemsrettighet Tekst].[Alle]" allUniqueName="[Kunde].[Medlemsrettighet Tekst].[Alle]" dimensionUniqueName="[Kunde]" displayFolder="" count="0" unbalanced="0"/>
    <cacheHierarchy uniqueName="[Kunde].[Mobil]" caption="Mobil" attribute="1" defaultMemberUniqueName="[Kunde].[Mobil].[Alle]" allUniqueName="[Kunde].[Mobil].[Alle]" dimensionUniqueName="[Kunde]" displayFolder="" count="0" unbalanced="0"/>
    <cacheHierarchy uniqueName="[Kunde].[Org Nr]" caption="Organisasjons nr" attribute="1" defaultMemberUniqueName="[Kunde].[Org Nr].[Alle]" allUniqueName="[Kunde].[Org Nr].[Alle]" dimensionUniqueName="[Kunde]" displayFolder="" count="0" unbalanced="0"/>
    <cacheHierarchy uniqueName="[Kunde].[Post nr sted]" caption="Post nr sted" attribute="1" defaultMemberUniqueName="[Kunde].[Post nr sted].[Alle]" allUniqueName="[Kunde].[Post nr sted].[Alle]" dimensionUniqueName="[Kunde]" displayFolder="" count="0" unbalanced="0"/>
    <cacheHierarchy uniqueName="[Kunde].[Produsent Nr Navn]" caption="Produsent" attribute="1" defaultMemberUniqueName="[Kunde].[Produsent Nr Navn].[Alle]" allUniqueName="[Kunde].[Produsent Nr Navn].[Alle]" dimensionUniqueName="[Kunde]" displayFolder="" count="0" unbalanced="0"/>
    <cacheHierarchy uniqueName="[Kunde].[Produsentgeografi]" caption="Produsentgeografi" defaultMemberUniqueName="[Kunde].[Produsentgeografi].[Alle]" allUniqueName="[Kunde].[Produsentgeografi].[Alle]" dimensionUniqueName="[Kunde]" displayFolder="" count="0" unbalanced="0"/>
    <cacheHierarchy uniqueName="[Kunde].[Produsentstatus]" caption="Produsentstatus" attribute="1" defaultMemberUniqueName="[Kunde].[Produsentstatus].[Alle]" allUniqueName="[Kunde].[Produsentstatus].[Alle]" dimensionUniqueName="[Kunde]" displayFolder="" count="0" unbalanced="0"/>
    <cacheHierarchy uniqueName="[Kunde].[Telefon dag]" caption="Telefon dag" attribute="1" defaultMemberUniqueName="[Kunde].[Telefon dag].[Alle]" allUniqueName="[Kunde].[Telefon dag].[Alle]" dimensionUniqueName="[Kunde]" displayFolder="" count="0" unbalanced="0"/>
    <cacheHierarchy uniqueName="[Kunde].[Telefon kveld]" caption="Telefon kveld" attribute="1" defaultMemberUniqueName="[Kunde].[Telefon kveld].[Alle]" allUniqueName="[Kunde].[Telefon kveld].[Alle]" dimensionUniqueName="[Kunde]" displayFolder="" count="0" unbalanced="0"/>
    <cacheHierarchy uniqueName="[Leverandør].[Adresse]" caption="Adresse" attribute="1" defaultMemberUniqueName="[Leverandør].[Adresse].[Alle]" allUniqueName="[Leverandør].[Adresse].[Alle]" dimensionUniqueName="[Leverandør]" displayFolder="" count="0" unbalanced="0"/>
    <cacheHierarchy uniqueName="[Leverandør].[Adresse Hoved]" caption="Adresse Hoved" attribute="1" defaultMemberUniqueName="[Leverandør].[Adresse Hoved].[Alle]" allUniqueName="[Leverandør].[Adresse Hoved].[Alle]" dimensionUniqueName="[Leverandør]" displayFolder="" count="0" unbalanced="0"/>
    <cacheHierarchy uniqueName="[Leverandør].[Adresse2]" caption="Adresse2" attribute="1" defaultMemberUniqueName="[Leverandør].[Adresse2].[Alle]" allUniqueName="[Leverandør].[Adresse2].[Alle]" dimensionUniqueName="[Leverandør]" displayFolder="" count="0" unbalanced="0"/>
    <cacheHierarchy uniqueName="[Leverandør].[Adresse2 Hoved]" caption="Adresse2 Hoved" attribute="1" defaultMemberUniqueName="[Leverandør].[Adresse2 Hoved].[Alle]" allUniqueName="[Leverandør].[Adresse2 Hoved].[Alle]" dimensionUniqueName="[Leverandør]" displayFolder="" count="0" unbalanced="0"/>
    <cacheHierarchy uniqueName="[Leverandør].[Andel]" caption="Andel" attribute="1" defaultMemberUniqueName="[Leverandør].[Andel].[Alle]" allUniqueName="[Leverandør].[Andel].[Alle]" dimensionUniqueName="[Leverandør]" displayFolder="" count="0" unbalanced="0"/>
    <cacheHierarchy uniqueName="[Leverandør].[Andelsbrev]" caption="Andelsbrev" attribute="1" defaultMemberUniqueName="[Leverandør].[Andelsbrev].[Alle]" allUniqueName="[Leverandør].[Andelsbrev].[Alle]" dimensionUniqueName="[Leverandør]" displayFolder="" count="0" unbalanced="0"/>
    <cacheHierarchy uniqueName="[Leverandør].[Bankgiro]" caption="Bankgiro" attribute="1" defaultMemberUniqueName="[Leverandør].[Bankgiro].[Alle]" allUniqueName="[Leverandør].[Bankgiro].[Alle]" dimensionUniqueName="[Leverandør]" displayFolder="" count="0" unbalanced="0"/>
    <cacheHierarchy uniqueName="[Leverandør].[Distriktssone]" caption="Distriktssone" attribute="1" defaultMemberUniqueName="[Leverandør].[Distriktssone].[Alle]" allUniqueName="[Leverandør].[Distriktssone].[Alle]" dimensionUniqueName="[Leverandør]" displayFolder="" count="0" unbalanced="0"/>
    <cacheHierarchy uniqueName="[Leverandør].[Driftskreditt]" caption="Driftskreditt" attribute="1" defaultMemberUniqueName="[Leverandør].[Driftskreditt].[Alle]" allUniqueName="[Leverandør].[Driftskreditt].[Alle]" dimensionUniqueName="[Leverandør]" displayFolder="" count="0" unbalanced="0"/>
    <cacheHierarchy uniqueName="[Leverandør].[Dyreholdsid]" caption="Dyreholdsid" attribute="1" defaultMemberUniqueName="[Leverandør].[Dyreholdsid].[Alle]" allUniqueName="[Leverandør].[Dyreholdsid].[Alle]" dimensionUniqueName="[Leverandør]" displayFolder="" count="0" unbalanced="0"/>
    <cacheHierarchy uniqueName="[Leverandør].[Epost]" caption="Epost" attribute="1" defaultMemberUniqueName="[Leverandør].[Epost].[Alle]" allUniqueName="[Leverandør].[Epost].[Alle]" dimensionUniqueName="[Leverandør]" displayFolder="" count="0" unbalanced="0"/>
    <cacheHierarchy uniqueName="[Leverandør].[Epost Hoved]" caption="Epost Hoved" attribute="1" defaultMemberUniqueName="[Leverandør].[Epost Hoved].[Alle]" allUniqueName="[Leverandør].[Epost Hoved].[Alle]" dimensionUniqueName="[Leverandør]" displayFolder="" count="0" unbalanced="0"/>
    <cacheHierarchy uniqueName="[Leverandør].[Foedsels Nr]" caption="Fødselsnr" attribute="1" defaultMemberUniqueName="[Leverandør].[Foedsels Nr].[Alle]" allUniqueName="[Leverandør].[Foedsels Nr].[Alle]" dimensionUniqueName="[Leverandør]" displayFolder="" count="0" unbalanced="0"/>
    <cacheHierarchy uniqueName="[Leverandør].[Foedselsdato]" caption="Fødselsdato" attribute="1" defaultMemberUniqueName="[Leverandør].[Foedselsdato].[Alle]" allUniqueName="[Leverandør].[Foedselsdato].[Alle]" dimensionUniqueName="[Leverandør]" displayFolder="" count="0" unbalanced="0"/>
    <cacheHierarchy uniqueName="[Leverandør].[Frakttilskuddsone]" caption="Frakttilskuddsone" attribute="1" defaultMemberUniqueName="[Leverandør].[Frakttilskuddsone].[Alle]" allUniqueName="[Leverandør].[Frakttilskuddsone].[Alle]" dimensionUniqueName="[Leverandør]" displayFolder="" count="0" unbalanced="0"/>
    <cacheHierarchy uniqueName="[Leverandør].[Fylke]" caption="Fylke navn" attribute="1" defaultMemberUniqueName="[Leverandør].[Fylke].[Alle]" allUniqueName="[Leverandør].[Fylke].[Alle]" dimensionUniqueName="[Leverandør]" displayFolder="" count="0" unbalanced="0"/>
    <cacheHierarchy uniqueName="[Leverandør].[Fylke nr]" caption="Fylke nr" attribute="1" defaultMemberUniqueName="[Leverandør].[Fylke nr].[Alle]" allUniqueName="[Leverandør].[Fylke nr].[Alle]" dimensionUniqueName="[Leverandør]" displayFolder="" count="0" unbalanced="0"/>
    <cacheHierarchy uniqueName="[Leverandør].[Fylkesnr Navn]" caption="Fylke" attribute="1" defaultMemberUniqueName="[Leverandør].[Fylkesnr Navn].[Alle]" allUniqueName="[Leverandør].[Fylkesnr Navn].[Alle]" dimensionUniqueName="[Leverandør]" displayFolder="" count="0" unbalanced="0"/>
    <cacheHierarchy uniqueName="[Leverandør].[Gps Koordinat Nord]" caption="Gps Koordinat Nord" attribute="1" defaultMemberUniqueName="[Leverandør].[Gps Koordinat Nord].[Alle]" allUniqueName="[Leverandør].[Gps Koordinat Nord].[Alle]" dimensionUniqueName="[Leverandør]" displayFolder="" count="0" unbalanced="0"/>
    <cacheHierarchy uniqueName="[Leverandør].[Gps Koordinat Oest]" caption="Gps Koordinat Oest" attribute="1" defaultMemberUniqueName="[Leverandør].[Gps Koordinat Oest].[Alle]" allUniqueName="[Leverandør].[Gps Koordinat Oest].[Alle]" dimensionUniqueName="[Leverandør]" displayFolder="" count="0" unbalanced="0"/>
    <cacheHierarchy uniqueName="[Leverandør].[Gyldig Fra]" caption="Gyldig Fra" attribute="1" defaultMemberUniqueName="[Leverandør].[Gyldig Fra].[Alle]" allUniqueName="[Leverandør].[Gyldig Fra].[Alle]" dimensionUniqueName="[Leverandør]" displayFolder="" count="0" unbalanced="0"/>
    <cacheHierarchy uniqueName="[Leverandør].[Gårds og Bruks Nr]" caption="Gårds og bruksnummer" attribute="1" defaultMemberUniqueName="[Leverandør].[Gårds og Bruks Nr].[Alle]" allUniqueName="[Leverandør].[Gårds og Bruks Nr].[Alle]" dimensionUniqueName="[Leverandør]" displayFolder="" count="0" unbalanced="0"/>
    <cacheHierarchy uniqueName="[Leverandør].[Hjemmeside]" caption="Hjemmeside" attribute="1" defaultMemberUniqueName="[Leverandør].[Hjemmeside].[Alle]" allUniqueName="[Leverandør].[Hjemmeside].[Alle]" dimensionUniqueName="[Leverandør]" displayFolder="" count="0" unbalanced="0"/>
    <cacheHierarchy uniqueName="[Leverandør].[Hovedfabrikk]" caption="Hovedfabrikk" attribute="1" defaultMemberUniqueName="[Leverandør].[Hovedfabrikk].[Alle]" allUniqueName="[Leverandør].[Hovedfabrikk].[Alle]" dimensionUniqueName="[Leverandør]" displayFolder="" count="0" unbalanced="0"/>
    <cacheHierarchy uniqueName="[Leverandør].[IBAN]" caption="IBAN" attribute="1" defaultMemberUniqueName="[Leverandør].[IBAN].[Alle]" allUniqueName="[Leverandør].[IBAN].[Alle]" dimensionUniqueName="[Leverandør]" displayFolder="" count="0" unbalanced="0"/>
    <cacheHierarchy uniqueName="[Leverandør].[Kommune]" caption="Kommune navn" attribute="1" defaultMemberUniqueName="[Leverandør].[Kommune].[Alle]" allUniqueName="[Leverandør].[Kommune].[Alle]" dimensionUniqueName="[Leverandør]" displayFolder="" count="0" unbalanced="0"/>
    <cacheHierarchy uniqueName="[Leverandør].[Kommune nr]" caption="Kommune nr" attribute="1" defaultMemberUniqueName="[Leverandør].[Kommune nr].[Alle]" allUniqueName="[Leverandør].[Kommune nr].[Alle]" dimensionUniqueName="[Leverandør]" displayFolder="" count="0" unbalanced="0"/>
    <cacheHierarchy uniqueName="[Leverandør].[Kommunenr Navn]" caption="Kommune" attribute="1" defaultMemberUniqueName="[Leverandør].[Kommunenr Navn].[Alle]" allUniqueName="[Leverandør].[Kommunenr Navn].[Alle]" dimensionUniqueName="[Leverandør]" displayFolder="" count="2" unbalanced="0">
      <fieldsUsage count="2">
        <fieldUsage x="-1"/>
        <fieldUsage x="21"/>
      </fieldsUsage>
    </cacheHierarchy>
    <cacheHierarchy uniqueName="[Leverandør].[KSL godkjent]" caption="KSL godkjent" attribute="1" defaultMemberUniqueName="[Leverandør].[KSL godkjent].[Alle]" allUniqueName="[Leverandør].[KSL godkjent].[Alle]" dimensionUniqueName="[Leverandør]" displayFolder="" count="0" unbalanced="0"/>
    <cacheHierarchy uniqueName="[Leverandør].[KSL Stoppdato]" caption="KSL Stoppdato" attribute="1" defaultMemberUniqueName="[Leverandør].[KSL Stoppdato].[Alle]" allUniqueName="[Leverandør].[KSL Stoppdato].[Alle]" dimensionUniqueName="[Leverandør]" displayFolder="" count="0" unbalanced="0"/>
    <cacheHierarchy uniqueName="[Leverandør].[Leverandoer]" caption="Leverandør navn" attribute="1" defaultMemberUniqueName="[Leverandør].[Leverandoer].[Alle]" allUniqueName="[Leverandør].[Leverandoer].[Alle]" dimensionUniqueName="[Leverandør]" displayFolder="" count="0" unbalanced="0"/>
    <cacheHierarchy uniqueName="[Leverandør].[Leverandoer Gruppe]" caption="Leverandørgruppe" attribute="1" defaultMemberUniqueName="[Leverandør].[Leverandoer Gruppe].[Alle]" allUniqueName="[Leverandør].[Leverandoer Gruppe].[Alle]" dimensionUniqueName="[Leverandør]" displayFolder="" count="0" unbalanced="0"/>
    <cacheHierarchy uniqueName="[Leverandør].[Leverandoernr Navn Hoved]" caption="Leverandør hoved" attribute="1" defaultMemberUniqueName="[Leverandør].[Leverandoernr Navn Hoved].[Alle]" allUniqueName="[Leverandør].[Leverandoernr Navn Hoved].[Alle]" dimensionUniqueName="[Leverandør]" displayFolder="" count="0" unbalanced="0"/>
    <cacheHierarchy uniqueName="[Leverandør].[Leverandør Nr]" caption="Leverandør Nr" attribute="1" defaultMemberUniqueName="[Leverandør].[Leverandør Nr].[Alle]" allUniqueName="[Leverandør].[Leverandør Nr].[Alle]" dimensionUniqueName="[Leverandør]" displayFolder="" count="0" unbalanced="0"/>
    <cacheHierarchy uniqueName="[Leverandør].[Leverandør nr hoved]" caption="Leverandør nr hoved" attribute="1" defaultMemberUniqueName="[Leverandør].[Leverandør nr hoved].[Alle]" allUniqueName="[Leverandør].[Leverandør nr hoved].[Alle]" dimensionUniqueName="[Leverandør]" displayFolder="" count="0" unbalanced="0"/>
    <cacheHierarchy uniqueName="[Leverandør].[Leverandør Nr Navn]" caption="Leverandør" attribute="1" defaultMemberUniqueName="[Leverandør].[Leverandør Nr Navn].[Alle]" allUniqueName="[Leverandør].[Leverandør Nr Navn].[Alle]" dimensionUniqueName="[Leverandør]" displayFolder="" count="0" unbalanced="0"/>
    <cacheHierarchy uniqueName="[Leverandør].[Medlemskap]" caption="Medlemskap" attribute="1" defaultMemberUniqueName="[Leverandør].[Medlemskap].[Alle]" allUniqueName="[Leverandør].[Medlemskap].[Alle]" dimensionUniqueName="[Leverandør]" displayFolder="" count="0" unbalanced="0"/>
    <cacheHierarchy uniqueName="[Leverandør].[Medlemskap Hoved]" caption="Medlemskap Hoved" attribute="1" defaultMemberUniqueName="[Leverandør].[Medlemskap Hoved].[Alle]" allUniqueName="[Leverandør].[Medlemskap Hoved].[Alle]" dimensionUniqueName="[Leverandør]" displayFolder="" count="0" unbalanced="0"/>
    <cacheHierarchy uniqueName="[Leverandør].[Medlemskapdato]" caption="Medlemskapdato" attribute="1" defaultMemberUniqueName="[Leverandør].[Medlemskapdato].[Alle]" allUniqueName="[Leverandør].[Medlemskapdato].[Alle]" dimensionUniqueName="[Leverandør]" displayFolder="" count="0" unbalanced="0"/>
    <cacheHierarchy uniqueName="[Leverandør].[Medlemsrettighet]" caption="Medlemsrettighet" attribute="1" defaultMemberUniqueName="[Leverandør].[Medlemsrettighet].[Alle]" allUniqueName="[Leverandør].[Medlemsrettighet].[Alle]" dimensionUniqueName="[Leverandør]" displayFolder="" count="0" unbalanced="0"/>
    <cacheHierarchy uniqueName="[Leverandør].[Medlemsrettighet Hoved]" caption="Medlemsrettighet Hoved" attribute="1" defaultMemberUniqueName="[Leverandør].[Medlemsrettighet Hoved].[Alle]" allUniqueName="[Leverandør].[Medlemsrettighet Hoved].[Alle]" dimensionUniqueName="[Leverandør]" displayFolder="" count="0" unbalanced="0"/>
    <cacheHierarchy uniqueName="[Leverandør].[Mobil]" caption="Mobil" attribute="1" defaultMemberUniqueName="[Leverandør].[Mobil].[Alle]" allUniqueName="[Leverandør].[Mobil].[Alle]" dimensionUniqueName="[Leverandør]" displayFolder="" count="0" unbalanced="0"/>
    <cacheHierarchy uniqueName="[Leverandør].[Mobil Hoved]" caption="Mobil Hoved" attribute="1" defaultMemberUniqueName="[Leverandør].[Mobil Hoved].[Alle]" allUniqueName="[Leverandør].[Mobil Hoved].[Alle]" dimensionUniqueName="[Leverandør]" displayFolder="" count="0" unbalanced="0"/>
    <cacheHierarchy uniqueName="[Leverandør].[Org Nr]" caption="Organisasjons nr" attribute="1" defaultMemberUniqueName="[Leverandør].[Org Nr].[Alle]" allUniqueName="[Leverandør].[Org Nr].[Alle]" dimensionUniqueName="[Leverandør]" displayFolder="" count="0" unbalanced="0"/>
    <cacheHierarchy uniqueName="[Leverandør].[Orgnr Hoved]" caption="Orgnr Hoved" attribute="1" defaultMemberUniqueName="[Leverandør].[Orgnr Hoved].[Alle]" allUniqueName="[Leverandør].[Orgnr Hoved].[Alle]" dimensionUniqueName="[Leverandør]" displayFolder="" count="0" unbalanced="0"/>
    <cacheHierarchy uniqueName="[Leverandør].[Overdragelsesdato]" caption="Overdragelsesdato" attribute="1" defaultMemberUniqueName="[Leverandør].[Overdragelsesdato].[Alle]" allUniqueName="[Leverandør].[Overdragelsesdato].[Alle]" dimensionUniqueName="[Leverandør]" displayFolder="" count="0" unbalanced="0"/>
    <cacheHierarchy uniqueName="[Leverandør].[Post nr sted]" caption="Post nr sted" attribute="1" defaultMemberUniqueName="[Leverandør].[Post nr sted].[Alle]" allUniqueName="[Leverandør].[Post nr sted].[Alle]" dimensionUniqueName="[Leverandør]" displayFolder="" count="0" unbalanced="0"/>
    <cacheHierarchy uniqueName="[Leverandør].[Post nr sted Hoved]" caption="Post nr sted Hoved" attribute="1" defaultMemberUniqueName="[Leverandør].[Post nr sted Hoved].[Alle]" allUniqueName="[Leverandør].[Post nr sted Hoved].[Alle]" dimensionUniqueName="[Leverandør]" displayFolder="" count="0" unbalanced="0"/>
    <cacheHierarchy uniqueName="[Leverandør].[Produsent]" caption="Produsent navn" attribute="1" defaultMemberUniqueName="[Leverandør].[Produsent].[Alle]" allUniqueName="[Leverandør].[Produsent].[Alle]" dimensionUniqueName="[Leverandør]" displayFolder="" count="0" unbalanced="0"/>
    <cacheHierarchy uniqueName="[Leverandør].[Produsent nr]" caption="Produsent nr" attribute="1" defaultMemberUniqueName="[Leverandør].[Produsent nr].[Alle]" allUniqueName="[Leverandør].[Produsent nr].[Alle]" dimensionUniqueName="[Leverandør]" displayFolder="" count="0" unbalanced="0"/>
    <cacheHierarchy uniqueName="[Leverandør].[Produsent Nr Navn]" caption="Produsent" attribute="1" defaultMemberUniqueName="[Leverandør].[Produsent Nr Navn].[Alle]" allUniqueName="[Leverandør].[Produsent Nr Navn].[Alle]" dimensionUniqueName="[Leverandør]" displayFolder="" count="0" unbalanced="0"/>
    <cacheHierarchy uniqueName="[Leverandør].[Produsent Nr Navn Hoved]" caption="Produsent Hoved" attribute="1" defaultMemberUniqueName="[Leverandør].[Produsent Nr Navn Hoved].[Alle]" allUniqueName="[Leverandør].[Produsent Nr Navn Hoved].[Alle]" dimensionUniqueName="[Leverandør]" displayFolder="" count="0" unbalanced="0"/>
    <cacheHierarchy uniqueName="[Leverandør].[Produsentgeografi]" caption="Produsentgeografi" defaultMemberUniqueName="[Leverandør].[Produsentgeografi].[Alle]" allUniqueName="[Leverandør].[Produsentgeografi].[Alle]" dimensionUniqueName="[Leverandør]" displayFolder="" count="3" unbalanced="0">
      <fieldsUsage count="3">
        <fieldUsage x="-1"/>
        <fieldUsage x="18"/>
        <fieldUsage x="19"/>
      </fieldsUsage>
    </cacheHierarchy>
    <cacheHierarchy uniqueName="[Leverandør].[Produsentstatus]" caption="Produsentstatus" attribute="1" defaultMemberUniqueName="[Leverandør].[Produsentstatus].[Alle]" allUniqueName="[Leverandør].[Produsentstatus].[Alle]" dimensionUniqueName="[Leverandør]" displayFolder="" count="0" unbalanced="0"/>
    <cacheHierarchy uniqueName="[Leverandør].[Siste Avregningsdato]" caption="Siste Avregningsdato" attribute="1" defaultMemberUniqueName="[Leverandør].[Siste Avregningsdato].[Alle]" allUniqueName="[Leverandør].[Siste Avregningsdato].[Alle]" dimensionUniqueName="[Leverandør]" displayFolder="" count="0" unbalanced="0"/>
    <cacheHierarchy uniqueName="[Leverandør].[Siste Mottaksdato]" caption="Siste Mottaksdato" attribute="1" defaultMemberUniqueName="[Leverandør].[Siste Mottaksdato].[Alle]" allUniqueName="[Leverandør].[Siste Mottaksdato].[Alle]" dimensionUniqueName="[Leverandør]" displayFolder="" count="0" unbalanced="0"/>
    <cacheHierarchy uniqueName="[Leverandør].[Sperret For Ordreopptak]" caption="Sperret For Ordreopptak" attribute="1" defaultMemberUniqueName="[Leverandør].[Sperret For Ordreopptak].[Alle]" allUniqueName="[Leverandør].[Sperret For Ordreopptak].[Alle]" dimensionUniqueName="[Leverandør]" displayFolder="" count="0" unbalanced="0"/>
    <cacheHierarchy uniqueName="[Leverandør].[Sperret Fra]" caption="Sperret Fra" attribute="1" defaultMemberUniqueName="[Leverandør].[Sperret Fra].[Alle]" allUniqueName="[Leverandør].[Sperret Fra].[Alle]" dimensionUniqueName="[Leverandør]" displayFolder="" count="0" unbalanced="0"/>
    <cacheHierarchy uniqueName="[Leverandør].[Telefon dag]" caption="Telefon dag" attribute="1" defaultMemberUniqueName="[Leverandør].[Telefon dag].[Alle]" allUniqueName="[Leverandør].[Telefon dag].[Alle]" dimensionUniqueName="[Leverandør]" displayFolder="" count="0" unbalanced="0"/>
    <cacheHierarchy uniqueName="[Leverandør].[Telefon Dag Hoved]" caption="Telefon Dag Hoved" attribute="1" defaultMemberUniqueName="[Leverandør].[Telefon Dag Hoved].[Alle]" allUniqueName="[Leverandør].[Telefon Dag Hoved].[Alle]" dimensionUniqueName="[Leverandør]" displayFolder="" count="0" unbalanced="0"/>
    <cacheHierarchy uniqueName="[Leverandør].[Telefon kveld]" caption="Telefon kveld" attribute="1" defaultMemberUniqueName="[Leverandør].[Telefon kveld].[Alle]" allUniqueName="[Leverandør].[Telefon kveld].[Alle]" dimensionUniqueName="[Leverandør]" displayFolder="" count="0" unbalanced="0"/>
    <cacheHierarchy uniqueName="[Leverandør].[Tillitsverv]" caption="Tillitsverv" attribute="1" defaultMemberUniqueName="[Leverandør].[Tillitsverv].[Alle]" allUniqueName="[Leverandør].[Tillitsverv].[Alle]" dimensionUniqueName="[Leverandør]" displayFolder="" count="0" unbalanced="0"/>
    <cacheHierarchy uniqueName="[Leverandør].[Utmeldingsdato]" caption="Utmeldingsdato" attribute="1" defaultMemberUniqueName="[Leverandør].[Utmeldingsdato].[Alle]" allUniqueName="[Leverandør].[Utmeldingsdato].[Alle]" dimensionUniqueName="[Leverandør]" displayFolder="" count="0" unbalanced="0"/>
    <cacheHierarchy uniqueName="[Leverandør].[Ønsker informasjon]" caption="Ønsker informasjon" attribute="1" defaultMemberUniqueName="[Leverandør].[Ønsker informasjon].[Alle]" allUniqueName="[Leverandør].[Ønsker informasjon].[Alle]" dimensionUniqueName="[Leverandør]" displayFolder="" count="0" unbalanced="0"/>
    <cacheHierarchy uniqueName="[Livdyrsalg].[Er Kreditt]" caption="Er kredit" attribute="1" defaultMemberUniqueName="[Livdyrsalg].[Er Kreditt].[All]" allUniqueName="[Livdyrsalg].[Er Kreditt].[All]" dimensionUniqueName="[Livdyrsalg]" displayFolder="" count="0" unbalanced="0"/>
    <cacheHierarchy uniqueName="[Livdyrsalg].[Er retur]" caption="Er retur" attribute="1" defaultMemberUniqueName="[Livdyrsalg].[Er retur].[All]" allUniqueName="[Livdyrsalg].[Er retur].[All]" dimensionUniqueName="[Livdyrsalg]" displayFolder="" count="0" unbalanced="0"/>
    <cacheHierarchy uniqueName="[Livdyrsalg].[Fakturadato]" caption="Fakturadato" attribute="1" defaultMemberUniqueName="[Livdyrsalg].[Fakturadato].[All]" allUniqueName="[Livdyrsalg].[Fakturadato].[All]" dimensionUniqueName="[Livdyrsalg]" displayFolder="" count="0" unbalanced="0"/>
    <cacheHierarchy uniqueName="[Livdyrsalg].[FakturaNr]" caption="FakturaNr" attribute="1" defaultMemberUniqueName="[Livdyrsalg].[FakturaNr].[All]" allUniqueName="[Livdyrsalg].[FakturaNr].[All]" dimensionUniqueName="[Livdyrsalg]" displayFolder="" count="0" unbalanced="0"/>
    <cacheHierarchy uniqueName="[Livdyrsalg].[Individ Nr]" caption="Individ Nr" attribute="1" defaultMemberUniqueName="[Livdyrsalg].[Individ Nr].[All]" allUniqueName="[Livdyrsalg].[Individ Nr].[All]" dimensionUniqueName="[Livdyrsalg]" displayFolder="" count="0" unbalanced="0"/>
    <cacheHierarchy uniqueName="[Livdyrsalg].[Individmerke]" caption="Individmerke" attribute="1" defaultMemberUniqueName="[Livdyrsalg].[Individmerke].[All]" allUniqueName="[Livdyrsalg].[Individmerke].[All]" dimensionUniqueName="[Livdyrsalg]" displayFolder="" count="0" unbalanced="0"/>
    <cacheHierarchy uniqueName="[Livdyrsalg].[KjoereseddelNr]" caption="KjoereseddelNr" attribute="1" defaultMemberUniqueName="[Livdyrsalg].[KjoereseddelNr].[All]" allUniqueName="[Livdyrsalg].[KjoereseddelNr].[All]" dimensionUniqueName="[Livdyrsalg]" displayFolder="" count="0" unbalanced="0"/>
    <cacheHierarchy uniqueName="[Livdyrsalg].[Leveringsdato]" caption="Leveringsdato" attribute="1" defaultMemberUniqueName="[Livdyrsalg].[Leveringsdato].[All]" allUniqueName="[Livdyrsalg].[Leveringsdato].[All]" dimensionUniqueName="[Livdyrsalg]" displayFolder="" count="0" unbalanced="0"/>
    <cacheHierarchy uniqueName="[Livdyrsalg].[Mottatt ordresignatur]" caption="Mottatt ordresignatur" attribute="1" defaultMemberUniqueName="[Livdyrsalg].[Mottatt ordresignatur].[All]" allUniqueName="[Livdyrsalg].[Mottatt ordresignatur].[All]" dimensionUniqueName="[Livdyrsalg]" displayFolder="" count="0" unbalanced="0"/>
    <cacheHierarchy uniqueName="[Livdyrsalg].[OrdreunderlinjeNr]" caption="OrdreunderlinjeNr" attribute="1" defaultMemberUniqueName="[Livdyrsalg].[OrdreunderlinjeNr].[All]" allUniqueName="[Livdyrsalg].[OrdreunderlinjeNr].[All]" dimensionUniqueName="[Livdyrsalg]" displayFolder="" count="0" unbalanced="0"/>
    <cacheHierarchy uniqueName="[Livdyrsalg].[SalgsordrelinjeNr]" caption="SalgsordrelinjeNr" attribute="1" defaultMemberUniqueName="[Livdyrsalg].[SalgsordrelinjeNr].[All]" allUniqueName="[Livdyrsalg].[SalgsordrelinjeNr].[All]" dimensionUniqueName="[Livdyrsalg]" displayFolder="" count="0" unbalanced="0"/>
    <cacheHierarchy uniqueName="[Livdyrsalg].[SalgsordreNr]" caption="SalgsordreNr" attribute="1" defaultMemberUniqueName="[Livdyrsalg].[SalgsordreNr].[All]" allUniqueName="[Livdyrsalg].[SalgsordreNr].[All]" dimensionUniqueName="[Livdyrsalg]" displayFolder="" count="0" unbalanced="0"/>
    <cacheHierarchy uniqueName="[Livdyrsalg].[SalgsordreNr reklamasjon]" caption="SalgsordreNr reklamasjon" attribute="1" defaultMemberUniqueName="[Livdyrsalg].[SalgsordreNr reklamasjon].[All]" allUniqueName="[Livdyrsalg].[SalgsordreNr reklamasjon].[All]" dimensionUniqueName="[Livdyrsalg]" displayFolder="" count="0" unbalanced="0"/>
    <cacheHierarchy uniqueName="[Livdyrsalg].[Salgsordrestatus]" caption="Salgsordrestatus" attribute="1" defaultMemberUniqueName="[Livdyrsalg].[Salgsordrestatus].[All]" allUniqueName="[Livdyrsalg].[Salgsordrestatus].[All]" dimensionUniqueName="[Livdyrsalg]" displayFolder="" count="0" unbalanced="0"/>
    <cacheHierarchy uniqueName="[Medlemskrets].[Medlemsdemokrati hierarki]" caption="Medlemsdemokrati hierarki" defaultMemberUniqueName="[Medlemskrets].[Medlemsdemokrati hierarki].[Alle]" allUniqueName="[Medlemskrets].[Medlemsdemokrati hierarki].[Alle]" dimensionUniqueName="[Medlemskrets]" displayFolder="" count="0" unbalanced="0"/>
    <cacheHierarchy uniqueName="[Medlemskrets].[Medlemskrets Nr Navn]" caption="Medlemskrets Nr Navn" attribute="1" defaultMemberUniqueName="[Medlemskrets].[Medlemskrets Nr Navn].[Alle]" allUniqueName="[Medlemskrets].[Medlemskrets Nr Navn].[Alle]" dimensionUniqueName="[Medlemskrets]" displayFolder="" count="0" unbalanced="0"/>
    <cacheHierarchy uniqueName="[Medlemskrets].[Medlemssjef]" caption="Organisasjonsleder" attribute="1" defaultMemberUniqueName="[Medlemskrets].[Medlemssjef].[Alle]" allUniqueName="[Medlemskrets].[Medlemssjef].[Alle]" dimensionUniqueName="[Medlemskrets]" displayFolder="" count="0" unbalanced="0"/>
    <cacheHierarchy uniqueName="[Medlemskrets].[Regionutvalg]" caption="Regionutvalg" attribute="1" defaultMemberUniqueName="[Medlemskrets].[Regionutvalg].[Alle]" allUniqueName="[Medlemskrets].[Regionutvalg].[Alle]" dimensionUniqueName="[Medlemskrets]" displayFolder="" count="0" unbalanced="0"/>
    <cacheHierarchy uniqueName="[Medlemssenter].[Medlemssenter]" caption="Medlemssenter" attribute="1" defaultMemberUniqueName="[Medlemssenter].[Medlemssenter].[All]" allUniqueName="[Medlemssenter].[Medlemssenter].[All]" dimensionUniqueName="[Medlemssenter]" displayFolder="" count="0" unbalanced="0"/>
    <cacheHierarchy uniqueName="[MinSide Kjøttprosent].[Kjøttprosent]" caption="Kjøttprosent" attribute="1" defaultMemberUniqueName="[MinSide Kjøttprosent].[Kjøttprosent].[All]" allUniqueName="[MinSide Kjøttprosent].[Kjøttprosent].[All]" dimensionUniqueName="[MinSide Kjøttprosent]" displayFolder="" count="0" unbalanced="0"/>
    <cacheHierarchy uniqueName="[MinSide Vektklasse].[Vektklasse]" caption="Vektklasse" attribute="1" defaultMemberUniqueName="[MinSide Vektklasse].[Vektklasse].[All]" allUniqueName="[MinSide Vektklasse].[Vektklasse].[All]" dimensionUniqueName="[MinSide Vektklasse]" displayFolder="" count="0" unbalanced="0"/>
    <cacheHierarchy uniqueName="[Mottatt Periode].[Dag Nr I Maaned Navn]" caption="Dato mottatt" attribute="1" time="1" defaultMemberUniqueName="[Mottatt Periode].[Dag Nr I Maaned Navn].[Alle]" allUniqueName="[Mottatt Periode].[Dag Nr I Maaned Navn].[Alle]" dimensionUniqueName="[Mottatt Periode]" displayFolder="" count="0" unbalanced="0"/>
    <cacheHierarchy uniqueName="[Mottatt Periode].[Maaned Nr]" caption="Kalendermåned mottatt" attribute="1" time="1" defaultMemberUniqueName="[Mottatt Periode].[Maaned Nr].[Alle]" allUniqueName="[Mottatt Periode].[Maaned Nr].[Alle]" dimensionUniqueName="[Mottatt Periode]" displayFolder="" count="0" unbalanced="0"/>
    <cacheHierarchy uniqueName="[Mottatt Periode].[Regnskaps År - Måned - Dag]" caption="Periode mottatt (regnskap)" time="1" defaultMemberUniqueName="[Mottatt Periode].[Regnskaps År - Måned - Dag].[Alle]" allUniqueName="[Mottatt Periode].[Regnskaps År - Måned - Dag].[Alle]" dimensionUniqueName="[Mottatt Periode]" displayFolder="" count="6" unbalanced="0">
      <fieldsUsage count="6">
        <fieldUsage x="-1"/>
        <fieldUsage x="8"/>
        <fieldUsage x="9"/>
        <fieldUsage x="10"/>
        <fieldUsage x="11"/>
        <fieldUsage x="12"/>
      </fieldsUsage>
    </cacheHierarchy>
    <cacheHierarchy uniqueName="[Mottatt Periode].[RegnskapsKvartal]" caption="Kvartal/år mottatt (regnskap)" attribute="1" time="1" defaultMemberUniqueName="[Mottatt Periode].[RegnskapsKvartal].[Alle]" allUniqueName="[Mottatt Periode].[RegnskapsKvartal].[Alle]" dimensionUniqueName="[Mottatt Periode]" displayFolder="" count="0" unbalanced="0"/>
    <cacheHierarchy uniqueName="[Mottatt Periode].[Regnskapsmåned]" caption="Måned/år mottatt (regnskap)" attribute="1" time="1" defaultMemberUniqueName="[Mottatt Periode].[Regnskapsmåned].[Alle]" allUniqueName="[Mottatt Periode].[Regnskapsmåned].[Alle]" dimensionUniqueName="[Mottatt Periode]" displayFolder="" count="0" unbalanced="0"/>
    <cacheHierarchy uniqueName="[Mottatt Periode].[Regnskapsmaaned Nr]" caption="Måned mottatt (regnskap)" attribute="1" time="1" defaultMemberUniqueName="[Mottatt Periode].[Regnskapsmaaned Nr].[Alle]" allUniqueName="[Mottatt Periode].[Regnskapsmaaned Nr].[Alle]" dimensionUniqueName="[Mottatt Periode]" displayFolder="" count="0" unbalanced="0"/>
    <cacheHierarchy uniqueName="[Mottatt Periode].[Regnskapsuke]" caption="Uke/År mottatt (regnskap)" attribute="1" time="1" defaultMemberUniqueName="[Mottatt Periode].[Regnskapsuke].[Alle]" allUniqueName="[Mottatt Periode].[Regnskapsuke].[Alle]" dimensionUniqueName="[Mottatt Periode]" displayFolder="" count="0" unbalanced="0"/>
    <cacheHierarchy uniqueName="[Mottatt Periode].[Regnskapsuke Nr]" caption="Uke mottatt (regnskap)" attribute="1" time="1" defaultMemberUniqueName="[Mottatt Periode].[Regnskapsuke Nr].[Alle]" allUniqueName="[Mottatt Periode].[Regnskapsuke Nr].[Alle]" dimensionUniqueName="[Mottatt Periode]" displayFolder="" count="0" unbalanced="0"/>
    <cacheHierarchy uniqueName="[Mottatt Periode].[Regnskapsår]" caption="År mottatt (regnskap)" attribute="1" time="1" defaultMemberUniqueName="[Mottatt Periode].[Regnskapsår].[Alle]" allUniqueName="[Mottatt Periode].[Regnskapsår].[Alle]" dimensionUniqueName="[Mottatt Periode]" displayFolder="" count="0" unbalanced="0"/>
    <cacheHierarchy uniqueName="[Mottatt Periode].[Uke Nr]" caption="Kalenderuke mottatt" attribute="1" time="1" defaultMemberUniqueName="[Mottatt Periode].[Uke Nr].[Alle]" allUniqueName="[Mottatt Periode].[Uke Nr].[Alle]" dimensionUniqueName="[Mottatt Periode]" displayFolder="" count="0" unbalanced="0"/>
    <cacheHierarchy uniqueName="[Mottatt Periode Kalkuleringer].[Mottatt Periode Kalkuleringer]" caption="Periode Mottatt kalkulering" attribute="1" keyAttribute="1" defaultMemberUniqueName="[Mottatt Periode Kalkuleringer].[Mottatt Periode Kalkuleringer].&amp;[Denne periode]" allUniqueName="[Mottatt Periode Kalkuleringer].[Mottatt Periode Kalkuleringer].[All]" dimensionUniqueName="[Mottatt Periode Kalkuleringer]" displayFolder="" count="0" unbalanced="0"/>
    <cacheHierarchy uniqueName="[Produsent Egenskap].[Produsent Egenskap]" caption="Produsent Egenskap" defaultMemberUniqueName="[Produsent Egenskap].[Produsent Egenskap].[All]" allUniqueName="[Produsent Egenskap].[Produsent Egenskap].[All]" dimensionUniqueName="[Produsent Egenskap]" displayFolder="" count="0" unbalanced="0"/>
    <cacheHierarchy uniqueName="[Produsent Egenskap].[Produsent Egenskap Kategori]" caption="Produsent Egenskap Kategori" attribute="1" defaultMemberUniqueName="[Produsent Egenskap].[Produsent Egenskap Kategori].[All]" allUniqueName="[Produsent Egenskap].[Produsent Egenskap Kategori].[All]" dimensionUniqueName="[Produsent Egenskap]" displayFolder="" count="0" unbalanced="0"/>
    <cacheHierarchy uniqueName="[Produsent Egenskap].[Produsent Egenskap Type]" caption="Produsent Egenskap Type" attribute="1" keyAttribute="1" defaultMemberUniqueName="[Produsent Egenskap].[Produsent Egenskap Type].[All]" allUniqueName="[Produsent Egenskap].[Produsent Egenskap Type].[All]" dimensionUniqueName="[Produsent Egenskap]" displayFolder="" count="0" unbalanced="0"/>
    <cacheHierarchy uniqueName="[Rase].[Rase]" caption="Rase" defaultMemberUniqueName="[Rase].[Rase].[All]" allUniqueName="[Rase].[Rase].[All]" dimensionUniqueName="[Rase]" displayFolder="" count="0" unbalanced="0"/>
    <cacheHierarchy uniqueName="[Rase].[Rase Beskrivelse]" caption="Rase Beskrivelse" attribute="1" defaultMemberUniqueName="[Rase].[Rase Beskrivelse].[All]" allUniqueName="[Rase].[Rase Beskrivelse].[All]" dimensionUniqueName="[Rase]" displayFolder="" count="0" unbalanced="0"/>
    <cacheHierarchy uniqueName="[Rase].[Rase Kode]" caption="Rase" attribute="1" defaultMemberUniqueName="[Rase].[Rase Kode].[All]" allUniqueName="[Rase].[Rase Kode].[All]" dimensionUniqueName="[Rase]" displayFolder="" count="0" unbalanced="0"/>
    <cacheHierarchy uniqueName="[Rase].[Rasegruppe]" caption="Rasegruppe" attribute="1" defaultMemberUniqueName="[Rase].[Rasegruppe].[All]" allUniqueName="[Rase].[Rasegruppe].[All]" dimensionUniqueName="[Rase]" displayFolder="" count="0" unbalanced="0"/>
    <cacheHierarchy uniqueName="[Rase].[Rasegruppe Beskrivelse]" caption="Rasegruppe Beskrivelse" attribute="1" defaultMemberUniqueName="[Rase].[Rasegruppe Beskrivelse].[All]" allUniqueName="[Rase].[Rasegruppe Beskrivelse].[All]" dimensionUniqueName="[Rase]" displayFolder="" count="0" unbalanced="0"/>
    <cacheHierarchy uniqueName="[Referanse1].[Referanse1NrNavn]" caption="Lag og rådgivere" attribute="1" defaultMemberUniqueName="[Referanse1].[Referanse1NrNavn].[All]" allUniqueName="[Referanse1].[Referanse1NrNavn].[All]" dimensionUniqueName="[Referanse1]" displayFolder="" count="0" unbalanced="0"/>
    <cacheHierarchy uniqueName="[Referanse2].[Referanse2NrNavn]" caption="Ringer" attribute="1" defaultMemberUniqueName="[Referanse2].[Referanse2NrNavn].[All]" allUniqueName="[Referanse2].[Referanse2NrNavn].[All]" dimensionUniqueName="[Referanse2]" displayFolder="" count="0" unbalanced="0"/>
    <cacheHierarchy uniqueName="[Rådgivning].[Er kreditt]" caption="Er kredit" attribute="1" defaultMemberUniqueName="[Rådgivning].[Er kreditt].[All]" allUniqueName="[Rådgivning].[Er kreditt].[All]" dimensionUniqueName="[Rådgivning]" displayFolder="" count="0" unbalanced="0"/>
    <cacheHierarchy uniqueName="[Rådgivning].[Er retur]" caption="Er retur" attribute="1" defaultMemberUniqueName="[Rådgivning].[Er retur].[All]" allUniqueName="[Rådgivning].[Er retur].[All]" dimensionUniqueName="[Rådgivning]" displayFolder="" count="0" unbalanced="0"/>
    <cacheHierarchy uniqueName="[Rådgivning].[Fakturadato]" caption="Fakturadato" attribute="1" defaultMemberUniqueName="[Rådgivning].[Fakturadato].[All]" allUniqueName="[Rådgivning].[Fakturadato].[All]" dimensionUniqueName="[Rådgivning]" displayFolder="" count="0" unbalanced="0"/>
    <cacheHierarchy uniqueName="[Rådgivning].[FakturaNr]" caption="FakturaNr" attribute="1" defaultMemberUniqueName="[Rådgivning].[FakturaNr].[All]" allUniqueName="[Rådgivning].[FakturaNr].[All]" dimensionUniqueName="[Rådgivning]" displayFolder="" count="0" unbalanced="0"/>
    <cacheHierarchy uniqueName="[Rådgivning].[Leveringsdato]" caption="Leveringsdato" attribute="1" defaultMemberUniqueName="[Rådgivning].[Leveringsdato].[All]" allUniqueName="[Rådgivning].[Leveringsdato].[All]" dimensionUniqueName="[Rådgivning]" displayFolder="" count="0" unbalanced="0"/>
    <cacheHierarchy uniqueName="[Rådgivning].[Mottatt ordresignatur]" caption="Mottatt ordresignatur" attribute="1" defaultMemberUniqueName="[Rådgivning].[Mottatt ordresignatur].[All]" allUniqueName="[Rådgivning].[Mottatt ordresignatur].[All]" dimensionUniqueName="[Rådgivning]" displayFolder="" count="0" unbalanced="0"/>
    <cacheHierarchy uniqueName="[Rådgivning].[OrdreunderlinjeNr]" caption="OrdreunderlinjeNr" attribute="1" defaultMemberUniqueName="[Rådgivning].[OrdreunderlinjeNr].[All]" allUniqueName="[Rådgivning].[OrdreunderlinjeNr].[All]" dimensionUniqueName="[Rådgivning]" displayFolder="" count="0" unbalanced="0"/>
    <cacheHierarchy uniqueName="[Rådgivning].[SalgsordrelinjeNr]" caption="SalgsordrelinjeNr" attribute="1" defaultMemberUniqueName="[Rådgivning].[SalgsordrelinjeNr].[All]" allUniqueName="[Rådgivning].[SalgsordrelinjeNr].[All]" dimensionUniqueName="[Rådgivning]" displayFolder="" count="0" unbalanced="0"/>
    <cacheHierarchy uniqueName="[Rådgivning].[SalgsordreNr]" caption="SalgsordreNr" attribute="1" defaultMemberUniqueName="[Rådgivning].[SalgsordreNr].[All]" allUniqueName="[Rådgivning].[SalgsordreNr].[All]" dimensionUniqueName="[Rådgivning]" displayFolder="" count="0" unbalanced="0"/>
    <cacheHierarchy uniqueName="[Rådgivning].[Salgsordrestatus]" caption="Salgsordrestatus" attribute="1" defaultMemberUniqueName="[Rådgivning].[Salgsordrestatus].[All]" allUniqueName="[Rådgivning].[Salgsordrestatus].[All]" dimensionUniqueName="[Rådgivning]" displayFolder="" count="0" unbalanced="0"/>
    <cacheHierarchy uniqueName="[Salgsordretype].[Salgsordretype]" caption="Salgsordretype" attribute="1" defaultMemberUniqueName="[Salgsordretype].[Salgsordretype].[All]" allUniqueName="[Salgsordretype].[Salgsordretype].[All]" dimensionUniqueName="[Salgsordretype]" displayFolder="" count="0" unbalanced="0"/>
    <cacheHierarchy uniqueName="[Salgsordretype].[Salgsordretype kode navn]" caption="Salgsordretype kode navn" attribute="1" defaultMemberUniqueName="[Salgsordretype].[Salgsordretype kode navn].[All]" allUniqueName="[Salgsordretype].[Salgsordretype kode navn].[All]" dimensionUniqueName="[Salgsordretype]" displayFolder="" count="0" unbalanced="0"/>
    <cacheHierarchy uniqueName="[Salgsordretype].[Salgsordretypekode]" caption="Salgsordretypekode" attribute="1" defaultMemberUniqueName="[Salgsordretype].[Salgsordretypekode].[All]" allUniqueName="[Salgsordretype].[Salgsordretypekode].[All]" dimensionUniqueName="[Salgsordretype]" displayFolder="" count="0" unbalanced="0"/>
    <cacheHierarchy uniqueName="[Tilfoerselsomraade].[Tilfoerselsomraade]" caption="Tilfoerselsomraade" attribute="1" defaultMemberUniqueName="[Tilfoerselsomraade].[Tilfoerselsomraade].[All]" allUniqueName="[Tilfoerselsomraade].[Tilfoerselsomraade].[All]" dimensionUniqueName="[Tilfoerselsomraade]" displayFolder="" count="0" unbalanced="0"/>
    <cacheHierarchy uniqueName="[Tilfoerselsomraade].[Tilfoerselstype]" caption="Tilfoerselstype" attribute="1" defaultMemberUniqueName="[Tilfoerselsomraade].[Tilfoerselstype].[All]" allUniqueName="[Tilfoerselsomraade].[Tilfoerselstype].[All]" dimensionUniqueName="[Tilfoerselsomraade]" displayFolder="" count="0" unbalanced="0"/>
    <cacheHierarchy uniqueName="[Vare].[Antall Akkumulering]" caption="Antall Akkumulering" attribute="1" defaultMemberUniqueName="[Vare].[Antall Akkumulering].[Alle]" allUniqueName="[Vare].[Antall Akkumulering].[Alle]" dimensionUniqueName="[Vare]" displayFolder="" count="0" unbalanced="0"/>
    <cacheHierarchy uniqueName="[Vare].[Avregning Ligningsoppgave Kode Navn]" caption="Avregning ligningsoppgave" attribute="1" defaultMemberUniqueName="[Vare].[Avregning Ligningsoppgave Kode Navn].[Alle]" allUniqueName="[Vare].[Avregning Ligningsoppgave Kode Navn].[Alle]" dimensionUniqueName="[Vare]" displayFolder="" count="0" unbalanced="0"/>
    <cacheHierarchy uniqueName="[Vare].[Avregning Sammendrag Kode Navn]" caption="Avregning sammendrag" attribute="1" defaultMemberUniqueName="[Vare].[Avregning Sammendrag Kode Navn].[Alle]" allUniqueName="[Vare].[Avregning Sammendrag Kode Navn].[Alle]" dimensionUniqueName="[Vare]" displayFolder="" count="0" unbalanced="0"/>
    <cacheHierarchy uniqueName="[Vare].[Avregning sammendragkode]" caption="Avregning sammendragkode" attribute="1" defaultMemberUniqueName="[Vare].[Avregning sammendragkode].[Alle]" allUniqueName="[Vare].[Avregning sammendragkode].[Alle]" dimensionUniqueName="[Vare]" displayFolder="" count="0" unbalanced="0"/>
    <cacheHierarchy uniqueName="[Vare].[Avregningstype]" caption="Avregningstype" attribute="1" defaultMemberUniqueName="[Vare].[Avregningstype].[Alle]" allUniqueName="[Vare].[Avregningstype].[Alle]" dimensionUniqueName="[Vare]" displayFolder="" count="0" unbalanced="0"/>
    <cacheHierarchy uniqueName="[Vare].[Avregningstype hierarki]" caption="Avregningstype hierarki" defaultMemberUniqueName="[Vare].[Avregningstype hierarki].[Alle]" allUniqueName="[Vare].[Avregningstype hierarki].[Alle]" dimensionUniqueName="[Vare]" displayFolder="" count="4" unbalanced="0">
      <fieldsUsage count="4">
        <fieldUsage x="-1"/>
        <fieldUsage x="0"/>
        <fieldUsage x="1"/>
        <fieldUsage x="2"/>
      </fieldsUsage>
    </cacheHierarchy>
    <cacheHierarchy uniqueName="[Vare].[Avregningsundertype]" caption="Avregningsundertype" attribute="1" defaultMemberUniqueName="[Vare].[Avregningsundertype].[Alle]" allUniqueName="[Vare].[Avregningsundertype].[Alle]" dimensionUniqueName="[Vare]" displayFolder="" count="2" unbalanced="0">
      <fieldsUsage count="2">
        <fieldUsage x="-1"/>
        <fieldUsage x="22"/>
      </fieldsUsage>
    </cacheHierarchy>
    <cacheHierarchy uniqueName="[Vare].[Avregningsvare]" caption="Er avregningsvare" attribute="1" defaultMemberUniqueName="[Vare].[Avregningsvare].[Alle]" allUniqueName="[Vare].[Avregningsvare].[Alle]" dimensionUniqueName="[Vare]" displayFolder="" count="0" unbalanced="0"/>
    <cacheHierarchy uniqueName="[Vare].[Elementvare]" caption="Er elementvare" attribute="1" defaultMemberUniqueName="[Vare].[Elementvare].[Alle]" allUniqueName="[Vare].[Elementvare].[Alle]" dimensionUniqueName="[Vare]" displayFolder="" count="0" unbalanced="0"/>
    <cacheHierarchy uniqueName="[Vare].[Endret Dato Kort]" caption="Endret dato" attribute="1" defaultMemberUniqueName="[Vare].[Endret Dato Kort].[Alle]" allUniqueName="[Vare].[Endret Dato Kort].[Alle]" dimensionUniqueName="[Vare]" displayFolder="" count="0" unbalanced="0"/>
    <cacheHierarchy uniqueName="[Vare].[Gyldig Fra]" caption="Gyldig fra dato" attribute="1" defaultMemberUniqueName="[Vare].[Gyldig Fra].[Alle]" allUniqueName="[Vare].[Gyldig Fra].[Alle]" dimensionUniqueName="[Vare]" displayFolder="" count="0" unbalanced="0"/>
    <cacheHierarchy uniqueName="[Vare].[SLF vare]" caption="Er SLF-vare" attribute="1" defaultMemberUniqueName="[Vare].[SLF vare].[Alle]" allUniqueName="[Vare].[SLF vare].[Alle]" dimensionUniqueName="[Vare]" displayFolder="" count="0" unbalanced="0"/>
    <cacheHierarchy uniqueName="[Vare].[SLF vare nr]" caption="SLF vare nr" attribute="1" defaultMemberUniqueName="[Vare].[SLF vare nr].[Alle]" allUniqueName="[Vare].[SLF vare nr].[Alle]" dimensionUniqueName="[Vare]" displayFolder="" count="0" unbalanced="0"/>
    <cacheHierarchy uniqueName="[Vare].[Vare nr]" caption="Varenr" attribute="1" defaultMemberUniqueName="[Vare].[Vare nr].[Alle]" allUniqueName="[Vare].[Vare nr].[Alle]" dimensionUniqueName="[Vare]" displayFolder="" count="0" unbalanced="0"/>
    <cacheHierarchy uniqueName="[Vare].[Vare Nr Vare Navn]" caption="Vare" attribute="1" defaultMemberUniqueName="[Vare].[Vare Nr Vare Navn].[Alle]" allUniqueName="[Vare].[Vare Nr Vare Navn].[Alle]" dimensionUniqueName="[Vare]" displayFolder="" count="0" unbalanced="0"/>
    <cacheHierarchy uniqueName="[Vare].[Varehovedkategori Kode Navn]" caption="Varehovedkategori" attribute="1" defaultMemberUniqueName="[Vare].[Varehovedkategori Kode Navn].[Alle]" allUniqueName="[Vare].[Varehovedkategori Kode Navn].[Alle]" dimensionUniqueName="[Vare]" displayFolder="" count="0" unbalanced="0"/>
    <cacheHierarchy uniqueName="[Vare].[Varehovedkategorikode]" caption="Varehovedkategorikode" attribute="1" defaultMemberUniqueName="[Vare].[Varehovedkategorikode].[Alle]" allUniqueName="[Vare].[Varehovedkategorikode].[Alle]" dimensionUniqueName="[Vare]" displayFolder="" count="0" unbalanced="0"/>
    <cacheHierarchy uniqueName="[Vare].[Varekaregori Kode Navn]" caption="Varekategori" attribute="1" defaultMemberUniqueName="[Vare].[Varekaregori Kode Navn].[Alle]" allUniqueName="[Vare].[Varekaregori Kode Navn].[Alle]" dimensionUniqueName="[Vare]" displayFolder="" count="0" unbalanced="0"/>
    <cacheHierarchy uniqueName="[Vare].[Varekategori hierarki]" caption="Varekategori hierarki" defaultMemberUniqueName="[Vare].[Varekategori hierarki].[Alle]" allUniqueName="[Vare].[Varekategori hierarki].[Alle]" dimensionUniqueName="[Vare]" displayFolder="" count="0" unbalanced="0"/>
    <cacheHierarchy uniqueName="[Vare].[Varekategorikode]" caption="Varekategorikode" attribute="1" defaultMemberUniqueName="[Vare].[Varekategorikode].[Alle]" allUniqueName="[Vare].[Varekategorikode].[Alle]" dimensionUniqueName="[Vare]" displayFolder="" count="0" unbalanced="0"/>
    <cacheHierarchy uniqueName="[Vare].[Vareunderkategori Kode Navn]" caption="Vareunderkategori" attribute="1" defaultMemberUniqueName="[Vare].[Vareunderkategori Kode Navn].[Alle]" allUniqueName="[Vare].[Vareunderkategori Kode Navn].[Alle]" dimensionUniqueName="[Vare]" displayFolder="" count="0" unbalanced="0"/>
    <cacheHierarchy uniqueName="[Vare].[Vareunderkategorikode]" caption="Vareunderkategorikode" attribute="1" defaultMemberUniqueName="[Vare].[Vareunderkategorikode].[Alle]" allUniqueName="[Vare].[Vareunderkategorikode].[Alle]" dimensionUniqueName="[Vare]" displayFolder="" count="0" unbalanced="0"/>
    <cacheHierarchy uniqueName="[Vare].[Varevariant]" caption="Varevariant" attribute="1" defaultMemberUniqueName="[Vare].[Varevariant].[Alle]" allUniqueName="[Vare].[Varevariant].[Alle]" dimensionUniqueName="[Vare]" displayFolder="" count="0" unbalanced="0"/>
    <cacheHierarchy uniqueName="[Vare].[Varevariant Portal]" caption="Varevariant Portal" attribute="1" defaultMemberUniqueName="[Vare].[Varevariant Portal].[Alle]" allUniqueName="[Vare].[Varevariant Portal].[Alle]" dimensionUniqueName="[Vare]" displayFolder="" count="0" unbalanced="0"/>
    <cacheHierarchy uniqueName="[Vare].[Varevariantkode]" caption="Varevariantkode" attribute="1" defaultMemberUniqueName="[Vare].[Varevariantkode].[Alle]" allUniqueName="[Vare].[Varevariantkode].[Alle]" dimensionUniqueName="[Vare]" displayFolder="" count="2" unbalanced="0">
      <fieldsUsage count="2">
        <fieldUsage x="-1"/>
        <fieldUsage x="17"/>
      </fieldsUsage>
    </cacheHierarchy>
    <cacheHierarchy uniqueName="[Vare].[Vekt Akkumulering]" caption="Vekt Akkumulering" attribute="1" defaultMemberUniqueName="[Vare].[Vekt Akkumulering].[Alle]" allUniqueName="[Vare].[Vekt Akkumulering].[Alle]" dimensionUniqueName="[Vare]" displayFolder="" count="0" unbalanced="0"/>
    <cacheHierarchy uniqueName="[Vektklasse].[Vektklasse]" caption="Vektklasse" attribute="1" defaultMemberUniqueName="[Vektklasse].[Vektklasse].[All]" allUniqueName="[Vektklasse].[Vektklasse].[All]" dimensionUniqueName="[Vektklasse]" displayFolder="" count="0" unbalanced="0"/>
    <cacheHierarchy uniqueName="[Økonomisk Periode].[Regnskaps Uke Navn Aar]" caption="Uke/år avregnet" attribute="1" time="1" defaultMemberUniqueName="[Økonomisk Periode].[Regnskaps Uke Navn Aar].[Alle]" allUniqueName="[Økonomisk Periode].[Regnskaps Uke Navn Aar].[Alle]" dimensionUniqueName="[Økonomisk Periode]" displayFolder="" count="0" unbalanced="0"/>
    <cacheHierarchy uniqueName="[Økonomisk Periode].[Regnskaps År - Måned]" caption="Periode avregnet" time="1" defaultMemberUniqueName="[Økonomisk Periode].[Regnskaps År - Måned].[Alle]" allUniqueName="[Økonomisk Periode].[Regnskaps År - Måned].[Alle]" dimensionUniqueName="[Økonomisk Periode]" displayFolder="" count="0" unbalanced="0"/>
    <cacheHierarchy uniqueName="[Økonomisk Periode].[Regnskapskvartal]" caption="Kvartal/år avregnet" attribute="1" time="1" defaultMemberUniqueName="[Økonomisk Periode].[Regnskapskvartal].[Alle]" allUniqueName="[Økonomisk Periode].[Regnskapskvartal].[Alle]" dimensionUniqueName="[Økonomisk Periode]" displayFolder="" count="0" unbalanced="0"/>
    <cacheHierarchy uniqueName="[Økonomisk Periode].[Regnskapsmåned]" caption="Måned/år avregnet" attribute="1" time="1" defaultMemberUniqueName="[Økonomisk Periode].[Regnskapsmåned].[Alle]" allUniqueName="[Økonomisk Periode].[Regnskapsmåned].[Alle]" dimensionUniqueName="[Økonomisk Periode]" displayFolder="" count="0" unbalanced="0"/>
    <cacheHierarchy uniqueName="[Økonomisk Periode].[Regnskapsmaaned Nr]" caption="Måned avregnet" attribute="1" time="1" defaultMemberUniqueName="[Økonomisk Periode].[Regnskapsmaaned Nr].[Alle]" allUniqueName="[Økonomisk Periode].[Regnskapsmaaned Nr].[Alle]" dimensionUniqueName="[Økonomisk Periode]" displayFolder="" count="0" unbalanced="0"/>
    <cacheHierarchy uniqueName="[Økonomisk Periode].[Regnskapsuke Nr]" caption="Uke avregnet" attribute="1" time="1" defaultMemberUniqueName="[Økonomisk Periode].[Regnskapsuke Nr].[Alle]" allUniqueName="[Økonomisk Periode].[Regnskapsuke Nr].[Alle]" dimensionUniqueName="[Økonomisk Periode]" displayFolder="" count="0" unbalanced="0"/>
    <cacheHierarchy uniqueName="[Økonomisk Periode].[Regnskapsår]" caption="År avregnet" attribute="1" time="1" defaultMemberUniqueName="[Økonomisk Periode].[Regnskapsår].[Alle]" allUniqueName="[Økonomisk Periode].[Regnskapsår].[Alle]" dimensionUniqueName="[Økonomisk Periode]" displayFolder="" count="0" unbalanced="0"/>
    <cacheHierarchy uniqueName="[Økonomisk Periode Kalkuleringer].[Økonomisk Periode Kalkuleringer]" caption="Periode Avregnet kalkulering" attribute="1" keyAttribute="1" defaultMemberUniqueName="[Økonomisk Periode Kalkuleringer].[Økonomisk Periode Kalkuleringer].&amp;[Denne periode]" allUniqueName="[Økonomisk Periode Kalkuleringer].[Økonomisk Periode Kalkuleringer].[All]" dimensionUniqueName="[Økonomisk Periode Kalkuleringer]" displayFolder="" count="0" unbalanced="0"/>
    <cacheHierarchy uniqueName="[Anmerkningstype].[PK_Anmerkningstype_Dim]" caption="PK_Anmerkningstype_Dim" attribute="1" keyAttribute="1" defaultMemberUniqueName="[Anmerkningstype].[PK_Anmerkningstype_Dim].[Alle]" allUniqueName="[Anmerkningstype].[PK_Anmerkningstype_Dim].[Alle]" dimensionUniqueName="[Anmerkningstype]" displayFolder="" count="0" unbalanced="0" hidden="1"/>
    <cacheHierarchy uniqueName="[Avdeling].[Fabrikk gyldig fra]" caption="Fabrikk gyldig fra" attribute="1" defaultMemberUniqueName="[Avdeling].[Fabrikk gyldig fra].[Alle]" allUniqueName="[Avdeling].[Fabrikk gyldig fra].[Alle]" dimensionUniqueName="[Avdeling]" displayFolder="" count="0" unbalanced="0" hidden="1"/>
    <cacheHierarchy uniqueName="[Avdeling].[Fabrikk gyldig til]" caption="Fabrikk gyldig til" attribute="1" defaultMemberUniqueName="[Avdeling].[Fabrikk gyldig til].[Alle]" allUniqueName="[Avdeling].[Fabrikk gyldig til].[Alle]" dimensionUniqueName="[Avdeling]" displayFolder="" count="0" unbalanced="0" hidden="1"/>
    <cacheHierarchy uniqueName="[Avdeling].[Fabrikkbeskrivelse]" caption="Fabrikkbeskrivelse" attribute="1" defaultMemberUniqueName="[Avdeling].[Fabrikkbeskrivelse].[Alle]" allUniqueName="[Avdeling].[Fabrikkbeskrivelse].[Alle]" dimensionUniqueName="[Avdeling]" displayFolder="" count="0" unbalanced="0" hidden="1"/>
    <cacheHierarchy uniqueName="[Avdeling].[PK Avdeling Dim]" caption="PK Avdeling Dim" attribute="1" keyAttribute="1" defaultMemberUniqueName="[Avdeling].[PK Avdeling Dim].[Alle]" allUniqueName="[Avdeling].[PK Avdeling Dim].[Alle]" dimensionUniqueName="[Avdeling]" displayFolder="" count="0" unbalanced="0" hidden="1"/>
    <cacheHierarchy uniqueName="[Avdeling].[Registrert Av]" caption="Registrert Av" attribute="1" defaultMemberUniqueName="[Avdeling].[Registrert Av].[Alle]" allUniqueName="[Avdeling].[Registrert Av].[Alle]" dimensionUniqueName="[Avdeling]" displayFolder="" count="0" unbalanced="0" hidden="1"/>
    <cacheHierarchy uniqueName="[Avdeling].[Registrert Dato]" caption="Registrert Dato" attribute="1" defaultMemberUniqueName="[Avdeling].[Registrert Dato].[Alle]" allUniqueName="[Avdeling].[Registrert Dato].[Alle]" dimensionUniqueName="[Avdeling]" displayFolder="" count="0" unbalanced="0" hidden="1"/>
    <cacheHierarchy uniqueName="[Avregning].[PK Avregning Fak]" caption="PK Avregning Fak" attribute="1" keyAttribute="1" defaultMemberUniqueName="[Avregning].[PK Avregning Fak].[Alle]" allUniqueName="[Avregning].[PK Avregning Fak].[Alle]" dimensionUniqueName="[Avregning]" displayFolder="" count="0" unbalanced="0" hidden="1"/>
    <cacheHierarchy uniqueName="[Datakilde].[PK_System_Dim]" caption="PK_System_Dim" attribute="1" keyAttribute="1" defaultMemberUniqueName="[Datakilde].[PK_System_Dim].[Alle]" allUniqueName="[Datakilde].[PK_System_Dim].[Alle]" dimensionUniqueName="[Datakilde]" displayFolder="" count="0" unbalanced="0" hidden="1"/>
    <cacheHierarchy uniqueName="[Kunde].[FK Medlemskrets Dim]" caption="FK Medlemskrets Dim" attribute="1" defaultMemberUniqueName="[Kunde].[FK Medlemskrets Dim].[Alle]" allUniqueName="[Kunde].[FK Medlemskrets Dim].[Alle]" dimensionUniqueName="[Kunde]" displayFolder="" count="0" unbalanced="0" hidden="1"/>
    <cacheHierarchy uniqueName="[Kunde].[FK Medlemssenter Dim]" caption="FK Medlemssenter Dim" attribute="1" defaultMemberUniqueName="[Kunde].[FK Medlemssenter Dim].[Alle]" allUniqueName="[Kunde].[FK Medlemssenter Dim].[Alle]" dimensionUniqueName="[Kunde]" displayFolder="" count="0" unbalanced="0" hidden="1"/>
    <cacheHierarchy uniqueName="[Kunde].[Fylkes Nr]" caption="Fylkes Nr" attribute="1" defaultMemberUniqueName="[Kunde].[Fylkes Nr].[Alle]" allUniqueName="[Kunde].[Fylkes Nr].[Alle]" dimensionUniqueName="[Kunde]" displayFolder="" count="0" unbalanced="0" hidden="1"/>
    <cacheHierarchy uniqueName="[Kunde].[Kommune nr]" caption="Kommune nr" attribute="1" defaultMemberUniqueName="[Kunde].[Kommune nr].[Alle]" allUniqueName="[Kunde].[Kommune nr].[Alle]" dimensionUniqueName="[Kunde]" displayFolder="" count="0" unbalanced="0" hidden="1"/>
    <cacheHierarchy uniqueName="[Kunde].[PK Kunde Dim]" caption="PK Kunde Dim" attribute="1" keyAttribute="1" defaultMemberUniqueName="[Kunde].[PK Kunde Dim].[Alle]" allUniqueName="[Kunde].[PK Kunde Dim].[Alle]" dimensionUniqueName="[Kunde]" displayFolder="" count="0" unbalanced="0" hidden="1"/>
    <cacheHierarchy uniqueName="[Kunde].[Registrert av]" caption="Registrert av" attribute="1" defaultMemberUniqueName="[Kunde].[Registrert av].[Alle]" allUniqueName="[Kunde].[Registrert av].[Alle]" dimensionUniqueName="[Kunde]" displayFolder="" count="0" unbalanced="0" hidden="1"/>
    <cacheHierarchy uniqueName="[Kunde].[Registrert dato]" caption="Registrert dato" attribute="1" defaultMemberUniqueName="[Kunde].[Registrert dato].[Alle]" allUniqueName="[Kunde].[Registrert dato].[Alle]" dimensionUniqueName="[Kunde]" displayFolder="" count="0" unbalanced="0" hidden="1"/>
    <cacheHierarchy uniqueName="[Leverandør].[FK Medlemskrets Dim]" caption="FK Medlemskrets Dim" attribute="1" defaultMemberUniqueName="[Leverandør].[FK Medlemskrets Dim].[Alle]" allUniqueName="[Leverandør].[FK Medlemskrets Dim].[Alle]" dimensionUniqueName="[Leverandør]" displayFolder="" count="0" unbalanced="0" hidden="1"/>
    <cacheHierarchy uniqueName="[Leverandør].[FK Medlemssenter Dim]" caption="FK Medlemssenter Dim" attribute="1" defaultMemberUniqueName="[Leverandør].[FK Medlemssenter Dim].[Alle]" allUniqueName="[Leverandør].[FK Medlemssenter Dim].[Alle]" dimensionUniqueName="[Leverandør]" displayFolder="" count="0" unbalanced="0" hidden="1"/>
    <cacheHierarchy uniqueName="[Leverandør].[FK Produsent Dim]" caption="FK Produsent Dim" attribute="1" defaultMemberUniqueName="[Leverandør].[FK Produsent Dim].[Alle]" allUniqueName="[Leverandør].[FK Produsent Dim].[Alle]" dimensionUniqueName="[Leverandør]" displayFolder="" count="0" unbalanced="0" hidden="1"/>
    <cacheHierarchy uniqueName="[Leverandør].[PK Leverandoer Dim]" caption="PK Leverandoer Dim" attribute="1" keyAttribute="1" defaultMemberUniqueName="[Leverandør].[PK Leverandoer Dim].[Alle]" allUniqueName="[Leverandør].[PK Leverandoer Dim].[Alle]" dimensionUniqueName="[Leverandør]" displayFolder="" count="0" unbalanced="0" hidden="1"/>
    <cacheHierarchy uniqueName="[Leverandør].[Registrert av]" caption="Registrert av" attribute="1" defaultMemberUniqueName="[Leverandør].[Registrert av].[Alle]" allUniqueName="[Leverandør].[Registrert av].[Alle]" dimensionUniqueName="[Leverandør]" displayFolder="" count="0" unbalanced="0" hidden="1"/>
    <cacheHierarchy uniqueName="[Leverandør].[Registrert dato]" caption="Registrert dato" attribute="1" defaultMemberUniqueName="[Leverandør].[Registrert dato].[Alle]" allUniqueName="[Leverandør].[Registrert dato].[Alle]" dimensionUniqueName="[Leverandør]" displayFolder="" count="0" unbalanced="0" hidden="1"/>
    <cacheHierarchy uniqueName="[Livdyrsalg].[PK_Livdyrsalg_Fak]" caption="PK_Livdyrsalg_Fak" attribute="1" keyAttribute="1" defaultMemberUniqueName="[Livdyrsalg].[PK_Livdyrsalg_Fak].[All]" allUniqueName="[Livdyrsalg].[PK_Livdyrsalg_Fak].[All]" dimensionUniqueName="[Livdyrsalg]" displayFolder="" count="0" unbalanced="0" hidden="1"/>
    <cacheHierarchy uniqueName="[Medlemskrets].[PK Medlemskrets Dim]" caption="PK Medlemskrets Dim" attribute="1" keyAttribute="1" defaultMemberUniqueName="[Medlemskrets].[PK Medlemskrets Dim].[Alle]" allUniqueName="[Medlemskrets].[PK Medlemskrets Dim].[Alle]" dimensionUniqueName="[Medlemskrets]" displayFolder="" count="0" unbalanced="0" hidden="1"/>
    <cacheHierarchy uniqueName="[Medlemssenter].[PK Medlemssenter Dim]" caption="PK Medlemssenter Dim" attribute="1" keyAttribute="1" defaultMemberUniqueName="[Medlemssenter].[PK Medlemssenter Dim].[All]" allUniqueName="[Medlemssenter].[PK Medlemssenter Dim].[All]" dimensionUniqueName="[Medlemssenter]" displayFolder="" count="0" unbalanced="0" hidden="1"/>
    <cacheHierarchy uniqueName="[MinSide Kjøttprosent].[PK Min Side Kjoettprosent Dim]" caption="PK Min Side Kjoettprosent Dim" attribute="1" keyAttribute="1" defaultMemberUniqueName="[MinSide Kjøttprosent].[PK Min Side Kjoettprosent Dim].[All]" allUniqueName="[MinSide Kjøttprosent].[PK Min Side Kjoettprosent Dim].[All]" dimensionUniqueName="[MinSide Kjøttprosent]" displayFolder="" count="0" unbalanced="0" hidden="1"/>
    <cacheHierarchy uniqueName="[MinSide Vektklasse].[PK Min Side Vektklasse Dim]" caption="PK Min Side Vektklasse Dim" attribute="1" keyAttribute="1" defaultMemberUniqueName="[MinSide Vektklasse].[PK Min Side Vektklasse Dim].[All]" allUniqueName="[MinSide Vektklasse].[PK Min Side Vektklasse Dim].[All]" dimensionUniqueName="[MinSide Vektklasse]" displayFolder="" count="0" unbalanced="0" hidden="1"/>
    <cacheHierarchy uniqueName="[Mottatt Periode].[Periode Id]" caption="Periode Id" attribute="1" time="1" defaultMemberUniqueName="[Mottatt Periode].[Periode Id].[Alle]" allUniqueName="[Mottatt Periode].[Periode Id].[Alle]" dimensionUniqueName="[Mottatt Periode]" displayFolder="" count="0" unbalanced="0" hidden="1"/>
    <cacheHierarchy uniqueName="[Mottatt Periode].[PK Periode Dim]" caption="PK Periode Dim" attribute="1" time="1" keyAttribute="1" defaultMemberUniqueName="[Mottatt Periode].[PK Periode Dim].[Alle]" allUniqueName="[Mottatt Periode].[PK Periode Dim].[Alle]" dimensionUniqueName="[Mottatt Periode]" displayFolder="" count="0" memberValueDatatype="3" unbalanced="0" hidden="1"/>
    <cacheHierarchy uniqueName="[Rase].[PK Rase Dim]" caption="PK Rase Dim" attribute="1" keyAttribute="1" defaultMemberUniqueName="[Rase].[PK Rase Dim].[All]" allUniqueName="[Rase].[PK Rase Dim].[All]" dimensionUniqueName="[Rase]" displayFolder="" count="0" unbalanced="0" hidden="1"/>
    <cacheHierarchy uniqueName="[Referanse1].[Referanse1Navn]" caption="Referanse1Navn" attribute="1" keyAttribute="1" defaultMemberUniqueName="[Referanse1].[Referanse1Navn].[All]" allUniqueName="[Referanse1].[Referanse1Navn].[All]" dimensionUniqueName="[Referanse1]" displayFolder="" count="0" unbalanced="0" hidden="1"/>
    <cacheHierarchy uniqueName="[Referanse2].[Referanse2Navn]" caption="Referanse2Navn" attribute="1" keyAttribute="1" defaultMemberUniqueName="[Referanse2].[Referanse2Navn].[All]" allUniqueName="[Referanse2].[Referanse2Navn].[All]" dimensionUniqueName="[Referanse2]" displayFolder="" count="0" unbalanced="0" hidden="1"/>
    <cacheHierarchy uniqueName="[Rådgivning].[PK_Salg_Raadgivning_Fak]" caption="PK_Salg_Raadgivning_Fak" attribute="1" keyAttribute="1" defaultMemberUniqueName="[Rådgivning].[PK_Salg_Raadgivning_Fak].[All]" allUniqueName="[Rådgivning].[PK_Salg_Raadgivning_Fak].[All]" dimensionUniqueName="[Rådgivning]" displayFolder="" count="0" unbalanced="0" hidden="1"/>
    <cacheHierarchy uniqueName="[Salgsordretype].[PK_Salgsordretype_Dim]" caption="PK_Salgsordretype_Dim" attribute="1" keyAttribute="1" defaultMemberUniqueName="[Salgsordretype].[PK_Salgsordretype_Dim].[All]" allUniqueName="[Salgsordretype].[PK_Salgsordretype_Dim].[All]" dimensionUniqueName="[Salgsordretype]" displayFolder="" count="0" unbalanced="0" hidden="1"/>
    <cacheHierarchy uniqueName="[Tilfoerselsomraade].[PK Tilfoerselsomraade Dim]" caption="PK Tilfoerselsomraade Dim" attribute="1" keyAttribute="1" defaultMemberUniqueName="[Tilfoerselsomraade].[PK Tilfoerselsomraade Dim].[All]" allUniqueName="[Tilfoerselsomraade].[PK Tilfoerselsomraade Dim].[All]" dimensionUniqueName="[Tilfoerselsomraade]" displayFolder="" count="0" unbalanced="0" hidden="1"/>
    <cacheHierarchy uniqueName="[Vare].[Avregningsvarevariantkode]" caption="Avregningsvarevariantkode" attribute="1" defaultMemberUniqueName="[Vare].[Avregningsvarevariantkode].[Alle]" allUniqueName="[Vare].[Avregningsvarevariantkode].[Alle]" dimensionUniqueName="[Vare]" displayFolder="" count="2" unbalanced="0" hidden="1">
      <fieldsUsage count="2">
        <fieldUsage x="-1"/>
        <fieldUsage x="6"/>
      </fieldsUsage>
    </cacheHierarchy>
    <cacheHierarchy uniqueName="[Vare].[PK Vare Dim]" caption="PK Vare Dim" attribute="1" keyAttribute="1" defaultMemberUniqueName="[Vare].[PK Vare Dim].[Alle]" allUniqueName="[Vare].[PK Vare Dim].[Alle]" dimensionUniqueName="[Vare]" displayFolder="" count="0" unbalanced="0" hidden="1"/>
    <cacheHierarchy uniqueName="[Vare].[Varehovedkategori]" caption="Varehovedkategori" attribute="1" defaultMemberUniqueName="[Vare].[Varehovedkategori].[Alle]" allUniqueName="[Vare].[Varehovedkategori].[Alle]" dimensionUniqueName="[Vare]" displayFolder="" count="0" unbalanced="0" hidden="1"/>
    <cacheHierarchy uniqueName="[Vare].[Varekategori]" caption="Varekategori" attribute="1" defaultMemberUniqueName="[Vare].[Varekategori].[Alle]" allUniqueName="[Vare].[Varekategori].[Alle]" dimensionUniqueName="[Vare]" displayFolder="" count="0" unbalanced="0" hidden="1"/>
    <cacheHierarchy uniqueName="[Vare].[Vareunderkategori]" caption="Vareunderkategori" attribute="1" defaultMemberUniqueName="[Vare].[Vareunderkategori].[Alle]" allUniqueName="[Vare].[Vareunderkategori].[Alle]" dimensionUniqueName="[Vare]" displayFolder="" count="0" unbalanced="0" hidden="1"/>
    <cacheHierarchy uniqueName="[Vektklasse].[PK Vektklasse Dim]" caption="PK Vektklasse Dim" attribute="1" keyAttribute="1" defaultMemberUniqueName="[Vektklasse].[PK Vektklasse Dim].[All]" allUniqueName="[Vektklasse].[PK Vektklasse Dim].[All]" dimensionUniqueName="[Vektklasse]" displayFolder="" count="0" unbalanced="0" hidden="1"/>
    <cacheHierarchy uniqueName="[Økonomisk Periode].[Oekonomisk Periode Id]" caption="Oekonomisk Periode Id" attribute="1" time="1" defaultMemberUniqueName="[Økonomisk Periode].[Oekonomisk Periode Id].[Alle]" allUniqueName="[Økonomisk Periode].[Oekonomisk Periode Id].[Alle]" dimensionUniqueName="[Økonomisk Periode]" displayFolder="" count="0" unbalanced="0" hidden="1"/>
    <cacheHierarchy uniqueName="[Økonomisk Periode].[PK Oekonomisk Periode Dim]" caption="PK Oekonomisk Periode Dim" attribute="1" time="1" keyAttribute="1" defaultMemberUniqueName="[Økonomisk Periode].[PK Oekonomisk Periode Dim].[Alle]" allUniqueName="[Økonomisk Periode].[PK Oekonomisk Periode Dim].[Alle]" dimensionUniqueName="[Økonomisk Periode]" displayFolder="" count="0" memberValueDatatype="3" unbalanced="0" hidden="1"/>
    <cacheHierarchy uniqueName="[Økonomisk Periode].[Regnskapsuke]" caption="Ukenr avregnet" attribute="1" time="1" defaultMemberUniqueName="[Økonomisk Periode].[Regnskapsuke].[Alle]" allUniqueName="[Økonomisk Periode].[Regnskapsuke].[Alle]" dimensionUniqueName="[Økonomisk Periode]" displayFolder="" count="0" unbalanced="0" hidden="1"/>
    <cacheHierarchy uniqueName="[Measures].[Antall]" caption="Antall" measure="1" displayFolder="" measureGroup="Avregning" count="0" oneField="1">
      <fieldsUsage count="1">
        <fieldUsage x="7"/>
      </fieldsUsage>
    </cacheHierarchy>
    <cacheHierarchy uniqueName="[Measures].[Vekt]" caption="Vekt" measure="1" displayFolder="" measureGroup="Avregning" count="0"/>
    <cacheHierarchy uniqueName="[Measures].[Beløp]" caption="Beløp" measure="1" displayFolder="" measureGroup="Avregning" count="0"/>
    <cacheHierarchy uniqueName="[Measures].[Antall rader]" caption="Antall avregningslinjer" measure="1" displayFolder="" measureGroup="Avregning" count="0"/>
    <cacheHierarchy uniqueName="[Measures].[Fettverdi]" caption="Fettverdi" measure="1" displayFolder="" measureGroup="Avregning" count="0"/>
    <cacheHierarchy uniqueName="[Measures].[Kjøttprosent]" caption="Kjøttprosent" measure="1" displayFolder="" measureGroup="Avregning" count="0"/>
    <cacheHierarchy uniqueName="[Measures].[Klasseverdi]" caption="Klasseverdi" measure="1" displayFolder="" measureGroup="Avregning" count="0"/>
    <cacheHierarchy uniqueName="[Measures].[Avregningsammendrag Antall]" caption="Avregningsammendrag Antall" measure="1" displayFolder="" measureGroup="Avregning" count="0"/>
    <cacheHierarchy uniqueName="[Measures].[Avregningsammendrag Vekt]" caption="Avregningsammendrag Vekt" measure="1" displayFolder="" measureGroup="Avregning" count="0"/>
    <cacheHierarchy uniqueName="[Measures].[Kjoereseddel Nr]" caption="Antall kjøresedler" measure="1" displayFolder="" measureGroup="Avregning" count="0" oneField="1">
      <fieldsUsage count="1">
        <fieldUsage x="24"/>
      </fieldsUsage>
    </cacheHierarchy>
    <cacheHierarchy uniqueName="[Measures].[Individ Alder Dager]" caption="Individ Alder Dager" measure="1" displayFolder="" measureGroup="Avregning" count="0"/>
    <cacheHierarchy uniqueName="[Measures].[Foedselsvekt]" caption="Fødselsvekt sum" measure="1" displayFolder="" measureGroup="Avregning" count="0"/>
    <cacheHierarchy uniqueName="[Measures].[Sum Tillegg Individ Spesifikt]" caption="Sum Tillegg Individ Spesifikt" measure="1" displayFolder="" measureGroup="Avregning" count="0"/>
    <cacheHierarchy uniqueName="[Measures].[Beløp fakturert]" caption="Beløp fakturert" measure="1" displayFolder="" measureGroup="Livdyrsalg" count="0"/>
    <cacheHierarchy uniqueName="[Measures].[Vekt fakturert]" caption="Vekt fakturert" measure="1" displayFolder="" measureGroup="Livdyrsalg" count="0"/>
    <cacheHierarchy uniqueName="[Measures].[Antall fakturert]" caption="Antall fakturert" measure="1" displayFolder="" measureGroup="Livdyrsalg" count="0"/>
    <cacheHierarchy uniqueName="[Measures].[Beløp fakturert rådgivning]" caption="Beløp fakturert rådgivning" measure="1" displayFolder="" measureGroup="Rådgivningsalg" count="0"/>
    <cacheHierarchy uniqueName="[Measures].[Antall fakturert rådgivning]" caption="Antall fakturert rådgivning" measure="1" displayFolder="" measureGroup="Rådgivningsalg" count="0"/>
    <cacheHierarchy uniqueName="[Measures].[Antall Individ]" caption="Antall individ med anmerkning" measure="1" displayFolder="" measureGroup="Anmerkning" count="0"/>
    <cacheHierarchy uniqueName="[Measures].[Antall Anmerkning]" caption="Antall anmerkning" measure="1" displayFolder="" measureGroup="Anmerkning" count="0"/>
    <cacheHierarchy uniqueName="[Measures].[Antall individ med sykdomsanmerkning]" caption="Antall individ med sykdomsanmerkning" measure="1" displayFolder="" measureGroup="Anmerkning" count="0"/>
    <cacheHierarchy uniqueName="[Measures].[Antall Kassert]" caption="Antall kassert" measure="1" displayFolder="" measureGroup="Anmerkning" count="0"/>
    <cacheHierarchy uniqueName="[Measures].[Teller]" caption="Teller" measure="1" displayFolder="" measureGroup="Produsent Egenskap" count="0"/>
    <cacheHierarchy uniqueName="[Measures].[Dato1 KE]" caption="Dato1 KE" measure="1" displayFolder="" measureGroup="Kunde Egenskap" count="0"/>
    <cacheHierarchy uniqueName="[Measures].[Dato2 KE]" caption="Dato2 KE" measure="1" displayFolder="" measureGroup="Kunde Egenskap" count="0"/>
    <cacheHierarchy uniqueName="[Measures].[Dato3 KE]" caption="Dato3 KE" measure="1" displayFolder="" measureGroup="Kunde Egenskap" count="0"/>
    <cacheHierarchy uniqueName="[Measures].[Teller KE]" caption="Teller KE" measure="1" displayFolder="" measureGroup="Kunde Egenskap" count="0"/>
    <cacheHierarchy uniqueName="[Measures].[Budsjett Vekt]" caption="Budsjett Vekt" measure="1" displayFolder="" measureGroup="Tilførselsbudsjett" count="0"/>
    <cacheHierarchy uniqueName="[Measures].[Budsjett Antall]" caption="Budsjett Antall" measure="1" displayFolder="" measureGroup="Tilførselsbudsjett" count="0"/>
    <cacheHierarchy uniqueName="[Measures].[Antall indeks]" caption="Antall indeks" measure="1" displayFolder="" measureGroup="Avregning" count="0"/>
    <cacheHierarchy uniqueName="[Measures].[Vekt indeks]" caption="Vekt indeks" measure="1" displayFolder="" measureGroup="Avregning" count="0"/>
    <cacheHierarchy uniqueName="[Measures].[Beløp indeks]" caption="Beløp indeks" measure="1" displayFolder="" measureGroup="Avregning" count="0"/>
    <cacheHierarchy uniqueName="[Measures].[Budsjett antall indeks]" caption="Budsjett antall indeks" measure="1" displayFolder="" measureGroup="Tilførselsbudsjett" count="0"/>
    <cacheHierarchy uniqueName="[Measures].[Budsjett vekt indeks]" caption="Budsjett vekt indeks" measure="1" displayFolder="" measureGroup="Tilførselsbudsjett" count="0"/>
    <cacheHierarchy uniqueName="[Measures].[Antall fakturert indeks]" caption="Antall fakturert indeks" measure="1" displayFolder="" measureGroup="Livdyrsalg" count="0"/>
    <cacheHierarchy uniqueName="[Measures].[Vekt fakturert indeks]" caption="Vekt fakturert indeks" measure="1" displayFolder="" measureGroup="Livdyrsalg" count="0"/>
    <cacheHierarchy uniqueName="[Measures].[Beløp fakturert indeks]" caption="Beløp fakturert indeks" measure="1" displayFolder="" measureGroup="Livdyrsalg" count="0"/>
    <cacheHierarchy uniqueName="[Measures].[Dato1]" caption="Dato1" measure="1" displayFolder="Produsent Egenskap" measureGroup="Produsent Egenskap" count="0"/>
    <cacheHierarchy uniqueName="[Measures].[Dato2]" caption="Dato2" measure="1" displayFolder="Produsent Egenskap" measureGroup="Produsent Egenskap" count="0"/>
    <cacheHierarchy uniqueName="[Measures].[Dato3]" caption="Dato3" measure="1" displayFolder="Produsent Egenskap" measureGroup="Produsent Egenskap" count="0"/>
    <cacheHierarchy uniqueName="[Measures].[Antall Anmerkning indeks]" caption="Antall Anmerkning indeks" measure="1" displayFolder="" measureGroup="Anmerkning" count="0"/>
    <cacheHierarchy uniqueName="[Measures].[Antall Individ indeks]" caption="Antall Individ indeks" measure="1" displayFolder="" measureGroup="Anmerkning" count="0"/>
    <cacheHierarchy uniqueName="[Measures].[Antall individ med sykdomsanmerkning indeks]" caption="Antall individ med sykdomsanmerkning indeks" measure="1" displayFolder="" measureGroup="Anmerkning" count="0"/>
    <cacheHierarchy uniqueName="[Measures].[Antall Kassert indeks]" caption="Antall Kassert indeks" measure="1" displayFolder="" measureGroup="Anmerkning" count="0"/>
    <cacheHierarchy uniqueName="[Measures].[Antall fakturert rådgivning indeks]" caption="Antall fakturert rådgivning indeks" measure="1" displayFolder="" measureGroup="Rådgivningsalg" count="0"/>
    <cacheHierarchy uniqueName="[Measures].[Beløp fakturert rådgivning indeks]" caption="Beløp fakturert rådgivning indeks" measure="1" displayFolder="" measureGroup="Rådgivningsalg" count="0"/>
    <cacheHierarchy uniqueName="[Measures].[Antall fakturert mot avregnet]" caption="Antall fakturert mot avregnet" measure="1" displayFolder="" measureGroup="Livdyrsalg" count="0"/>
    <cacheHierarchy uniqueName="[Measures].[Antall fakturert % mot avregnet]" caption="Antall fakturert % mot avregnet" measure="1" displayFolder="" measureGroup="Livdyrsalg" count="0"/>
    <cacheHierarchy uniqueName="[Measures].[Antall Anmerkning % av avregnet]" caption="Andel individ med anmerkning" measure="1" displayFolder="" measureGroup="Anmerkning" count="0"/>
    <cacheHierarchy uniqueName="[Measures].[Antall Anmerkning % av Foreldre]" caption="Andel av anmerkninger" measure="1" displayFolder="" measureGroup="Anmerkning" count="0"/>
    <cacheHierarchy uniqueName="[Measures].[Beløp % av forelder]" caption="Beløp % av overordnet" measure="1" displayFolder="" measureGroup="Avregning" count="0"/>
    <cacheHierarchy uniqueName="[Measures].[Vekt % av forelder]" caption="Vekt % av overordnet" measure="1" displayFolder="" measureGroup="Avregning" count="0"/>
    <cacheHierarchy uniqueName="[Measures].[Gj snitt Kjøtt%]" caption="Gj snitt Kjøtt%" measure="1" displayFolder="" measureGroup="Avregning" count="0"/>
    <cacheHierarchy uniqueName="[Measures].[Gj snitt Klasseverdi]" caption="Gj snitt Klasseverdi" measure="1" displayFolder="" measureGroup="Avregning" count="0"/>
    <cacheHierarchy uniqueName="[Measures].[Gj snitt Fettverdi]" caption="Gj snitt Fettverdi" measure="1" displayFolder="" measureGroup="Avregning" count="0"/>
    <cacheHierarchy uniqueName="[Measures].[Gj snitt Individ alder]" caption="Gj snitt Individ alder" measure="1" displayFolder="" measureGroup="Avregning" count="0"/>
    <cacheHierarchy uniqueName="[Measures].[Gj snitt Tilvekst]" caption="Gj snitt Tilvekst" measure="1" displayFolder="" measureGroup="Avregning" count="0"/>
    <cacheHierarchy uniqueName="[Measures].[Gj snitt beløp]" caption="Gj snitt beløp" measure="1" displayFolder="" measureGroup="Avregning" count="0"/>
    <cacheHierarchy uniqueName="[Measures].[Gj snitt vekt]" caption="Gj snitt vekt" measure="1" displayFolder="" measureGroup="Avregning" count="0"/>
    <cacheHierarchy uniqueName="[Measures].[Produsent Tilfoerselsomraade Count]" caption="Produsent Tilfoerselsomraade Count" measure="1" displayFolder="" measureGroup="Produsent Tilfoerselsomraade" count="0" hidden="1"/>
    <cacheHierarchy uniqueName="[Measures].[Dato 1]" caption="Dato 1" measure="1" displayFolder="" measureGroup="Produsent Egenskap" count="0" hidden="1"/>
    <cacheHierarchy uniqueName="[Measures].[Dato 2]" caption="Dato 2" measure="1" displayFolder="" measureGroup="Produsent Egenskap" count="0" hidden="1"/>
    <cacheHierarchy uniqueName="[Measures].[Dato 3]" caption="Dato 3" measure="1" displayFolder="" measureGroup="Produsent Egenskap" count="0" hidden="1"/>
    <cacheHierarchy uniqueName="[Tilførsel]" caption="Tilførsel" set="1" parentSet="219" displayFolder="" count="0" unbalanced="0" unbalancedGroup="0"/>
    <cacheHierarchy uniqueName="[SLF]" caption="SLF" set="1" parentSet="217" displayFolder="" count="0" unbalanced="0" unbalancedGroup="0"/>
  </cacheHierarchies>
  <kpis count="0"/>
  <dimensions count="27">
    <dimension name="Anmerkningstype" uniqueName="[Anmerkningstype]" caption="Anmerkningstype"/>
    <dimension name="Avdeling" uniqueName="[Avdeling]" caption="Avdeling"/>
    <dimension name="Avregning" uniqueName="[Avregning]" caption="Avregning"/>
    <dimension name="Datakilde" uniqueName="[Datakilde]" caption="Datakilde"/>
    <dimension name="Datasett" uniqueName="[Datasett]" caption="Datasett"/>
    <dimension name="Hønas alder" uniqueName="[Hønas alder]" caption="Hønas alder"/>
    <dimension name="Kunde" uniqueName="[Kunde]" caption="Kunde"/>
    <dimension name="Leverandør" uniqueName="[Leverandør]" caption="Produsent"/>
    <dimension name="Livdyrsalg" uniqueName="[Livdyrsalg]" caption="Livdyrsalg"/>
    <dimension measure="1" name="Measures" uniqueName="[Measures]" caption="Measures"/>
    <dimension name="Medlemskrets" uniqueName="[Medlemskrets]" caption="Medlemsdemokrati"/>
    <dimension name="Medlemssenter" uniqueName="[Medlemssenter]" caption="Medlemssenter"/>
    <dimension name="MinSide Kjøttprosent" uniqueName="[MinSide Kjøttprosent]" caption="MinSide Kjøttprosent"/>
    <dimension name="MinSide Vektklasse" uniqueName="[MinSide Vektklasse]" caption="MinSide Vektklasse"/>
    <dimension name="Mottatt Periode" uniqueName="[Mottatt Periode]" caption="Periode Mottatt"/>
    <dimension name="Mottatt Periode Kalkuleringer" uniqueName="[Mottatt Periode Kalkuleringer]" caption="Periode Mottatt kalkulering"/>
    <dimension name="Produsent Egenskap" uniqueName="[Produsent Egenskap]" caption="Produsent Egenskap"/>
    <dimension name="Rase" uniqueName="[Rase]" caption="Rase"/>
    <dimension name="Referanse1" uniqueName="[Referanse1]" caption="Referanse1"/>
    <dimension name="Referanse2" uniqueName="[Referanse2]" caption="Referanse2"/>
    <dimension name="Rådgivning" uniqueName="[Rådgivning]" caption="Rådgivning"/>
    <dimension name="Salgsordretype" uniqueName="[Salgsordretype]" caption="Salgsordretype"/>
    <dimension name="Tilfoerselsomraade" uniqueName="[Tilfoerselsomraade]" caption="Tilfoerselsomraade"/>
    <dimension name="Vare" uniqueName="[Vare]" caption="Vare"/>
    <dimension name="Vektklasse" uniqueName="[Vektklasse]" caption="Vektklasse"/>
    <dimension name="Økonomisk Periode" uniqueName="[Økonomisk Periode]" caption="Periode Avregnet"/>
    <dimension name="Økonomisk Periode Kalkuleringer" uniqueName="[Økonomisk Periode Kalkuleringer]" caption="Periode Avregnet kalkulering"/>
  </dimensions>
  <measureGroups count="8">
    <measureGroup name="Anmerkning" caption="Anmerkning"/>
    <measureGroup name="Avregning" caption="Avregning"/>
    <measureGroup name="Kunde Egenskap" caption="Kunde Egenskap"/>
    <measureGroup name="Livdyrsalg" caption="Livdyrsalg"/>
    <measureGroup name="Produsent Egenskap" caption="Produsentegenskap"/>
    <measureGroup name="Produsent Tilfoerselsomraade" caption="Produsent Tilfoerselsomraade"/>
    <measureGroup name="Rådgivningsalg" caption="Rådgivningsalg"/>
    <measureGroup name="Tilførselsbudsjett" caption="Tilførselsbudsjett"/>
  </measureGroups>
  <maps count="74">
    <map measureGroup="0" dimension="0"/>
    <map measureGroup="0" dimension="1"/>
    <map measureGroup="0" dimension="2"/>
    <map measureGroup="0" dimension="3"/>
    <map measureGroup="0" dimension="4"/>
    <map measureGroup="0" dimension="7"/>
    <map measureGroup="0" dimension="14"/>
    <map measureGroup="0" dimension="16"/>
    <map measureGroup="0" dimension="18"/>
    <map measureGroup="0" dimension="19"/>
    <map measureGroup="0" dimension="23"/>
    <map measureGroup="0" dimension="25"/>
    <map measureGroup="1" dimension="1"/>
    <map measureGroup="1" dimension="2"/>
    <map measureGroup="1" dimension="3"/>
    <map measureGroup="1" dimension="4"/>
    <map measureGroup="1" dimension="5"/>
    <map measureGroup="1" dimension="6"/>
    <map measureGroup="1" dimension="7"/>
    <map measureGroup="1" dimension="10"/>
    <map measureGroup="1" dimension="11"/>
    <map measureGroup="1" dimension="12"/>
    <map measureGroup="1" dimension="13"/>
    <map measureGroup="1" dimension="14"/>
    <map measureGroup="1" dimension="16"/>
    <map measureGroup="1" dimension="17"/>
    <map measureGroup="1" dimension="18"/>
    <map measureGroup="1" dimension="19"/>
    <map measureGroup="1" dimension="23"/>
    <map measureGroup="1" dimension="24"/>
    <map measureGroup="1" dimension="25"/>
    <map measureGroup="2" dimension="6"/>
    <map measureGroup="2" dimension="16"/>
    <map measureGroup="2" dimension="18"/>
    <map measureGroup="2" dimension="19"/>
    <map measureGroup="3" dimension="1"/>
    <map measureGroup="3" dimension="3"/>
    <map measureGroup="3" dimension="4"/>
    <map measureGroup="3" dimension="6"/>
    <map measureGroup="3" dimension="7"/>
    <map measureGroup="3" dimension="8"/>
    <map measureGroup="3" dimension="10"/>
    <map measureGroup="3" dimension="11"/>
    <map measureGroup="3" dimension="14"/>
    <map measureGroup="3" dimension="16"/>
    <map measureGroup="3" dimension="18"/>
    <map measureGroup="3" dimension="19"/>
    <map measureGroup="3" dimension="21"/>
    <map measureGroup="3" dimension="23"/>
    <map measureGroup="3" dimension="25"/>
    <map measureGroup="4" dimension="7"/>
    <map measureGroup="4" dimension="16"/>
    <map measureGroup="4" dimension="18"/>
    <map measureGroup="4" dimension="19"/>
    <map measureGroup="5" dimension="6"/>
    <map measureGroup="5" dimension="7"/>
    <map measureGroup="5" dimension="22"/>
    <map measureGroup="6" dimension="1"/>
    <map measureGroup="6" dimension="3"/>
    <map measureGroup="6" dimension="4"/>
    <map measureGroup="6" dimension="6"/>
    <map measureGroup="6" dimension="7"/>
    <map measureGroup="6" dimension="14"/>
    <map measureGroup="6" dimension="16"/>
    <map measureGroup="6" dimension="18"/>
    <map measureGroup="6" dimension="19"/>
    <map measureGroup="6" dimension="20"/>
    <map measureGroup="6" dimension="21"/>
    <map measureGroup="6" dimension="23"/>
    <map measureGroup="6" dimension="25"/>
    <map measureGroup="7" dimension="7"/>
    <map measureGroup="7" dimension="11"/>
    <map measureGroup="7" dimension="14"/>
    <map measureGroup="7" dimension="2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orfatter" refreshedDate="43480.679186921298" backgroundQuery="1" createdVersion="3" refreshedVersion="6" minRefreshableVersion="3" recordCount="0" supportSubquery="1" supportAdvancedDrill="1" xr:uid="{E5F72BCD-8891-3042-82B7-1CA80A08EC18}">
  <cacheSource type="external" connectionId="1"/>
  <cacheFields count="25">
    <cacheField name="[Vare].[Avregningstype hierarki].[Avregningstype]" caption="Avregningstype" numFmtId="0" hierarchy="240" level="1">
      <sharedItems count="1">
        <s v="[Vare].[Avregningstype hierarki].[Avregningstype].&amp;[5. Avregning transport]" c="5. Avregning transport"/>
      </sharedItems>
    </cacheField>
    <cacheField name="[Vare].[Avregningstype hierarki].[Avregningsundertype]" caption="Avregningsundertype" numFmtId="0" hierarchy="240" level="3">
      <sharedItems count="6">
        <s v="[Vare].[Avregningstype hierarki].[Avregningsundertype].&amp;[5. Avregning transport]&amp;[Livdyr]" c="Livdyr"/>
        <s v="[Vare].[Avregningstype hierarki].[Avregningsundertype].&amp;[5. Avregning transport]&amp;[Alle 4-beinte]" u="1" c="Alle 4-beinte"/>
        <s v="[Vare].[Avregningstype hierarki].[Avregningsundertype].&amp;[5. Avregning transport]&amp;[Annet]" u="1" c="Annet"/>
        <s v="[Vare].[Avregningstype hierarki].[Avregningsundertype].&amp;[5. Avregning transport]&amp;[Gris]" u="1" c="Gris"/>
        <s v="[Vare].[Avregningstype hierarki].[Avregningsundertype].&amp;[5. Avregning transport]&amp;[Småfe]" u="1" c="Småfe"/>
        <s v="[Vare].[Avregningstype hierarki].[Avregningsundertype].&amp;[5. Avregning transport]&amp;[Storfe]" u="1" c="Storfe"/>
      </sharedItems>
    </cacheField>
    <cacheField name="[Vare].[Avregningstype hierarki].[Vare]" caption="Vare" numFmtId="0" hierarchy="240" level="4">
      <sharedItems containsSemiMixedTypes="0" containsString="0"/>
    </cacheField>
    <cacheField name="[Vare].[Avregningstype hierarki].[Avregningsundertype].[Avregningstype]" caption="Avregningstype" propertyName="Avregningstype" numFmtId="0" hierarchy="240" level="3" memberPropertyField="1">
      <sharedItems containsSemiMixedTypes="0" containsString="0"/>
    </cacheField>
    <cacheField name="[Vare].[Avregningstype hierarki].[Vare].[Avregningsundertype]" caption="Avregningsundertype" propertyName="Avregningsundertype" numFmtId="0" hierarchy="240" level="4" memberPropertyField="1">
      <sharedItems containsSemiMixedTypes="0" containsString="0"/>
    </cacheField>
    <cacheField name="[Vare].[Avregningstype hierarki].[Vare].[Varevariant]" caption="Varevariant" propertyName="Varevariant" numFmtId="0" hierarchy="240" level="4" memberPropertyField="1">
      <sharedItems containsSemiMixedTypes="0" containsString="0"/>
    </cacheField>
    <cacheField name="[Vare].[Avregningsvarevariantkode].[Avregningsvarevariantkode]" caption="Avregningsvarevariantkode" numFmtId="0" hierarchy="329" level="1">
      <sharedItems containsSemiMixedTypes="0" containsString="0"/>
    </cacheField>
    <cacheField name="[Mottatt Periode].[Regnskaps År - Måned - Dag].[Regnskapsår]" caption="År mottatt (regnskap)" numFmtId="0" hierarchy="177" level="1">
      <sharedItems containsSemiMixedTypes="0" containsString="0"/>
    </cacheField>
    <cacheField name="[Mottatt Periode].[Regnskaps År - Måned - Dag].[RegnskapsKvartal]" caption="Kvartal/år mottatt (regnskap)" numFmtId="0" hierarchy="177" level="2">
      <sharedItems containsSemiMixedTypes="0" containsString="0"/>
    </cacheField>
    <cacheField name="[Mottatt Periode].[Regnskaps År - Måned - Dag].[Regnskapsmåned]" caption="Måned/år mottatt (regnskap)" numFmtId="0" hierarchy="177" level="3">
      <sharedItems containsSemiMixedTypes="0" containsString="0"/>
    </cacheField>
    <cacheField name="[Mottatt Periode].[Regnskaps År - Måned - Dag].[Regnskapsuke]" caption="Uke/År mottatt (regnskap)" numFmtId="0" hierarchy="177" level="4">
      <sharedItems containsSemiMixedTypes="0" containsString="0"/>
    </cacheField>
    <cacheField name="[Mottatt Periode].[Regnskaps År - Måned - Dag].[Dag]" caption="Dato mottatt" numFmtId="0" hierarchy="177" level="5">
      <sharedItems containsSemiMixedTypes="0" containsString="0"/>
    </cacheField>
    <cacheField name="[Mottatt Periode].[Regnskaps År - Måned - Dag].[RegnskapsKvartal].[Regnskapsår]" caption="År mottatt (regnskap)" propertyName="Regnskapsår" numFmtId="0" hierarchy="177" level="2" memberPropertyField="1">
      <sharedItems containsSemiMixedTypes="0" containsString="0"/>
    </cacheField>
    <cacheField name="[Mottatt Periode].[Regnskaps År - Måned - Dag].[Regnskapsmåned].[RegnskapsKvartal]" caption="Kvartal/år mottatt (regnskap)" propertyName="RegnskapsKvartal" numFmtId="0" hierarchy="177" level="3" memberPropertyField="1">
      <sharedItems containsSemiMixedTypes="0" containsString="0"/>
    </cacheField>
    <cacheField name="[Mottatt Periode].[Regnskaps År - Måned - Dag].[Regnskapsuke].[Regnskapsmåned]" caption="Måned/år mottatt (regnskap)" propertyName="Regnskapsmåned" numFmtId="0" hierarchy="177" level="4" memberPropertyField="1">
      <sharedItems containsSemiMixedTypes="0" containsString="0"/>
    </cacheField>
    <cacheField name="[Mottatt Periode].[Regnskaps År - Måned - Dag].[Dag].[Regnskapsuke]" caption="Uke/År mottatt (regnskap)" propertyName="Regnskapsuke" numFmtId="0" hierarchy="177" level="5" memberPropertyField="1">
      <sharedItems containsSemiMixedTypes="0" containsString="0"/>
    </cacheField>
    <cacheField name="[Vare].[Varevariantkode].[Varevariantkode]" caption="Varevariantkode" numFmtId="0" hierarchy="268" level="1">
      <sharedItems containsSemiMixedTypes="0" containsString="0"/>
    </cacheField>
    <cacheField name="[Leverandør].[Produsentgeografi].[Fylke]" caption="Fylke navn" numFmtId="0" hierarchy="140" level="1">
      <sharedItems containsSemiMixedTypes="0" containsString="0"/>
    </cacheField>
    <cacheField name="[Leverandør].[Produsentgeografi].[Kommune]" caption="Kommune navn" numFmtId="0" hierarchy="140" level="2">
      <sharedItems containsSemiMixedTypes="0" containsString="0"/>
    </cacheField>
    <cacheField name="[Leverandør].[Produsentgeografi].[Kommune].[Fylke]" caption="Fylke navn" propertyName="Fylke" numFmtId="0" hierarchy="140" level="2" memberPropertyField="1">
      <sharedItems containsSemiMixedTypes="0" containsString="0"/>
    </cacheField>
    <cacheField name="[Leverandør].[Leverandoer Gruppe].[Leverandoer Gruppe]" caption="Leverandørgruppe" numFmtId="0" hierarchy="117" level="1">
      <sharedItems containsSemiMixedTypes="0" containsString="0"/>
    </cacheField>
    <cacheField name="[Measures].[Beløp]" caption="Beløp" numFmtId="0" hierarchy="342" level="32767"/>
    <cacheField name="[Leverandør].[Leverandoernr Navn Hoved].[Leverandoernr Navn Hoved]" caption="Leverandør hoved" numFmtId="0" hierarchy="118" level="1">
      <sharedItems count="16">
        <s v="[Leverandør].[Leverandoernr Navn Hoved].&amp;[03380 Grøtting Dyretransport AS]" c="03380 Grøtting Dyretransport AS"/>
        <s v="[Leverandør].[Leverandoernr Navn Hoved].&amp;[03384 Per Opdal Transport AS]" c="03384 Per Opdal Transport AS"/>
        <s v="[Leverandør].[Leverandoernr Navn Hoved].&amp;[03386 Ole og Bjørn Dyretransport AS]" c="03386 Ole og Bjørn Dyretransport AS"/>
        <s v="[Leverandør].[Leverandoernr Navn Hoved].&amp;[03387 Gihle Dyretransport AS]" c="03387 Gihle Dyretransport AS"/>
        <s v="[Leverandør].[Leverandoernr Navn Hoved].&amp;[03388 Sønstevoldhaugen Karsten]" c="03388 Sønstevoldhaugen Karsten"/>
        <s v="[Leverandør].[Leverandoernr Navn Hoved].&amp;[03395 Transferd AS Øst]" c="03395 Transferd AS Øst"/>
        <s v="[Leverandør].[Leverandoernr Navn Hoved].&amp;[03396 Vangerud Dyretransport AS]" c="03396 Vangerud Dyretransport AS"/>
        <s v="[Leverandør].[Leverandoernr Navn Hoved].&amp;[03397 Bakkeli Jørn H. AS]" c="03397 Bakkeli Jørn H. AS"/>
        <s v="[Leverandør].[Leverandoernr Navn Hoved].&amp;[03402 Aaen Per Erik]" c="03402 Aaen Per Erik"/>
        <s v="[Leverandør].[Leverandoernr Navn Hoved].&amp;[03404 Wangen Transport AS]" c="03404 Wangen Transport AS"/>
        <s v="[Leverandør].[Leverandoernr Navn Hoved].&amp;[03407 Windingstad Transport AS]" c="03407 Windingstad Transport AS"/>
        <s v="[Leverandør].[Leverandoernr Navn Hoved].&amp;[04266 Nyløkken Transport AS]" c="04266 Nyløkken Transport AS"/>
        <s v="[Leverandør].[Leverandoernr Navn Hoved].&amp;[04272 Oulie Ivar]" c="04272 Oulie Ivar"/>
        <s v="[Leverandør].[Leverandoernr Navn Hoved].&amp;[10005 Baukhol Odd AS]" c="10005 Baukhol Odd AS"/>
        <s v="[Leverandør].[Leverandoernr Navn Hoved].&amp;[10098 Skjåkødegård Otto P. Bil 198]" c="10098 Skjåkødegård Otto P. Bil 198"/>
        <s v="[Leverandør].[Leverandoernr Navn Hoved].&amp;[10133 Fåvang Bilene As Bil 133]" c="10133 Fåvang Bilene As Bil 133"/>
      </sharedItems>
    </cacheField>
    <cacheField name="[Vare].[Avregningstype hierarki].[Avregningstype1]" caption="Avregningstype1" numFmtId="0" hierarchy="240" level="2">
      <sharedItems count="2">
        <s v="[Vare].[Avregningstype hierarki].[Avregningstype1].[OTHERMEMBER.[Vare]].[Avregningstype hierarki]].[Avregningstype]].&amp;[5. Avregning transport]]]" c="Annet"/>
        <s v="[Vare].[Avregningstype hierarki].[Avregningstype1].[GROUPMEMBER.[AvregningsundertypeXl_Grp_1]].[Vare]].[Avregningstype hierarki]].[Avregningstype]].&amp;[5. Avregning transport]]]" c="Grupper1"/>
      </sharedItems>
    </cacheField>
    <cacheField name="[Leverandør].[Kommunenr Navn].[Kommunenr Navn]" caption="Kommune" numFmtId="0" hierarchy="113" level="1">
      <sharedItems count="16">
        <s v="[Leverandør].[Kommunenr Navn].&amp;[0423 GRUE]" c="0423 GRUE"/>
        <s v="[Leverandør].[Kommunenr Navn].&amp;[0427 ELVERUM]" c="0427 ELVERUM"/>
        <s v="[Leverandør].[Kommunenr Navn].&amp;[0437 TYNSET]" c="0437 TYNSET"/>
        <s v="[Leverandør].[Kommunenr Navn].&amp;[0438 ALVDAL]" c="0438 ALVDAL"/>
        <s v="[Leverandør].[Kommunenr Navn].&amp;[0501 LILLEHAMMER]" c="0501 LILLEHAMMER"/>
        <s v="[Leverandør].[Kommunenr Navn].&amp;[0512 LESJA]" c="0512 LESJA"/>
        <s v="[Leverandør].[Kommunenr Navn].&amp;[0513 SKJÅK]" c="0513 SKJÅK"/>
        <s v="[Leverandør].[Kommunenr Navn].&amp;[0514 LOM]" c="0514 LOM"/>
        <s v="[Leverandør].[Kommunenr Navn].&amp;[0519 SØR-FRON]" c="0519 SØR-FRON"/>
        <s v="[Leverandør].[Kommunenr Navn].&amp;[0520 RINGEBU]" c="0520 RINGEBU"/>
        <s v="[Leverandør].[Kommunenr Navn].&amp;[0521 ØYER]" c="0521 ØYER"/>
        <s v="[Leverandør].[Kommunenr Navn].&amp;[0522 GAUSDAL]" c="0522 GAUSDAL"/>
        <s v="[Leverandør].[Kommunenr Navn].&amp;[0529 VESTRE TOTEN]" c="0529 VESTRE TOTEN"/>
        <s v="[Leverandør].[Kommunenr Navn].&amp;[0533 LUNNER]" c="0533 LUNNER"/>
        <s v="[Leverandør].[Kommunenr Navn].&amp;[0538 NORDRE LAND]" c="0538 NORDRE LAND"/>
        <s v="[Leverandør].[Kommunenr Navn].&amp;[0544 ØYSTRE SLIDRE]" c="0544 ØYSTRE SLIDRE"/>
      </sharedItems>
    </cacheField>
  </cacheFields>
  <cacheHierarchies count="420">
    <cacheHierarchy uniqueName="[Anmerkningstype].[Anmerkningskonsekvens]" caption="Anmerkningskonsekvens" attribute="1" defaultMemberUniqueName="[Anmerkningstype].[Anmerkningskonsekvens].[Alle]" allUniqueName="[Anmerkningstype].[Anmerkningskonsekvens].[Alle]" dimensionUniqueName="[Anmerkningstype]" displayFolder="" count="0" unbalancedGroup="0"/>
    <cacheHierarchy uniqueName="[Anmerkningstype].[Anmerkningskonsekvens hierarki]" caption="Anmerkningskonsekvens hierarki" defaultMemberUniqueName="[Anmerkningstype].[Anmerkningskonsekvens hierarki].[All]" allUniqueName="[Anmerkningstype].[Anmerkningskonsekvens hierarki].[All]" dimensionUniqueName="[Anmerkningstype]" displayFolder="" count="0" unbalancedGroup="0"/>
    <cacheHierarchy uniqueName="[Anmerkningstype].[Anmerkningskonsekvens kode navn]" caption="Anmerkningskonsekvens kode navn" attribute="1" defaultMemberUniqueName="[Anmerkningstype].[Anmerkningskonsekvens kode navn].[Alle]" allUniqueName="[Anmerkningstype].[Anmerkningskonsekvens kode navn].[Alle]" dimensionUniqueName="[Anmerkningstype]" displayFolder="" count="0" unbalancedGroup="0"/>
    <cacheHierarchy uniqueName="[Anmerkningstype].[Anmerkningskonsekvenskode]" caption="Anmerkningskonsekvenskode" attribute="1" defaultMemberUniqueName="[Anmerkningstype].[Anmerkningskonsekvenskode].[Alle]" allUniqueName="[Anmerkningstype].[Anmerkningskonsekvenskode].[Alle]" dimensionUniqueName="[Anmerkningstype]" displayFolder="" count="0" unbalancedGroup="0"/>
    <cacheHierarchy uniqueName="[Anmerkningstype].[Anmerkningstype]" caption="Anmerkningstype" attribute="1" defaultMemberUniqueName="[Anmerkningstype].[Anmerkningstype].[Alle]" allUniqueName="[Anmerkningstype].[Anmerkningstype].[Alle]" dimensionUniqueName="[Anmerkningstype]" displayFolder="" count="0" unbalancedGroup="0"/>
    <cacheHierarchy uniqueName="[Anmerkningstype].[Anmerkningstype Ekstern]" caption="Anmerkningstype Ekstern" attribute="1" defaultMemberUniqueName="[Anmerkningstype].[Anmerkningstype Ekstern].[Alle]" allUniqueName="[Anmerkningstype].[Anmerkningstype Ekstern].[Alle]" dimensionUniqueName="[Anmerkningstype]" displayFolder="" count="0" unbalancedGroup="0"/>
    <cacheHierarchy uniqueName="[Anmerkningstype].[Anmerkningstype kode navn]" caption="Anmerkningstype kode navn" attribute="1" defaultMemberUniqueName="[Anmerkningstype].[Anmerkningstype kode navn].[Alle]" allUniqueName="[Anmerkningstype].[Anmerkningstype kode navn].[Alle]" dimensionUniqueName="[Anmerkningstype]" displayFolder="" count="0" unbalancedGroup="0"/>
    <cacheHierarchy uniqueName="[Anmerkningstype].[Anmerkningstypegruppe]" caption="Anmerkningstypegruppe" attribute="1" defaultMemberUniqueName="[Anmerkningstype].[Anmerkningstypegruppe].[Alle]" allUniqueName="[Anmerkningstype].[Anmerkningstypegruppe].[Alle]" dimensionUniqueName="[Anmerkningstype]" displayFolder="" count="0" unbalancedGroup="0"/>
    <cacheHierarchy uniqueName="[Anmerkningstype].[Anmerkningstypegruppe hierarki]" caption="Anmerkningstypegruppe hierarki" defaultMemberUniqueName="[Anmerkningstype].[Anmerkningstypegruppe hierarki].[All]" allUniqueName="[Anmerkningstype].[Anmerkningstypegruppe hierarki].[All]" dimensionUniqueName="[Anmerkningstype]" displayFolder="" count="0" unbalancedGroup="0"/>
    <cacheHierarchy uniqueName="[Anmerkningstype].[Anmerkningstypekode]" caption="Anmerkningstypekode" attribute="1" defaultMemberUniqueName="[Anmerkningstype].[Anmerkningstypekode].[Alle]" allUniqueName="[Anmerkningstype].[Anmerkningstypekode].[Alle]" dimensionUniqueName="[Anmerkningstype]" displayFolder="" count="0" unbalancedGroup="0"/>
    <cacheHierarchy uniqueName="[Anmerkningstype].[Sykdomsgruppe hierarki]" caption="Sykdomsgruppe hierarki" defaultMemberUniqueName="[Anmerkningstype].[Sykdomsgruppe hierarki].[All]" allUniqueName="[Anmerkningstype].[Sykdomsgruppe hierarki].[All]" dimensionUniqueName="[Anmerkningstype]" displayFolder="" count="0" unbalancedGroup="0"/>
    <cacheHierarchy uniqueName="[Anmerkningstype].[Sykdomsgruppekode]" caption="Sykdomsgruppekode" attribute="1" defaultMemberUniqueName="[Anmerkningstype].[Sykdomsgruppekode].[Alle]" allUniqueName="[Anmerkningstype].[Sykdomsgruppekode].[Alle]" dimensionUniqueName="[Anmerkningstype]" displayFolder="" count="0" unbalancedGroup="0"/>
    <cacheHierarchy uniqueName="[Avdeling].[Anlegg Nr Navn]" caption="Anlegg Nr Navn" attribute="1" defaultMemberUniqueName="[Avdeling].[Anlegg Nr Navn].[Alle]" allUniqueName="[Avdeling].[Anlegg Nr Navn].[Alle]" dimensionUniqueName="[Avdeling]" displayFolder="" count="0" unbalancedGroup="0"/>
    <cacheHierarchy uniqueName="[Avdeling].[Avdeling nr navn]" caption="Avdeling nr navn" attribute="1" defaultMemberUniqueName="[Avdeling].[Avdeling nr navn].[Alle]" allUniqueName="[Avdeling].[Avdeling nr navn].[Alle]" dimensionUniqueName="[Avdeling]" displayFolder="" count="0" unbalancedGroup="0"/>
    <cacheHierarchy uniqueName="[Avdeling].[Efta nr]" caption="Efta nr" attribute="1" defaultMemberUniqueName="[Avdeling].[Efta nr].[Alle]" allUniqueName="[Avdeling].[Efta nr].[Alle]" dimensionUniqueName="[Avdeling]" displayFolder="" count="0" unbalancedGroup="0"/>
    <cacheHierarchy uniqueName="[Avdeling].[Fabrikk]" caption="Fabrikk" attribute="1" defaultMemberUniqueName="[Avdeling].[Fabrikk].[Alle]" allUniqueName="[Avdeling].[Fabrikk].[Alle]" dimensionUniqueName="[Avdeling]" displayFolder="" count="0" unbalancedGroup="0"/>
    <cacheHierarchy uniqueName="[Avdeling].[Fabrikk hierarki]" caption="Fabrikk hierarki" defaultMemberUniqueName="[Avdeling].[Fabrikk hierarki].[Alle]" allUniqueName="[Avdeling].[Fabrikk hierarki].[Alle]" dimensionUniqueName="[Avdeling]" displayFolder="" count="0" unbalancedGroup="0"/>
    <cacheHierarchy uniqueName="[Avdeling].[Foretak]" caption="Foretak" attribute="1" defaultMemberUniqueName="[Avdeling].[Foretak].[Alle]" allUniqueName="[Avdeling].[Foretak].[Alle]" dimensionUniqueName="[Avdeling]" displayFolder="" count="0" unbalancedGroup="0"/>
    <cacheHierarchy uniqueName="[Avdeling].[Foretak nr]" caption="Foretak nr" attribute="1" defaultMemberUniqueName="[Avdeling].[Foretak nr].[Alle]" allUniqueName="[Avdeling].[Foretak nr].[Alle]" dimensionUniqueName="[Avdeling]" displayFolder="" count="0" unbalancedGroup="0"/>
    <cacheHierarchy uniqueName="[Avdeling].[SLF]" caption="SLF" attribute="1" defaultMemberUniqueName="[Avdeling].[SLF].[Alle]" allUniqueName="[Avdeling].[SLF].[Alle]" dimensionUniqueName="[Avdeling]" displayFolder="" count="0" unbalancedGroup="0"/>
    <cacheHierarchy uniqueName="[Avregning].[Ankomstdato]" caption="Ankomstdato" attribute="1" defaultMemberUniqueName="[Avregning].[Ankomstdato].[Alle]" allUniqueName="[Avregning].[Ankomstdato].[Alle]" dimensionUniqueName="[Avregning]" displayFolder="" count="0" unbalancedGroup="0"/>
    <cacheHierarchy uniqueName="[Avregning].[Ankomsttid]" caption="Ankomsttid" attribute="1" defaultMemberUniqueName="[Avregning].[Ankomsttid].[Alle]" allUniqueName="[Avregning].[Ankomsttid].[Alle]" dimensionUniqueName="[Avregning]" displayFolder="" count="0" unbalancedGroup="0"/>
    <cacheHierarchy uniqueName="[Avregning].[AvlystNr]" caption="AvlystNr" attribute="1" defaultMemberUniqueName="[Avregning].[AvlystNr].[Alle]" allUniqueName="[Avregning].[AvlystNr].[Alle]" dimensionUniqueName="[Avregning]" displayFolder="" count="0" unbalancedGroup="0"/>
    <cacheHierarchy uniqueName="[Avregning].[Avregnings nr]" caption="Avregnings nr" attribute="1" defaultMemberUniqueName="[Avregning].[Avregnings nr].[Alle]" allUniqueName="[Avregning].[Avregnings nr].[Alle]" dimensionUniqueName="[Avregning]" displayFolder="" count="0" unbalancedGroup="0"/>
    <cacheHierarchy uniqueName="[Avregning].[Avregningsdato]" caption="Avregningsdato" attribute="1" defaultMemberUniqueName="[Avregning].[Avregningsdato].[Alle]" allUniqueName="[Avregning].[Avregningsdato].[Alle]" dimensionUniqueName="[Avregning]" displayFolder="" count="0" unbalancedGroup="0"/>
    <cacheHierarchy uniqueName="[Avregning].[Doctype]" caption="Doctype" attribute="1" defaultMemberUniqueName="[Avregning].[Doctype].[Alle]" allUniqueName="[Avregning].[Doctype].[Alle]" dimensionUniqueName="[Avregning]" displayFolder="" count="0" unbalancedGroup="0"/>
    <cacheHierarchy uniqueName="[Avregning].[Fettprosent Kode]" caption="Fettgruppe" attribute="1" defaultMemberUniqueName="[Avregning].[Fettprosent Kode].[Alle]" allUniqueName="[Avregning].[Fettprosent Kode].[Alle]" dimensionUniqueName="[Avregning]" displayFolder="" count="0" unbalancedGroup="0"/>
    <cacheHierarchy uniqueName="[Avregning].[Foedselsvekt]" caption="Fødselsvekt storfe" attribute="1" defaultMemberUniqueName="[Avregning].[Foedselsvekt].[Alle]" allUniqueName="[Avregning].[Foedselsvekt].[Alle]" dimensionUniqueName="[Avregning]" displayFolder="" count="0" unbalancedGroup="0"/>
    <cacheHierarchy uniqueName="[Avregning].[Fødselsdato]" caption="Fødselsdato" attribute="1" defaultMemberUniqueName="[Avregning].[Fødselsdato].[Alle]" allUniqueName="[Avregning].[Fødselsdato].[Alle]" dimensionUniqueName="[Avregning]" displayFolder="" count="0" unbalancedGroup="0"/>
    <cacheHierarchy uniqueName="[Avregning].[Halal]" caption="Halal" attribute="1" defaultMemberUniqueName="[Avregning].[Halal].[Alle]" allUniqueName="[Avregning].[Halal].[Alle]" dimensionUniqueName="[Avregning]" displayFolder="" count="0" unbalancedGroup="0"/>
    <cacheHierarchy uniqueName="[Avregning].[Hoenas Alder I Uker]" caption="Hønas alder i uker" attribute="1" defaultMemberUniqueName="[Avregning].[Hoenas Alder I Uker].[Alle]" allUniqueName="[Avregning].[Hoenas Alder I Uker].[Alle]" dimensionUniqueName="[Avregning]" displayFolder="" count="0" unbalancedGroup="0"/>
    <cacheHierarchy uniqueName="[Avregning].[Individ Alder Dager]" caption="Individ Alder" attribute="1" defaultMemberUniqueName="[Avregning].[Individ Alder Dager].[Alle]" allUniqueName="[Avregning].[Individ Alder Dager].[Alle]" dimensionUniqueName="[Avregning]" displayFolder="" count="0" unbalancedGroup="0"/>
    <cacheHierarchy uniqueName="[Avregning].[Individ Nr]" caption="Individ Nr" attribute="1" defaultMemberUniqueName="[Avregning].[Individ Nr].[Alle]" allUniqueName="[Avregning].[Individ Nr].[Alle]" dimensionUniqueName="[Avregning]" displayFolder="" count="0" unbalancedGroup="0"/>
    <cacheHierarchy uniqueName="[Avregning].[Individmerke]" caption="Individmerke" attribute="1" defaultMemberUniqueName="[Avregning].[Individmerke].[Alle]" allUniqueName="[Avregning].[Individmerke].[Alle]" dimensionUniqueName="[Avregning]" displayFolder="" count="0" unbalancedGroup="0"/>
    <cacheHierarchy uniqueName="[Avregning].[Innkjoepsgruppe]" caption="Innkjoepsgruppe" attribute="1" defaultMemberUniqueName="[Avregning].[Innkjoepsgruppe].[Alle]" allUniqueName="[Avregning].[Innkjoepsgruppe].[Alle]" dimensionUniqueName="[Avregning]" displayFolder="" count="0" unbalancedGroup="0"/>
    <cacheHierarchy uniqueName="[Avregning].[Innkjoepsorg]" caption="Innkjoepsorg" attribute="1" defaultMemberUniqueName="[Avregning].[Innkjoepsorg].[Alle]" allUniqueName="[Avregning].[Innkjoepsorg].[Alle]" dimensionUniqueName="[Avregning]" displayFolder="" count="0" unbalancedGroup="0"/>
    <cacheHierarchy uniqueName="[Avregning].[Kjoereseddel Nr]" caption="Kjøreseddel nr" attribute="1" defaultMemberUniqueName="[Avregning].[Kjoereseddel Nr].[Alle]" allUniqueName="[Avregning].[Kjoereseddel Nr].[Alle]" dimensionUniqueName="[Avregning]" displayFolder="" count="0" unbalancedGroup="0"/>
    <cacheHierarchy uniqueName="[Avregning].[Kjoereseddeltype]" caption="Kjøreseddeltype" attribute="1" defaultMemberUniqueName="[Avregning].[Kjoereseddeltype].[Alle]" allUniqueName="[Avregning].[Kjoereseddeltype].[Alle]" dimensionUniqueName="[Avregning]" displayFolder="" count="0" unbalancedGroup="0"/>
    <cacheHierarchy uniqueName="[Avregning].[Kjoettprosent Kode]" caption="Kjøttprosent Kode" attribute="1" defaultMemberUniqueName="[Avregning].[Kjoettprosent Kode].[Alle]" allUniqueName="[Avregning].[Kjoettprosent Kode].[Alle]" dimensionUniqueName="[Avregning]" displayFolder="" count="0" unbalancedGroup="0"/>
    <cacheHierarchy uniqueName="[Avregning].[Km Avstand Leverandør]" caption="Avstand til mottagende fabrikk" attribute="1" defaultMemberUniqueName="[Avregning].[Km Avstand Leverandør].[Alle]" allUniqueName="[Avregning].[Km Avstand Leverandør].[Alle]" dimensionUniqueName="[Avregning]" displayFolder="" count="0" unbalancedGroup="0"/>
    <cacheHierarchy uniqueName="[Avregning].[Kondisjon]" caption="Kondisjon" attribute="1" defaultMemberUniqueName="[Avregning].[Kondisjon].[Alle]" allUniqueName="[Avregning].[Kondisjon].[Alle]" dimensionUniqueName="[Avregning]" displayFolder="" count="0" unbalancedGroup="0"/>
    <cacheHierarchy uniqueName="[Avregning].[Lassnr]" caption="Lassnummer" attribute="1" defaultMemberUniqueName="[Avregning].[Lassnr].[Alle]" allUniqueName="[Avregning].[Lassnr].[Alle]" dimensionUniqueName="[Avregning]" displayFolder="" count="0" unbalancedGroup="0"/>
    <cacheHierarchy uniqueName="[Avregning].[Material]" caption="Material" attribute="1" defaultMemberUniqueName="[Avregning].[Material].[Alle]" allUniqueName="[Avregning].[Material].[Alle]" dimensionUniqueName="[Avregning]" displayFolder="" count="0" unbalancedGroup="0"/>
    <cacheHierarchy uniqueName="[Avregning].[Merke]" caption="Opprinnelsesmerke" attribute="1" defaultMemberUniqueName="[Avregning].[Merke].[Alle]" allUniqueName="[Avregning].[Merke].[Alle]" dimensionUniqueName="[Avregning]" displayFolder="" count="0" unbalancedGroup="0"/>
    <cacheHierarchy uniqueName="[Avregning].[Mottaksdato]" caption="Mottaksdato" attribute="1" defaultMemberUniqueName="[Avregning].[Mottaksdato].[Alle]" allUniqueName="[Avregning].[Mottaksdato].[Alle]" dimensionUniqueName="[Avregning]" displayFolder="" count="0" unbalancedGroup="0"/>
    <cacheHierarchy uniqueName="[Avregning].[Overfoert Bankbeloep]" caption="Overfoert Bankbeloep" attribute="1" defaultMemberUniqueName="[Avregning].[Overfoert Bankbeloep].[Alle]" allUniqueName="[Avregning].[Overfoert Bankbeloep].[Alle]" dimensionUniqueName="[Avregning]" displayFolder="" count="0" unbalancedGroup="0"/>
    <cacheHierarchy uniqueName="[Avregning].[Overført Bank Dato]" caption="Overført Bank Dato" attribute="1" defaultMemberUniqueName="[Avregning].[Overført Bank Dato].[Alle]" allUniqueName="[Avregning].[Overført Bank Dato].[Alle]" dimensionUniqueName="[Avregning]" displayFolder="" count="0" unbalancedGroup="0"/>
    <cacheHierarchy uniqueName="[Avregning].[Parti Nr]" caption="Skrottnr" attribute="1" defaultMemberUniqueName="[Avregning].[Parti Nr].[Alle]" allUniqueName="[Avregning].[Parti Nr].[Alle]" dimensionUniqueName="[Avregning]" displayFolder="" count="0" unbalancedGroup="0"/>
    <cacheHierarchy uniqueName="[Avregning].[Rute Kode]" caption="Rutenummer" attribute="1" defaultMemberUniqueName="[Avregning].[Rute Kode].[Alle]" allUniqueName="[Avregning].[Rute Kode].[Alle]" dimensionUniqueName="[Avregning]" displayFolder="" count="0" unbalancedGroup="0"/>
    <cacheHierarchy uniqueName="[Avregning].[Sjaafoer Nr]" caption="Bilnummer" attribute="1" defaultMemberUniqueName="[Avregning].[Sjaafoer Nr].[Alle]" allUniqueName="[Avregning].[Sjaafoer Nr].[Alle]" dimensionUniqueName="[Avregning]" displayFolder="" count="0" unbalancedGroup="0"/>
    <cacheHierarchy uniqueName="[Avregning].[Slaktedato]" caption="Slaktedato" attribute="1" defaultMemberUniqueName="[Avregning].[Slaktedato].[Alle]" allUniqueName="[Avregning].[Slaktedato].[Alle]" dimensionUniqueName="[Avregning]" displayFolder="" count="0" unbalancedGroup="0"/>
    <cacheHierarchy uniqueName="[Avregning].[Slakteklasse Kode]" caption="Klasse" attribute="1" defaultMemberUniqueName="[Avregning].[Slakteklasse Kode].[Alle]" allUniqueName="[Avregning].[Slakteklasse Kode].[Alle]" dimensionUniqueName="[Avregning]" displayFolder="" count="0" unbalancedGroup="0"/>
    <cacheHierarchy uniqueName="[Avregning].[Standardsats]" caption="Standardsats" attribute="1" defaultMemberUniqueName="[Avregning].[Standardsats].[Alle]" allUniqueName="[Avregning].[Standardsats].[Alle]" dimensionUniqueName="[Avregning]" displayFolder="" count="0" unbalancedGroup="0"/>
    <cacheHierarchy uniqueName="[Avregning].[Transportsone Nr]" caption="Transportsone" attribute="1" defaultMemberUniqueName="[Avregning].[Transportsone Nr].[Alle]" allUniqueName="[Avregning].[Transportsone Nr].[Alle]" dimensionUniqueName="[Avregning]" displayFolder="" count="0" unbalancedGroup="0"/>
    <cacheHierarchy uniqueName="[Avregning].[TurNr]" caption="TurNr" attribute="1" defaultMemberUniqueName="[Avregning].[TurNr].[Alle]" allUniqueName="[Avregning].[TurNr].[Alle]" dimensionUniqueName="[Avregning]" displayFolder="" count="0" unbalancedGroup="0"/>
    <cacheHierarchy uniqueName="[Datakilde].[Forkortelse]" caption="Forkortelse" attribute="1" defaultMemberUniqueName="[Datakilde].[Forkortelse].[Alle]" allUniqueName="[Datakilde].[Forkortelse].[Alle]" dimensionUniqueName="[Datakilde]" displayFolder="" count="0" unbalancedGroup="0"/>
    <cacheHierarchy uniqueName="[Datasett].[Datasett]" caption="Datasett" attribute="1" keyAttribute="1" defaultMemberUniqueName="[Datasett].[Datasett].[All]" allUniqueName="[Datasett].[Datasett].[All]" dimensionUniqueName="[Datasett]" displayFolder="" count="0" unbalancedGroup="0"/>
    <cacheHierarchy uniqueName="[Hønas alder].[Hønas alder]" caption="Hønas alder" attribute="1" keyAttribute="1" defaultMemberUniqueName="[Hønas alder].[Hønas alder].[All]" allUniqueName="[Hønas alder].[Hønas alder].[All]" dimensionUniqueName="[Hønas alder]" displayFolder="" count="0" unbalancedGroup="0"/>
    <cacheHierarchy uniqueName="[Kunde].[Adresse]" caption="Adresse" attribute="1" defaultMemberUniqueName="[Kunde].[Adresse].[Alle]" allUniqueName="[Kunde].[Adresse].[Alle]" dimensionUniqueName="[Kunde]" displayFolder="" count="0" unbalancedGroup="0"/>
    <cacheHierarchy uniqueName="[Kunde].[Adresse2]" caption="Adresse2" attribute="1" defaultMemberUniqueName="[Kunde].[Adresse2].[Alle]" allUniqueName="[Kunde].[Adresse2].[Alle]" dimensionUniqueName="[Kunde]" displayFolder="" count="0" unbalancedGroup="0"/>
    <cacheHierarchy uniqueName="[Kunde].[Bankgiro]" caption="Bankgiro" attribute="1" defaultMemberUniqueName="[Kunde].[Bankgiro].[Alle]" allUniqueName="[Kunde].[Bankgiro].[Alle]" dimensionUniqueName="[Kunde]" displayFolder="" count="0" unbalancedGroup="0"/>
    <cacheHierarchy uniqueName="[Kunde].[Distriktssone]" caption="Distriktssone" attribute="1" defaultMemberUniqueName="[Kunde].[Distriktssone].[Alle]" allUniqueName="[Kunde].[Distriktssone].[Alle]" dimensionUniqueName="[Kunde]" displayFolder="" count="0" unbalancedGroup="0"/>
    <cacheHierarchy uniqueName="[Kunde].[Epost]" caption="Epost" attribute="1" defaultMemberUniqueName="[Kunde].[Epost].[Alle]" allUniqueName="[Kunde].[Epost].[Alle]" dimensionUniqueName="[Kunde]" displayFolder="" count="0" unbalancedGroup="0"/>
    <cacheHierarchy uniqueName="[Kunde].[Foedsels Nr]" caption="Fødselsnr" attribute="1" defaultMemberUniqueName="[Kunde].[Foedsels Nr].[Alle]" allUniqueName="[Kunde].[Foedsels Nr].[Alle]" dimensionUniqueName="[Kunde]" displayFolder="" count="0" unbalancedGroup="0"/>
    <cacheHierarchy uniqueName="[Kunde].[Fylke]" caption="Fylke navn" attribute="1" defaultMemberUniqueName="[Kunde].[Fylke].[Alle]" allUniqueName="[Kunde].[Fylke].[Alle]" dimensionUniqueName="[Kunde]" displayFolder="" count="0" unbalancedGroup="0"/>
    <cacheHierarchy uniqueName="[Kunde].[Fylkesnr Navn]" caption="Fylke" attribute="1" defaultMemberUniqueName="[Kunde].[Fylkesnr Navn].[Alle]" allUniqueName="[Kunde].[Fylkesnr Navn].[Alle]" dimensionUniqueName="[Kunde]" displayFolder="" count="0" unbalancedGroup="0"/>
    <cacheHierarchy uniqueName="[Kunde].[Gps Koordinat Nord]" caption="Gps Koordinat Nord" attribute="1" defaultMemberUniqueName="[Kunde].[Gps Koordinat Nord].[Alle]" allUniqueName="[Kunde].[Gps Koordinat Nord].[Alle]" dimensionUniqueName="[Kunde]" displayFolder="" count="0" unbalancedGroup="0"/>
    <cacheHierarchy uniqueName="[Kunde].[Gps Koordinat Oest]" caption="Gps Koordinat Oest" attribute="1" defaultMemberUniqueName="[Kunde].[Gps Koordinat Oest].[Alle]" allUniqueName="[Kunde].[Gps Koordinat Oest].[Alle]" dimensionUniqueName="[Kunde]" displayFolder="" count="0" unbalancedGroup="0"/>
    <cacheHierarchy uniqueName="[Kunde].[Gaards Og Bruks Nr]" caption="Gårds og bruksnummer" attribute="1" defaultMemberUniqueName="[Kunde].[Gaards Og Bruks Nr].[Alle]" allUniqueName="[Kunde].[Gaards Og Bruks Nr].[Alle]" dimensionUniqueName="[Kunde]" displayFolder="" count="0" unbalancedGroup="0"/>
    <cacheHierarchy uniqueName="[Kunde].[Hjemmeside]" caption="Hjemmeside" attribute="1" defaultMemberUniqueName="[Kunde].[Hjemmeside].[Alle]" allUniqueName="[Kunde].[Hjemmeside].[Alle]" dimensionUniqueName="[Kunde]" displayFolder="" count="0" unbalancedGroup="0"/>
    <cacheHierarchy uniqueName="[Kunde].[Hovedfabrikk]" caption="Hovedfabrikk" attribute="1" defaultMemberUniqueName="[Kunde].[Hovedfabrikk].[Alle]" allUniqueName="[Kunde].[Hovedfabrikk].[Alle]" dimensionUniqueName="[Kunde]" displayFolder="" count="0" unbalancedGroup="0"/>
    <cacheHierarchy uniqueName="[Kunde].[IBAN]" caption="IBAN" attribute="1" defaultMemberUniqueName="[Kunde].[IBAN].[Alle]" allUniqueName="[Kunde].[IBAN].[Alle]" dimensionUniqueName="[Kunde]" displayFolder="" count="0" unbalancedGroup="0"/>
    <cacheHierarchy uniqueName="[Kunde].[Kommune]" caption="Kommune navn" attribute="1" defaultMemberUniqueName="[Kunde].[Kommune].[Alle]" allUniqueName="[Kunde].[Kommune].[Alle]" dimensionUniqueName="[Kunde]" displayFolder="" count="0" unbalancedGroup="0"/>
    <cacheHierarchy uniqueName="[Kunde].[Kommunenr Navn]" caption="Kommune" attribute="1" defaultMemberUniqueName="[Kunde].[Kommunenr Navn].[Alle]" allUniqueName="[Kunde].[Kommunenr Navn].[Alle]" dimensionUniqueName="[Kunde]" displayFolder="" count="0" unbalancedGroup="0"/>
    <cacheHierarchy uniqueName="[Kunde].[Kunde nr]" caption="Kunde nr" attribute="1" defaultMemberUniqueName="[Kunde].[Kunde nr].[Alle]" allUniqueName="[Kunde].[Kunde nr].[Alle]" dimensionUniqueName="[Kunde]" displayFolder="" count="0" unbalancedGroup="0"/>
    <cacheHierarchy uniqueName="[Kunde].[Kunde Nr Navn]" caption="Kunde" attribute="1" defaultMemberUniqueName="[Kunde].[Kunde Nr Navn].[Alle]" allUniqueName="[Kunde].[Kunde Nr Navn].[Alle]" dimensionUniqueName="[Kunde]" displayFolder="" count="0" unbalancedGroup="0"/>
    <cacheHierarchy uniqueName="[Kunde].[Medlemskap Tekst]" caption="Medlemskap" attribute="1" defaultMemberUniqueName="[Kunde].[Medlemskap Tekst].[Alle]" allUniqueName="[Kunde].[Medlemskap Tekst].[Alle]" dimensionUniqueName="[Kunde]" displayFolder="" count="0" unbalancedGroup="0"/>
    <cacheHierarchy uniqueName="[Kunde].[Medlemsrettighet Tekst]" caption="Medlemsrettighet" attribute="1" defaultMemberUniqueName="[Kunde].[Medlemsrettighet Tekst].[Alle]" allUniqueName="[Kunde].[Medlemsrettighet Tekst].[Alle]" dimensionUniqueName="[Kunde]" displayFolder="" count="0" unbalancedGroup="0"/>
    <cacheHierarchy uniqueName="[Kunde].[Mobil]" caption="Mobil" attribute="1" defaultMemberUniqueName="[Kunde].[Mobil].[Alle]" allUniqueName="[Kunde].[Mobil].[Alle]" dimensionUniqueName="[Kunde]" displayFolder="" count="0" unbalancedGroup="0"/>
    <cacheHierarchy uniqueName="[Kunde].[Org Nr]" caption="Organisasjons nr" attribute="1" defaultMemberUniqueName="[Kunde].[Org Nr].[Alle]" allUniqueName="[Kunde].[Org Nr].[Alle]" dimensionUniqueName="[Kunde]" displayFolder="" count="0" unbalancedGroup="0"/>
    <cacheHierarchy uniqueName="[Kunde].[Post nr sted]" caption="Post nr sted" attribute="1" defaultMemberUniqueName="[Kunde].[Post nr sted].[Alle]" allUniqueName="[Kunde].[Post nr sted].[Alle]" dimensionUniqueName="[Kunde]" displayFolder="" count="0" unbalancedGroup="0"/>
    <cacheHierarchy uniqueName="[Kunde].[Produsent Nr Navn]" caption="Produsent" attribute="1" defaultMemberUniqueName="[Kunde].[Produsent Nr Navn].[Alle]" allUniqueName="[Kunde].[Produsent Nr Navn].[Alle]" dimensionUniqueName="[Kunde]" displayFolder="" count="0" unbalancedGroup="0"/>
    <cacheHierarchy uniqueName="[Kunde].[Produsentgeografi]" caption="Produsentgeografi" defaultMemberUniqueName="[Kunde].[Produsentgeografi].[Alle]" allUniqueName="[Kunde].[Produsentgeografi].[Alle]" dimensionUniqueName="[Kunde]" displayFolder="" count="0" unbalancedGroup="0"/>
    <cacheHierarchy uniqueName="[Kunde].[Produsentstatus]" caption="Produsentstatus" attribute="1" defaultMemberUniqueName="[Kunde].[Produsentstatus].[Alle]" allUniqueName="[Kunde].[Produsentstatus].[Alle]" dimensionUniqueName="[Kunde]" displayFolder="" count="0" unbalancedGroup="0"/>
    <cacheHierarchy uniqueName="[Kunde].[Telefon dag]" caption="Telefon dag" attribute="1" defaultMemberUniqueName="[Kunde].[Telefon dag].[Alle]" allUniqueName="[Kunde].[Telefon dag].[Alle]" dimensionUniqueName="[Kunde]" displayFolder="" count="0" unbalancedGroup="0"/>
    <cacheHierarchy uniqueName="[Kunde].[Telefon kveld]" caption="Telefon kveld" attribute="1" defaultMemberUniqueName="[Kunde].[Telefon kveld].[Alle]" allUniqueName="[Kunde].[Telefon kveld].[Alle]" dimensionUniqueName="[Kunde]" displayFolder="" count="0" unbalancedGroup="0"/>
    <cacheHierarchy uniqueName="[Leverandør].[Adresse]" caption="Adresse" attribute="1" defaultMemberUniqueName="[Leverandør].[Adresse].[Alle]" allUniqueName="[Leverandør].[Adresse].[Alle]" dimensionUniqueName="[Leverandør]" displayFolder="" count="0" unbalancedGroup="0"/>
    <cacheHierarchy uniqueName="[Leverandør].[Adresse Hoved]" caption="Adresse Hoved" attribute="1" defaultMemberUniqueName="[Leverandør].[Adresse Hoved].[Alle]" allUniqueName="[Leverandør].[Adresse Hoved].[Alle]" dimensionUniqueName="[Leverandør]" displayFolder="" count="0" unbalancedGroup="0"/>
    <cacheHierarchy uniqueName="[Leverandør].[Adresse2]" caption="Adresse2" attribute="1" defaultMemberUniqueName="[Leverandør].[Adresse2].[Alle]" allUniqueName="[Leverandør].[Adresse2].[Alle]" dimensionUniqueName="[Leverandør]" displayFolder="" count="0" unbalancedGroup="0"/>
    <cacheHierarchy uniqueName="[Leverandør].[Adresse2 Hoved]" caption="Adresse2 Hoved" attribute="1" defaultMemberUniqueName="[Leverandør].[Adresse2 Hoved].[Alle]" allUniqueName="[Leverandør].[Adresse2 Hoved].[Alle]" dimensionUniqueName="[Leverandør]" displayFolder="" count="0" unbalancedGroup="0"/>
    <cacheHierarchy uniqueName="[Leverandør].[Andel]" caption="Andel" attribute="1" defaultMemberUniqueName="[Leverandør].[Andel].[Alle]" allUniqueName="[Leverandør].[Andel].[Alle]" dimensionUniqueName="[Leverandør]" displayFolder="" count="0" unbalancedGroup="0"/>
    <cacheHierarchy uniqueName="[Leverandør].[Andelsbrev]" caption="Andelsbrev" attribute="1" defaultMemberUniqueName="[Leverandør].[Andelsbrev].[Alle]" allUniqueName="[Leverandør].[Andelsbrev].[Alle]" dimensionUniqueName="[Leverandør]" displayFolder="" count="0" unbalancedGroup="0"/>
    <cacheHierarchy uniqueName="[Leverandør].[Bankgiro]" caption="Bankgiro" attribute="1" defaultMemberUniqueName="[Leverandør].[Bankgiro].[Alle]" allUniqueName="[Leverandør].[Bankgiro].[Alle]" dimensionUniqueName="[Leverandør]" displayFolder="" count="0" unbalancedGroup="0"/>
    <cacheHierarchy uniqueName="[Leverandør].[Distriktssone]" caption="Distriktssone" attribute="1" defaultMemberUniqueName="[Leverandør].[Distriktssone].[Alle]" allUniqueName="[Leverandør].[Distriktssone].[Alle]" dimensionUniqueName="[Leverandør]" displayFolder="" count="0" unbalancedGroup="0"/>
    <cacheHierarchy uniqueName="[Leverandør].[Driftskreditt]" caption="Driftskreditt" attribute="1" defaultMemberUniqueName="[Leverandør].[Driftskreditt].[Alle]" allUniqueName="[Leverandør].[Driftskreditt].[Alle]" dimensionUniqueName="[Leverandør]" displayFolder="" count="0" unbalancedGroup="0"/>
    <cacheHierarchy uniqueName="[Leverandør].[Dyreholdsid]" caption="Dyreholdsid" attribute="1" defaultMemberUniqueName="[Leverandør].[Dyreholdsid].[Alle]" allUniqueName="[Leverandør].[Dyreholdsid].[Alle]" dimensionUniqueName="[Leverandør]" displayFolder="" count="0" unbalancedGroup="0"/>
    <cacheHierarchy uniqueName="[Leverandør].[Epost]" caption="Epost" attribute="1" defaultMemberUniqueName="[Leverandør].[Epost].[Alle]" allUniqueName="[Leverandør].[Epost].[Alle]" dimensionUniqueName="[Leverandør]" displayFolder="" count="0" unbalancedGroup="0"/>
    <cacheHierarchy uniqueName="[Leverandør].[Epost Hoved]" caption="Epost Hoved" attribute="1" defaultMemberUniqueName="[Leverandør].[Epost Hoved].[Alle]" allUniqueName="[Leverandør].[Epost Hoved].[Alle]" dimensionUniqueName="[Leverandør]" displayFolder="" count="0" unbalancedGroup="0"/>
    <cacheHierarchy uniqueName="[Leverandør].[Foedsels Nr]" caption="Fødselsnr" attribute="1" defaultMemberUniqueName="[Leverandør].[Foedsels Nr].[Alle]" allUniqueName="[Leverandør].[Foedsels Nr].[Alle]" dimensionUniqueName="[Leverandør]" displayFolder="" count="0" unbalancedGroup="0"/>
    <cacheHierarchy uniqueName="[Leverandør].[Foedselsdato]" caption="Fødselsdato" attribute="1" defaultMemberUniqueName="[Leverandør].[Foedselsdato].[Alle]" allUniqueName="[Leverandør].[Foedselsdato].[Alle]" dimensionUniqueName="[Leverandør]" displayFolder="" count="0" unbalancedGroup="0"/>
    <cacheHierarchy uniqueName="[Leverandør].[Frakttilskuddsone]" caption="Frakttilskuddsone" attribute="1" defaultMemberUniqueName="[Leverandør].[Frakttilskuddsone].[Alle]" allUniqueName="[Leverandør].[Frakttilskuddsone].[Alle]" dimensionUniqueName="[Leverandør]" displayFolder="" count="0" unbalancedGroup="0"/>
    <cacheHierarchy uniqueName="[Leverandør].[Fylke]" caption="Fylke navn" attribute="1" defaultMemberUniqueName="[Leverandør].[Fylke].[Alle]" allUniqueName="[Leverandør].[Fylke].[Alle]" dimensionUniqueName="[Leverandør]" displayFolder="" count="0" unbalancedGroup="0"/>
    <cacheHierarchy uniqueName="[Leverandør].[Fylke nr]" caption="Fylke nr" attribute="1" defaultMemberUniqueName="[Leverandør].[Fylke nr].[Alle]" allUniqueName="[Leverandør].[Fylke nr].[Alle]" dimensionUniqueName="[Leverandør]" displayFolder="" count="0" unbalancedGroup="0"/>
    <cacheHierarchy uniqueName="[Leverandør].[Fylkesnr Navn]" caption="Fylke" attribute="1" defaultMemberUniqueName="[Leverandør].[Fylkesnr Navn].[Alle]" allUniqueName="[Leverandør].[Fylkesnr Navn].[Alle]" dimensionUniqueName="[Leverandør]" displayFolder="" count="0" unbalancedGroup="0"/>
    <cacheHierarchy uniqueName="[Leverandør].[Gps Koordinat Nord]" caption="Gps Koordinat Nord" attribute="1" defaultMemberUniqueName="[Leverandør].[Gps Koordinat Nord].[Alle]" allUniqueName="[Leverandør].[Gps Koordinat Nord].[Alle]" dimensionUniqueName="[Leverandør]" displayFolder="" count="0" unbalancedGroup="0"/>
    <cacheHierarchy uniqueName="[Leverandør].[Gps Koordinat Oest]" caption="Gps Koordinat Oest" attribute="1" defaultMemberUniqueName="[Leverandør].[Gps Koordinat Oest].[Alle]" allUniqueName="[Leverandør].[Gps Koordinat Oest].[Alle]" dimensionUniqueName="[Leverandør]" displayFolder="" count="0" unbalancedGroup="0"/>
    <cacheHierarchy uniqueName="[Leverandør].[Gyldig Fra]" caption="Gyldig Fra" attribute="1" defaultMemberUniqueName="[Leverandør].[Gyldig Fra].[Alle]" allUniqueName="[Leverandør].[Gyldig Fra].[Alle]" dimensionUniqueName="[Leverandør]" displayFolder="" count="0" unbalancedGroup="0"/>
    <cacheHierarchy uniqueName="[Leverandør].[Gårds og Bruks Nr]" caption="Gårds og bruksnummer" attribute="1" defaultMemberUniqueName="[Leverandør].[Gårds og Bruks Nr].[Alle]" allUniqueName="[Leverandør].[Gårds og Bruks Nr].[Alle]" dimensionUniqueName="[Leverandør]" displayFolder="" count="0" unbalancedGroup="0"/>
    <cacheHierarchy uniqueName="[Leverandør].[Hjemmeside]" caption="Hjemmeside" attribute="1" defaultMemberUniqueName="[Leverandør].[Hjemmeside].[Alle]" allUniqueName="[Leverandør].[Hjemmeside].[Alle]" dimensionUniqueName="[Leverandør]" displayFolder="" count="0" unbalancedGroup="0"/>
    <cacheHierarchy uniqueName="[Leverandør].[Hovedfabrikk]" caption="Hovedfabrikk" attribute="1" defaultMemberUniqueName="[Leverandør].[Hovedfabrikk].[Alle]" allUniqueName="[Leverandør].[Hovedfabrikk].[Alle]" dimensionUniqueName="[Leverandør]" displayFolder="" count="0" unbalancedGroup="0"/>
    <cacheHierarchy uniqueName="[Leverandør].[IBAN]" caption="IBAN" attribute="1" defaultMemberUniqueName="[Leverandør].[IBAN].[Alle]" allUniqueName="[Leverandør].[IBAN].[Alle]" dimensionUniqueName="[Leverandør]" displayFolder="" count="0" unbalancedGroup="0"/>
    <cacheHierarchy uniqueName="[Leverandør].[Kommune]" caption="Kommune navn" attribute="1" defaultMemberUniqueName="[Leverandør].[Kommune].[Alle]" allUniqueName="[Leverandør].[Kommune].[Alle]" dimensionUniqueName="[Leverandør]" displayFolder="" count="0" unbalancedGroup="0"/>
    <cacheHierarchy uniqueName="[Leverandør].[Kommune nr]" caption="Kommune nr" attribute="1" defaultMemberUniqueName="[Leverandør].[Kommune nr].[Alle]" allUniqueName="[Leverandør].[Kommune nr].[Alle]" dimensionUniqueName="[Leverandør]" displayFolder="" count="0" unbalancedGroup="0"/>
    <cacheHierarchy uniqueName="[Leverandør].[Kommunenr Navn]" caption="Kommune" attribute="1" defaultMemberUniqueName="[Leverandør].[Kommunenr Navn].[Alle]" allUniqueName="[Leverandør].[Kommunenr Navn].[Alle]" dimensionUniqueName="[Leverandør]" displayFolder="" count="2" unbalanced="0" unbalancedGroup="0">
      <fieldsUsage count="2">
        <fieldUsage x="-1"/>
        <fieldUsage x="24"/>
      </fieldsUsage>
    </cacheHierarchy>
    <cacheHierarchy uniqueName="[Leverandør].[KSL godkjent]" caption="KSL godkjent" attribute="1" defaultMemberUniqueName="[Leverandør].[KSL godkjent].[Alle]" allUniqueName="[Leverandør].[KSL godkjent].[Alle]" dimensionUniqueName="[Leverandør]" displayFolder="" count="0" unbalancedGroup="0"/>
    <cacheHierarchy uniqueName="[Leverandør].[KSL Stoppdato]" caption="KSL Stoppdato" attribute="1" defaultMemberUniqueName="[Leverandør].[KSL Stoppdato].[Alle]" allUniqueName="[Leverandør].[KSL Stoppdato].[Alle]" dimensionUniqueName="[Leverandør]" displayFolder="" count="0" unbalancedGroup="0"/>
    <cacheHierarchy uniqueName="[Leverandør].[Leverandoer]" caption="Leverandør navn" attribute="1" defaultMemberUniqueName="[Leverandør].[Leverandoer].[Alle]" allUniqueName="[Leverandør].[Leverandoer].[Alle]" dimensionUniqueName="[Leverandør]" displayFolder="" count="0" unbalancedGroup="0"/>
    <cacheHierarchy uniqueName="[Leverandør].[Leverandoer Gruppe]" caption="Leverandørgruppe" attribute="1" defaultMemberUniqueName="[Leverandør].[Leverandoer Gruppe].[Alle]" allUniqueName="[Leverandør].[Leverandoer Gruppe].[Alle]" dimensionUniqueName="[Leverandør]" displayFolder="" count="2" unbalanced="0" unbalancedGroup="0">
      <fieldsUsage count="2">
        <fieldUsage x="-1"/>
        <fieldUsage x="20"/>
      </fieldsUsage>
    </cacheHierarchy>
    <cacheHierarchy uniqueName="[Leverandør].[Leverandoernr Navn Hoved]" caption="Leverandør hoved" attribute="1" defaultMemberUniqueName="[Leverandør].[Leverandoernr Navn Hoved].[Alle]" allUniqueName="[Leverandør].[Leverandoernr Navn Hoved].[Alle]" dimensionUniqueName="[Leverandør]" displayFolder="" count="2" unbalanced="0" unbalancedGroup="0">
      <fieldsUsage count="2">
        <fieldUsage x="-1"/>
        <fieldUsage x="22"/>
      </fieldsUsage>
    </cacheHierarchy>
    <cacheHierarchy uniqueName="[Leverandør].[Leverandør Nr]" caption="Leverandør Nr" attribute="1" defaultMemberUniqueName="[Leverandør].[Leverandør Nr].[Alle]" allUniqueName="[Leverandør].[Leverandør Nr].[Alle]" dimensionUniqueName="[Leverandør]" displayFolder="" count="0" unbalancedGroup="0"/>
    <cacheHierarchy uniqueName="[Leverandør].[Leverandør nr hoved]" caption="Leverandør nr hoved" attribute="1" defaultMemberUniqueName="[Leverandør].[Leverandør nr hoved].[Alle]" allUniqueName="[Leverandør].[Leverandør nr hoved].[Alle]" dimensionUniqueName="[Leverandør]" displayFolder="" count="0" unbalancedGroup="0"/>
    <cacheHierarchy uniqueName="[Leverandør].[Leverandør Nr Navn]" caption="Leverandør" attribute="1" defaultMemberUniqueName="[Leverandør].[Leverandør Nr Navn].[Alle]" allUniqueName="[Leverandør].[Leverandør Nr Navn].[Alle]" dimensionUniqueName="[Leverandør]" displayFolder="" count="0" unbalancedGroup="0"/>
    <cacheHierarchy uniqueName="[Leverandør].[Leverandør Nr SAP]" caption="Leverandør Nr SAP" attribute="1" defaultMemberUniqueName="[Leverandør].[Leverandør Nr SAP].[Alle]" allUniqueName="[Leverandør].[Leverandør Nr SAP].[Alle]" dimensionUniqueName="[Leverandør]" displayFolder="" count="0" unbalancedGroup="0"/>
    <cacheHierarchy uniqueName="[Leverandør].[Leverandør SAP]" caption="Leverandør SAP" attribute="1" defaultMemberUniqueName="[Leverandør].[Leverandør SAP].[Alle]" allUniqueName="[Leverandør].[Leverandør SAP].[Alle]" dimensionUniqueName="[Leverandør]" displayFolder="" count="0" unbalancedGroup="0"/>
    <cacheHierarchy uniqueName="[Leverandør].[Medlemskap]" caption="Medlemskap" attribute="1" defaultMemberUniqueName="[Leverandør].[Medlemskap].[Alle]" allUniqueName="[Leverandør].[Medlemskap].[Alle]" dimensionUniqueName="[Leverandør]" displayFolder="" count="0" unbalancedGroup="0"/>
    <cacheHierarchy uniqueName="[Leverandør].[Medlemskap Hoved]" caption="Medlemskap Hoved" attribute="1" defaultMemberUniqueName="[Leverandør].[Medlemskap Hoved].[Alle]" allUniqueName="[Leverandør].[Medlemskap Hoved].[Alle]" dimensionUniqueName="[Leverandør]" displayFolder="" count="0" unbalancedGroup="0"/>
    <cacheHierarchy uniqueName="[Leverandør].[Medlemskapdato]" caption="Medlemskapdato" attribute="1" defaultMemberUniqueName="[Leverandør].[Medlemskapdato].[Alle]" allUniqueName="[Leverandør].[Medlemskapdato].[Alle]" dimensionUniqueName="[Leverandør]" displayFolder="" count="0" unbalancedGroup="0"/>
    <cacheHierarchy uniqueName="[Leverandør].[Medlemsrettighet]" caption="Medlemsrettighet" attribute="1" defaultMemberUniqueName="[Leverandør].[Medlemsrettighet].[Alle]" allUniqueName="[Leverandør].[Medlemsrettighet].[Alle]" dimensionUniqueName="[Leverandør]" displayFolder="" count="0" unbalancedGroup="0"/>
    <cacheHierarchy uniqueName="[Leverandør].[Medlemsrettighet Hoved]" caption="Medlemsrettighet Hoved" attribute="1" defaultMemberUniqueName="[Leverandør].[Medlemsrettighet Hoved].[Alle]" allUniqueName="[Leverandør].[Medlemsrettighet Hoved].[Alle]" dimensionUniqueName="[Leverandør]" displayFolder="" count="0" unbalancedGroup="0"/>
    <cacheHierarchy uniqueName="[Leverandør].[Mobil]" caption="Mobil" attribute="1" defaultMemberUniqueName="[Leverandør].[Mobil].[Alle]" allUniqueName="[Leverandør].[Mobil].[Alle]" dimensionUniqueName="[Leverandør]" displayFolder="" count="0" unbalancedGroup="0"/>
    <cacheHierarchy uniqueName="[Leverandør].[Mobil Hoved]" caption="Mobil Hoved" attribute="1" defaultMemberUniqueName="[Leverandør].[Mobil Hoved].[Alle]" allUniqueName="[Leverandør].[Mobil Hoved].[Alle]" dimensionUniqueName="[Leverandør]" displayFolder="" count="0" unbalancedGroup="0"/>
    <cacheHierarchy uniqueName="[Leverandør].[Org Nr]" caption="Organisasjons nr" attribute="1" defaultMemberUniqueName="[Leverandør].[Org Nr].[Alle]" allUniqueName="[Leverandør].[Org Nr].[Alle]" dimensionUniqueName="[Leverandør]" displayFolder="" count="0" unbalancedGroup="0"/>
    <cacheHierarchy uniqueName="[Leverandør].[Orgnr Hoved]" caption="Orgnr Hoved" attribute="1" defaultMemberUniqueName="[Leverandør].[Orgnr Hoved].[Alle]" allUniqueName="[Leverandør].[Orgnr Hoved].[Alle]" dimensionUniqueName="[Leverandør]" displayFolder="" count="0" unbalancedGroup="0"/>
    <cacheHierarchy uniqueName="[Leverandør].[Overdragelsesdato]" caption="Overdragelsesdato" attribute="1" defaultMemberUniqueName="[Leverandør].[Overdragelsesdato].[Alle]" allUniqueName="[Leverandør].[Overdragelsesdato].[Alle]" dimensionUniqueName="[Leverandør]" displayFolder="" count="0" unbalancedGroup="0"/>
    <cacheHierarchy uniqueName="[Leverandør].[Post nr sted]" caption="Post nr sted" attribute="1" defaultMemberUniqueName="[Leverandør].[Post nr sted].[Alle]" allUniqueName="[Leverandør].[Post nr sted].[Alle]" dimensionUniqueName="[Leverandør]" displayFolder="" count="0" unbalancedGroup="0"/>
    <cacheHierarchy uniqueName="[Leverandør].[Post nr sted Hoved]" caption="Post nr sted Hoved" attribute="1" defaultMemberUniqueName="[Leverandør].[Post nr sted Hoved].[Alle]" allUniqueName="[Leverandør].[Post nr sted Hoved].[Alle]" dimensionUniqueName="[Leverandør]" displayFolder="" count="0" unbalancedGroup="0"/>
    <cacheHierarchy uniqueName="[Leverandør].[Produsent]" caption="Produsent navn" attribute="1" defaultMemberUniqueName="[Leverandør].[Produsent].[Alle]" allUniqueName="[Leverandør].[Produsent].[Alle]" dimensionUniqueName="[Leverandør]" displayFolder="" count="0" unbalancedGroup="0"/>
    <cacheHierarchy uniqueName="[Leverandør].[Produsent nr]" caption="Produsent nr" attribute="1" defaultMemberUniqueName="[Leverandør].[Produsent nr].[Alle]" allUniqueName="[Leverandør].[Produsent nr].[Alle]" dimensionUniqueName="[Leverandør]" displayFolder="" count="0" unbalancedGroup="0"/>
    <cacheHierarchy uniqueName="[Leverandør].[Produsent Nr Navn]" caption="Produsent" attribute="1" defaultMemberUniqueName="[Leverandør].[Produsent Nr Navn].[Alle]" allUniqueName="[Leverandør].[Produsent Nr Navn].[Alle]" dimensionUniqueName="[Leverandør]" displayFolder="" count="0" unbalancedGroup="0"/>
    <cacheHierarchy uniqueName="[Leverandør].[Produsent Nr Navn Hoved]" caption="Produsent Hoved" attribute="1" defaultMemberUniqueName="[Leverandør].[Produsent Nr Navn Hoved].[Alle]" allUniqueName="[Leverandør].[Produsent Nr Navn Hoved].[Alle]" dimensionUniqueName="[Leverandør]" displayFolder="" count="0" unbalancedGroup="0"/>
    <cacheHierarchy uniqueName="[Leverandør].[Produsentgeografi]" caption="Produsentgeografi" defaultMemberUniqueName="[Leverandør].[Produsentgeografi].[Alle]" allUniqueName="[Leverandør].[Produsentgeografi].[Alle]" dimensionUniqueName="[Leverandør]" displayFolder="" count="3" unbalanced="0" unbalancedGroup="0">
      <fieldsUsage count="3">
        <fieldUsage x="-1"/>
        <fieldUsage x="17"/>
        <fieldUsage x="18"/>
      </fieldsUsage>
    </cacheHierarchy>
    <cacheHierarchy uniqueName="[Leverandør].[Produsentstatus]" caption="Produsentstatus" attribute="1" defaultMemberUniqueName="[Leverandør].[Produsentstatus].[Alle]" allUniqueName="[Leverandør].[Produsentstatus].[Alle]" dimensionUniqueName="[Leverandør]" displayFolder="" count="0" unbalancedGroup="0"/>
    <cacheHierarchy uniqueName="[Leverandør].[Siste Avregningsdato]" caption="Siste Avregningsdato" attribute="1" defaultMemberUniqueName="[Leverandør].[Siste Avregningsdato].[Alle]" allUniqueName="[Leverandør].[Siste Avregningsdato].[Alle]" dimensionUniqueName="[Leverandør]" displayFolder="" count="0" unbalancedGroup="0"/>
    <cacheHierarchy uniqueName="[Leverandør].[Siste Mottaksdato]" caption="Siste Mottaksdato" attribute="1" defaultMemberUniqueName="[Leverandør].[Siste Mottaksdato].[Alle]" allUniqueName="[Leverandør].[Siste Mottaksdato].[Alle]" dimensionUniqueName="[Leverandør]" displayFolder="" count="0" unbalancedGroup="0"/>
    <cacheHierarchy uniqueName="[Leverandør].[Sperret For Ordreopptak]" caption="Sperret For Ordreopptak" attribute="1" defaultMemberUniqueName="[Leverandør].[Sperret For Ordreopptak].[Alle]" allUniqueName="[Leverandør].[Sperret For Ordreopptak].[Alle]" dimensionUniqueName="[Leverandør]" displayFolder="" count="0" unbalancedGroup="0"/>
    <cacheHierarchy uniqueName="[Leverandør].[Sperret Fra]" caption="Sperret Fra" attribute="1" defaultMemberUniqueName="[Leverandør].[Sperret Fra].[Alle]" allUniqueName="[Leverandør].[Sperret Fra].[Alle]" dimensionUniqueName="[Leverandør]" displayFolder="" count="0" unbalancedGroup="0"/>
    <cacheHierarchy uniqueName="[Leverandør].[Telefon dag]" caption="Telefon dag" attribute="1" defaultMemberUniqueName="[Leverandør].[Telefon dag].[Alle]" allUniqueName="[Leverandør].[Telefon dag].[Alle]" dimensionUniqueName="[Leverandør]" displayFolder="" count="0" unbalancedGroup="0"/>
    <cacheHierarchy uniqueName="[Leverandør].[Telefon Dag Hoved]" caption="Telefon Dag Hoved" attribute="1" defaultMemberUniqueName="[Leverandør].[Telefon Dag Hoved].[Alle]" allUniqueName="[Leverandør].[Telefon Dag Hoved].[Alle]" dimensionUniqueName="[Leverandør]" displayFolder="" count="0" unbalancedGroup="0"/>
    <cacheHierarchy uniqueName="[Leverandør].[Telefon kveld]" caption="Telefon kveld" attribute="1" defaultMemberUniqueName="[Leverandør].[Telefon kveld].[Alle]" allUniqueName="[Leverandør].[Telefon kveld].[Alle]" dimensionUniqueName="[Leverandør]" displayFolder="" count="0" unbalancedGroup="0"/>
    <cacheHierarchy uniqueName="[Leverandør].[Tillitsverv]" caption="Tillitsverv" attribute="1" defaultMemberUniqueName="[Leverandør].[Tillitsverv].[Alle]" allUniqueName="[Leverandør].[Tillitsverv].[Alle]" dimensionUniqueName="[Leverandør]" displayFolder="" count="0" unbalancedGroup="0"/>
    <cacheHierarchy uniqueName="[Leverandør].[Utmeldingsdato]" caption="Utmeldingsdato" attribute="1" defaultMemberUniqueName="[Leverandør].[Utmeldingsdato].[Alle]" allUniqueName="[Leverandør].[Utmeldingsdato].[Alle]" dimensionUniqueName="[Leverandør]" displayFolder="" count="0" unbalancedGroup="0"/>
    <cacheHierarchy uniqueName="[Leverandør].[Ønsker informasjon]" caption="Ønsker informasjon" attribute="1" defaultMemberUniqueName="[Leverandør].[Ønsker informasjon].[Alle]" allUniqueName="[Leverandør].[Ønsker informasjon].[Alle]" dimensionUniqueName="[Leverandør]" displayFolder="" count="0" unbalancedGroup="0"/>
    <cacheHierarchy uniqueName="[Livdyrsalg].[Er Kreditt]" caption="Er kredit" attribute="1" defaultMemberUniqueName="[Livdyrsalg].[Er Kreditt].[All]" allUniqueName="[Livdyrsalg].[Er Kreditt].[All]" dimensionUniqueName="[Livdyrsalg]" displayFolder="" count="0" unbalancedGroup="0"/>
    <cacheHierarchy uniqueName="[Livdyrsalg].[Er retur]" caption="Er retur" attribute="1" defaultMemberUniqueName="[Livdyrsalg].[Er retur].[All]" allUniqueName="[Livdyrsalg].[Er retur].[All]" dimensionUniqueName="[Livdyrsalg]" displayFolder="" count="0" unbalancedGroup="0"/>
    <cacheHierarchy uniqueName="[Livdyrsalg].[Fakturadato]" caption="Fakturadato" attribute="1" defaultMemberUniqueName="[Livdyrsalg].[Fakturadato].[All]" allUniqueName="[Livdyrsalg].[Fakturadato].[All]" dimensionUniqueName="[Livdyrsalg]" displayFolder="" count="0" unbalancedGroup="0"/>
    <cacheHierarchy uniqueName="[Livdyrsalg].[FakturaNr]" caption="FakturaNr" attribute="1" defaultMemberUniqueName="[Livdyrsalg].[FakturaNr].[All]" allUniqueName="[Livdyrsalg].[FakturaNr].[All]" dimensionUniqueName="[Livdyrsalg]" displayFolder="" count="0" unbalancedGroup="0"/>
    <cacheHierarchy uniqueName="[Livdyrsalg].[Individ Nr]" caption="Individ Nr" attribute="1" defaultMemberUniqueName="[Livdyrsalg].[Individ Nr].[All]" allUniqueName="[Livdyrsalg].[Individ Nr].[All]" dimensionUniqueName="[Livdyrsalg]" displayFolder="" count="0" unbalancedGroup="0"/>
    <cacheHierarchy uniqueName="[Livdyrsalg].[Individmerke]" caption="Individmerke" attribute="1" defaultMemberUniqueName="[Livdyrsalg].[Individmerke].[All]" allUniqueName="[Livdyrsalg].[Individmerke].[All]" dimensionUniqueName="[Livdyrsalg]" displayFolder="" count="0" unbalancedGroup="0"/>
    <cacheHierarchy uniqueName="[Livdyrsalg].[KjoereseddelNr]" caption="KjoereseddelNr" attribute="1" defaultMemberUniqueName="[Livdyrsalg].[KjoereseddelNr].[All]" allUniqueName="[Livdyrsalg].[KjoereseddelNr].[All]" dimensionUniqueName="[Livdyrsalg]" displayFolder="" count="0" unbalancedGroup="0"/>
    <cacheHierarchy uniqueName="[Livdyrsalg].[Leveringsdato]" caption="Leveringsdato" attribute="1" defaultMemberUniqueName="[Livdyrsalg].[Leveringsdato].[All]" allUniqueName="[Livdyrsalg].[Leveringsdato].[All]" dimensionUniqueName="[Livdyrsalg]" displayFolder="" count="0" unbalancedGroup="0"/>
    <cacheHierarchy uniqueName="[Livdyrsalg].[Mottatt ordresignatur]" caption="Mottatt ordresignatur" attribute="1" defaultMemberUniqueName="[Livdyrsalg].[Mottatt ordresignatur].[All]" allUniqueName="[Livdyrsalg].[Mottatt ordresignatur].[All]" dimensionUniqueName="[Livdyrsalg]" displayFolder="" count="0" unbalancedGroup="0"/>
    <cacheHierarchy uniqueName="[Livdyrsalg].[OrdreunderlinjeNr]" caption="OrdreunderlinjeNr" attribute="1" defaultMemberUniqueName="[Livdyrsalg].[OrdreunderlinjeNr].[All]" allUniqueName="[Livdyrsalg].[OrdreunderlinjeNr].[All]" dimensionUniqueName="[Livdyrsalg]" displayFolder="" count="0" unbalancedGroup="0"/>
    <cacheHierarchy uniqueName="[Livdyrsalg].[SalgsordrelinjeNr]" caption="SalgsordrelinjeNr" attribute="1" defaultMemberUniqueName="[Livdyrsalg].[SalgsordrelinjeNr].[All]" allUniqueName="[Livdyrsalg].[SalgsordrelinjeNr].[All]" dimensionUniqueName="[Livdyrsalg]" displayFolder="" count="0" unbalancedGroup="0"/>
    <cacheHierarchy uniqueName="[Livdyrsalg].[SalgsordreNr]" caption="SalgsordreNr" attribute="1" defaultMemberUniqueName="[Livdyrsalg].[SalgsordreNr].[All]" allUniqueName="[Livdyrsalg].[SalgsordreNr].[All]" dimensionUniqueName="[Livdyrsalg]" displayFolder="" count="0" unbalancedGroup="0"/>
    <cacheHierarchy uniqueName="[Livdyrsalg].[SalgsordreNr reklamasjon]" caption="SalgsordreNr reklamasjon" attribute="1" defaultMemberUniqueName="[Livdyrsalg].[SalgsordreNr reklamasjon].[All]" allUniqueName="[Livdyrsalg].[SalgsordreNr reklamasjon].[All]" dimensionUniqueName="[Livdyrsalg]" displayFolder="" count="0" unbalancedGroup="0"/>
    <cacheHierarchy uniqueName="[Livdyrsalg].[Salgsordrestatus]" caption="Salgsordrestatus" attribute="1" defaultMemberUniqueName="[Livdyrsalg].[Salgsordrestatus].[All]" allUniqueName="[Livdyrsalg].[Salgsordrestatus].[All]" dimensionUniqueName="[Livdyrsalg]" displayFolder="" count="0" unbalancedGroup="0"/>
    <cacheHierarchy uniqueName="[Medlemskrets].[Medlemsdemokrati hierarki]" caption="Medlemsdemokrati hierarki" defaultMemberUniqueName="[Medlemskrets].[Medlemsdemokrati hierarki].[Alle]" allUniqueName="[Medlemskrets].[Medlemsdemokrati hierarki].[Alle]" dimensionUniqueName="[Medlemskrets]" displayFolder="" count="0" unbalancedGroup="0"/>
    <cacheHierarchy uniqueName="[Medlemskrets].[Medlemskrets Nr Navn]" caption="Medlemskrets Nr Navn" attribute="1" defaultMemberUniqueName="[Medlemskrets].[Medlemskrets Nr Navn].[Alle]" allUniqueName="[Medlemskrets].[Medlemskrets Nr Navn].[Alle]" dimensionUniqueName="[Medlemskrets]" displayFolder="" count="0" unbalancedGroup="0"/>
    <cacheHierarchy uniqueName="[Medlemskrets].[Medlemssjef]" caption="Organisasjonsleder" attribute="1" defaultMemberUniqueName="[Medlemskrets].[Medlemssjef].[Alle]" allUniqueName="[Medlemskrets].[Medlemssjef].[Alle]" dimensionUniqueName="[Medlemskrets]" displayFolder="" count="0" unbalancedGroup="0"/>
    <cacheHierarchy uniqueName="[Medlemskrets].[Regionutvalg]" caption="Regionutvalg" attribute="1" defaultMemberUniqueName="[Medlemskrets].[Regionutvalg].[Alle]" allUniqueName="[Medlemskrets].[Regionutvalg].[Alle]" dimensionUniqueName="[Medlemskrets]" displayFolder="" count="0" unbalancedGroup="0"/>
    <cacheHierarchy uniqueName="[Medlemssenter].[Medlemssenter]" caption="Medlemssenter" attribute="1" defaultMemberUniqueName="[Medlemssenter].[Medlemssenter].[All]" allUniqueName="[Medlemssenter].[Medlemssenter].[All]" dimensionUniqueName="[Medlemssenter]" displayFolder="" count="0" unbalancedGroup="0"/>
    <cacheHierarchy uniqueName="[MinSide Kjøttprosent].[Kjøttprosent]" caption="Kjøttprosent" attribute="1" defaultMemberUniqueName="[MinSide Kjøttprosent].[Kjøttprosent].[All]" allUniqueName="[MinSide Kjøttprosent].[Kjøttprosent].[All]" dimensionUniqueName="[MinSide Kjøttprosent]" displayFolder="" count="0" unbalancedGroup="0"/>
    <cacheHierarchy uniqueName="[MinSide Vektklasse].[Vektklasse]" caption="Vektklasse" attribute="1" defaultMemberUniqueName="[MinSide Vektklasse].[Vektklasse].[All]" allUniqueName="[MinSide Vektklasse].[Vektklasse].[All]" dimensionUniqueName="[MinSide Vektklasse]" displayFolder="" count="0" unbalancedGroup="0"/>
    <cacheHierarchy uniqueName="[Mottatt Periode].[Dag Nr I Maaned Navn]" caption="Dato mottatt" attribute="1" time="1" defaultMemberUniqueName="[Mottatt Periode].[Dag Nr I Maaned Navn].[Alle]" allUniqueName="[Mottatt Periode].[Dag Nr I Maaned Navn].[Alle]" dimensionUniqueName="[Mottatt Periode]" displayFolder="" count="0" unbalancedGroup="0"/>
    <cacheHierarchy uniqueName="[Mottatt Periode].[Dato]" caption="Dato" attribute="1" time="1" defaultMemberUniqueName="[Mottatt Periode].[Dato].[Alle]" allUniqueName="[Mottatt Periode].[Dato].[Alle]" dimensionUniqueName="[Mottatt Periode]" displayFolder="" count="0" unbalancedGroup="0"/>
    <cacheHierarchy uniqueName="[Mottatt Periode].[Måned]" caption="Måned" attribute="1" time="1" defaultMemberUniqueName="[Mottatt Periode].[Måned].[Alle]" allUniqueName="[Mottatt Periode].[Måned].[Alle]" dimensionUniqueName="[Mottatt Periode]" displayFolder="" count="0" unbalancedGroup="0"/>
    <cacheHierarchy uniqueName="[Mottatt Periode].[Maaned Nr]" caption="Kalendermåned mottatt" attribute="1" time="1" defaultMemberUniqueName="[Mottatt Periode].[Maaned Nr].[Alle]" allUniqueName="[Mottatt Periode].[Maaned Nr].[Alle]" dimensionUniqueName="[Mottatt Periode]" displayFolder="" count="0" unbalancedGroup="0"/>
    <cacheHierarchy uniqueName="[Mottatt Periode].[Regnskaps År - Måned - Dag]" caption="Periode mottatt (regnskap)" time="1" defaultMemberUniqueName="[Mottatt Periode].[Regnskaps År - Måned - Dag].[Alle]" allUniqueName="[Mottatt Periode].[Regnskaps År - Måned - Dag].[Alle]" dimensionUniqueName="[Mottatt Periode]" displayFolder="" count="6" unbalanced="0" unbalancedGroup="0">
      <fieldsUsage count="6">
        <fieldUsage x="-1"/>
        <fieldUsage x="7"/>
        <fieldUsage x="8"/>
        <fieldUsage x="9"/>
        <fieldUsage x="10"/>
        <fieldUsage x="11"/>
      </fieldsUsage>
    </cacheHierarchy>
    <cacheHierarchy uniqueName="[Mottatt Periode].[RegnskapsKvartal]" caption="Kvartal/år mottatt (regnskap)" attribute="1" time="1" defaultMemberUniqueName="[Mottatt Periode].[RegnskapsKvartal].[Alle]" allUniqueName="[Mottatt Periode].[RegnskapsKvartal].[Alle]" dimensionUniqueName="[Mottatt Periode]" displayFolder="" count="0" unbalancedGroup="0"/>
    <cacheHierarchy uniqueName="[Mottatt Periode].[Regnskapsmåned]" caption="Måned/år mottatt (regnskap)" attribute="1" time="1" defaultMemberUniqueName="[Mottatt Periode].[Regnskapsmåned].[Alle]" allUniqueName="[Mottatt Periode].[Regnskapsmåned].[Alle]" dimensionUniqueName="[Mottatt Periode]" displayFolder="" count="0" unbalancedGroup="0"/>
    <cacheHierarchy uniqueName="[Mottatt Periode].[Regnskapsmaaned Nr]" caption="Måned mottatt (regnskap)" attribute="1" time="1" defaultMemberUniqueName="[Mottatt Periode].[Regnskapsmaaned Nr].[Alle]" allUniqueName="[Mottatt Periode].[Regnskapsmaaned Nr].[Alle]" dimensionUniqueName="[Mottatt Periode]" displayFolder="" count="0" unbalancedGroup="0"/>
    <cacheHierarchy uniqueName="[Mottatt Periode].[Regnskapsuke]" caption="Uke/År mottatt (regnskap)" attribute="1" time="1" defaultMemberUniqueName="[Mottatt Periode].[Regnskapsuke].[Alle]" allUniqueName="[Mottatt Periode].[Regnskapsuke].[Alle]" dimensionUniqueName="[Mottatt Periode]" displayFolder="" count="0" unbalancedGroup="0"/>
    <cacheHierarchy uniqueName="[Mottatt Periode].[Regnskapsuke Nr]" caption="Uke mottatt (regnskap)" attribute="1" time="1" defaultMemberUniqueName="[Mottatt Periode].[Regnskapsuke Nr].[Alle]" allUniqueName="[Mottatt Periode].[Regnskapsuke Nr].[Alle]" dimensionUniqueName="[Mottatt Periode]" displayFolder="" count="0" unbalancedGroup="0"/>
    <cacheHierarchy uniqueName="[Mottatt Periode].[Regnskapsår]" caption="År mottatt (regnskap)" attribute="1" time="1" defaultMemberUniqueName="[Mottatt Periode].[Regnskapsår].[Alle]" allUniqueName="[Mottatt Periode].[Regnskapsår].[Alle]" dimensionUniqueName="[Mottatt Periode]" displayFolder="" count="0" unbalancedGroup="0"/>
    <cacheHierarchy uniqueName="[Mottatt Periode Kalkuleringer].[Mottatt Periode Kalkuleringer]" caption="Periode Mottatt kalkulering" attribute="1" keyAttribute="1" defaultMemberUniqueName="[Mottatt Periode Kalkuleringer].[Mottatt Periode Kalkuleringer].&amp;[Denne periode]" allUniqueName="[Mottatt Periode Kalkuleringer].[Mottatt Periode Kalkuleringer].[All]" dimensionUniqueName="[Mottatt Periode Kalkuleringer]" displayFolder="" count="0" unbalancedGroup="0"/>
    <cacheHierarchy uniqueName="[Mottatt Periode Nova].[Dato]" caption="Dato" attribute="1" time="1" defaultMemberUniqueName="[Mottatt Periode Nova].[Dato].[Alle]" allUniqueName="[Mottatt Periode Nova].[Dato].[Alle]" dimensionUniqueName="[Mottatt Periode Nova]" displayFolder="" count="0" unbalancedGroup="0"/>
    <cacheHierarchy uniqueName="[Mottatt Periode Nova].[Dato mnd]" caption="Dato mnd" attribute="1" time="1" defaultMemberUniqueName="[Mottatt Periode Nova].[Dato mnd].[Alle]" allUniqueName="[Mottatt Periode Nova].[Dato mnd].[Alle]" dimensionUniqueName="[Mottatt Periode Nova]" displayFolder="" count="0" unbalancedGroup="0"/>
    <cacheHierarchy uniqueName="[Mottatt Periode Nova].[Måned Nova]" caption="Måned Nova" attribute="1" time="1" defaultMemberUniqueName="[Mottatt Periode Nova].[Måned Nova].[Alle]" allUniqueName="[Mottatt Periode Nova].[Måned Nova].[Alle]" dimensionUniqueName="[Mottatt Periode Nova]" displayFolder="" count="0" unbalancedGroup="0"/>
    <cacheHierarchy uniqueName="[Mottatt Periode Nova].[Måned År]" caption="Måned År" attribute="1" time="1" defaultMemberUniqueName="[Mottatt Periode Nova].[Måned År].[Alle]" allUniqueName="[Mottatt Periode Nova].[Måned År].[Alle]" dimensionUniqueName="[Mottatt Periode Nova]" displayFolder="" count="0" unbalancedGroup="0"/>
    <cacheHierarchy uniqueName="[Mottatt Periode Nova].[Uke mottatt]" caption="Uke mottatt" attribute="1" time="1" defaultMemberUniqueName="[Mottatt Periode Nova].[Uke mottatt].[Alle]" allUniqueName="[Mottatt Periode Nova].[Uke mottatt].[Alle]" dimensionUniqueName="[Mottatt Periode Nova]" displayFolder="" count="0" unbalancedGroup="0"/>
    <cacheHierarchy uniqueName="[Mottatt Periode Nova].[Uke År]" caption="Uke År" attribute="1" time="1" defaultMemberUniqueName="[Mottatt Periode Nova].[Uke År].[Alle]" allUniqueName="[Mottatt Periode Nova].[Uke År].[Alle]" dimensionUniqueName="[Mottatt Periode Nova]" displayFolder="" count="0" unbalancedGroup="0"/>
    <cacheHierarchy uniqueName="[Mottatt Periode Nova].[År - Måned - Dag Nova]" caption="År - Måned - Dag Nova" time="1" defaultMemberUniqueName="[Mottatt Periode Nova].[År - Måned - Dag Nova].[All]" allUniqueName="[Mottatt Periode Nova].[År - Måned - Dag Nova].[All]" dimensionUniqueName="[Mottatt Periode Nova]" displayFolder="" count="0" unbalancedGroup="0"/>
    <cacheHierarchy uniqueName="[Mottatt Periode Nova].[År - Uke - Dag Nova]" caption="År - Uke - Dag Nova" time="1" defaultMemberUniqueName="[Mottatt Periode Nova].[År - Uke - Dag Nova].[All]" allUniqueName="[Mottatt Periode Nova].[År - Uke - Dag Nova].[All]" dimensionUniqueName="[Mottatt Periode Nova]" displayFolder="" count="0" unbalancedGroup="0"/>
    <cacheHierarchy uniqueName="[Mottatt Periode Nova].[År mnd]" caption="År mnd" attribute="1" time="1" defaultMemberUniqueName="[Mottatt Periode Nova].[År mnd].[Alle]" allUniqueName="[Mottatt Periode Nova].[År mnd].[Alle]" dimensionUniqueName="[Mottatt Periode Nova]" displayFolder="" count="0" unbalancedGroup="0"/>
    <cacheHierarchy uniqueName="[Mottatt Periode Nova].[År uke]" caption="År uke" attribute="1" time="1" defaultMemberUniqueName="[Mottatt Periode Nova].[År uke].[Alle]" allUniqueName="[Mottatt Periode Nova].[År uke].[Alle]" dimensionUniqueName="[Mottatt Periode Nova]" displayFolder="" count="0" unbalancedGroup="0"/>
    <cacheHierarchy uniqueName="[Produsent Egenskap].[Produsent Egenskap]" caption="Produsent Egenskap" defaultMemberUniqueName="[Produsent Egenskap].[Produsent Egenskap].[All]" allUniqueName="[Produsent Egenskap].[Produsent Egenskap].[All]" dimensionUniqueName="[Produsent Egenskap]" displayFolder="" count="0" unbalancedGroup="0"/>
    <cacheHierarchy uniqueName="[Produsent Egenskap].[Produsent Egenskap Kategori]" caption="Produsent Egenskap Kategori" attribute="1" defaultMemberUniqueName="[Produsent Egenskap].[Produsent Egenskap Kategori].[All]" allUniqueName="[Produsent Egenskap].[Produsent Egenskap Kategori].[All]" dimensionUniqueName="[Produsent Egenskap]" displayFolder="" count="0" unbalancedGroup="0"/>
    <cacheHierarchy uniqueName="[Produsent Egenskap].[Produsent Egenskap Type]" caption="Produsent Egenskap Type" attribute="1" keyAttribute="1" defaultMemberUniqueName="[Produsent Egenskap].[Produsent Egenskap Type].[All]" allUniqueName="[Produsent Egenskap].[Produsent Egenskap Type].[All]" dimensionUniqueName="[Produsent Egenskap]" displayFolder="" count="0" unbalancedGroup="0"/>
    <cacheHierarchy uniqueName="[ProfitCenter].[AxaptaAvdnr]" caption="AxaptaAvdnr" attribute="1" defaultMemberUniqueName="[ProfitCenter].[AxaptaAvdnr].[All]" allUniqueName="[ProfitCenter].[AxaptaAvdnr].[All]" dimensionUniqueName="[ProfitCenter]" displayFolder="" count="0" unbalancedGroup="0"/>
    <cacheHierarchy uniqueName="[ProfitCenter].[Fabrikk]" caption="Fabrikk" attribute="1" defaultMemberUniqueName="[ProfitCenter].[Fabrikk].[All]" allUniqueName="[ProfitCenter].[Fabrikk].[All]" dimensionUniqueName="[ProfitCenter]" displayFolder="" count="0" unbalancedGroup="0"/>
    <cacheHierarchy uniqueName="[ProfitCenter].[FabrikkKode]" caption="FabrikkKode" attribute="1" defaultMemberUniqueName="[ProfitCenter].[FabrikkKode].[All]" allUniqueName="[ProfitCenter].[FabrikkKode].[All]" dimensionUniqueName="[ProfitCenter]" displayFolder="" count="0" unbalancedGroup="0"/>
    <cacheHierarchy uniqueName="[ProfitCenter].[ProfitCenter]" caption="ProfitCenter" attribute="1" defaultMemberUniqueName="[ProfitCenter].[ProfitCenter].[All]" allUniqueName="[ProfitCenter].[ProfitCenter].[All]" dimensionUniqueName="[ProfitCenter]" displayFolder="" count="0" unbalancedGroup="0"/>
    <cacheHierarchy uniqueName="[ProfitCenter].[ProfitCenterKode]" caption="ProfitCenterKode" attribute="1" defaultMemberUniqueName="[ProfitCenter].[ProfitCenterKode].[All]" allUniqueName="[ProfitCenter].[ProfitCenterKode].[All]" dimensionUniqueName="[ProfitCenter]" displayFolder="" count="0" unbalancedGroup="0"/>
    <cacheHierarchy uniqueName="[ProfitCenter].[ResOmråde]" caption="ResOmråde" attribute="1" defaultMemberUniqueName="[ProfitCenter].[ResOmråde].[All]" allUniqueName="[ProfitCenter].[ResOmråde].[All]" dimensionUniqueName="[ProfitCenter]" displayFolder="" count="0" unbalancedGroup="0"/>
    <cacheHierarchy uniqueName="[ProfitCenter].[ResOmrådeKode]" caption="ResOmrådeKode" attribute="1" defaultMemberUniqueName="[ProfitCenter].[ResOmrådeKode].[All]" allUniqueName="[ProfitCenter].[ResOmrådeKode].[All]" dimensionUniqueName="[ProfitCenter]" displayFolder="" count="0" unbalancedGroup="0"/>
    <cacheHierarchy uniqueName="[ProfitCenter].[ResOmrådeL1]" caption="ResOmrådeL1" attribute="1" defaultMemberUniqueName="[ProfitCenter].[ResOmrådeL1].[All]" allUniqueName="[ProfitCenter].[ResOmrådeL1].[All]" dimensionUniqueName="[ProfitCenter]" displayFolder="" count="0" unbalancedGroup="0"/>
    <cacheHierarchy uniqueName="[ProfitCenter].[ResOmrådeL1Kode]" caption="ResOmrådeL1Kode" attribute="1" defaultMemberUniqueName="[ProfitCenter].[ResOmrådeL1Kode].[All]" allUniqueName="[ProfitCenter].[ResOmrådeL1Kode].[All]" dimensionUniqueName="[ProfitCenter]" displayFolder="" count="0" unbalancedGroup="0"/>
    <cacheHierarchy uniqueName="[ProfitCenter].[ResOmrådeL2]" caption="ResOmrådeL2" attribute="1" defaultMemberUniqueName="[ProfitCenter].[ResOmrådeL2].[All]" allUniqueName="[ProfitCenter].[ResOmrådeL2].[All]" dimensionUniqueName="[ProfitCenter]" displayFolder="" count="0" unbalancedGroup="0"/>
    <cacheHierarchy uniqueName="[ProfitCenter].[ResOmrådeL2Kode]" caption="ResOmrådeL2Kode" attribute="1" defaultMemberUniqueName="[ProfitCenter].[ResOmrådeL2Kode].[All]" allUniqueName="[ProfitCenter].[ResOmrådeL2Kode].[All]" dimensionUniqueName="[ProfitCenter]" displayFolder="" count="0" unbalancedGroup="0"/>
    <cacheHierarchy uniqueName="[ProfitCenter].[ResOmrådeL3]" caption="ResOmrådeL3" attribute="1" defaultMemberUniqueName="[ProfitCenter].[ResOmrådeL3].[All]" allUniqueName="[ProfitCenter].[ResOmrådeL3].[All]" dimensionUniqueName="[ProfitCenter]" displayFolder="" count="0" unbalancedGroup="0"/>
    <cacheHierarchy uniqueName="[ProfitCenter].[ResOmrådeL3Kode]" caption="ResOmrådeL3Kode" attribute="1" defaultMemberUniqueName="[ProfitCenter].[ResOmrådeL3Kode].[All]" allUniqueName="[ProfitCenter].[ResOmrådeL3Kode].[All]" dimensionUniqueName="[ProfitCenter]" displayFolder="" count="0" unbalancedGroup="0"/>
    <cacheHierarchy uniqueName="[ProfitCenter].[Selskapskode]" caption="Selskapskode" attribute="1" defaultMemberUniqueName="[ProfitCenter].[Selskapskode].[All]" allUniqueName="[ProfitCenter].[Selskapskode].[All]" dimensionUniqueName="[ProfitCenter]" displayFolder="" count="0" unbalancedGroup="0"/>
    <cacheHierarchy uniqueName="[ProfitCenter].[Selskapsnavn]" caption="Selskapsnavn" attribute="1" defaultMemberUniqueName="[ProfitCenter].[Selskapsnavn].[All]" allUniqueName="[ProfitCenter].[Selskapsnavn].[All]" dimensionUniqueName="[ProfitCenter]" displayFolder="" count="0" unbalancedGroup="0"/>
    <cacheHierarchy uniqueName="[Rase].[Rase]" caption="Rase" defaultMemberUniqueName="[Rase].[Rase].[All]" allUniqueName="[Rase].[Rase].[All]" dimensionUniqueName="[Rase]" displayFolder="" count="0" unbalancedGroup="0"/>
    <cacheHierarchy uniqueName="[Rase].[Rase Beskrivelse]" caption="Rase Beskrivelse" attribute="1" defaultMemberUniqueName="[Rase].[Rase Beskrivelse].[All]" allUniqueName="[Rase].[Rase Beskrivelse].[All]" dimensionUniqueName="[Rase]" displayFolder="" count="0" unbalancedGroup="0"/>
    <cacheHierarchy uniqueName="[Rase].[Rase Kode]" caption="Rase" attribute="1" defaultMemberUniqueName="[Rase].[Rase Kode].[All]" allUniqueName="[Rase].[Rase Kode].[All]" dimensionUniqueName="[Rase]" displayFolder="" count="0" unbalancedGroup="0"/>
    <cacheHierarchy uniqueName="[Rase].[Rasegruppe]" caption="Rasegruppe" attribute="1" defaultMemberUniqueName="[Rase].[Rasegruppe].[All]" allUniqueName="[Rase].[Rasegruppe].[All]" dimensionUniqueName="[Rase]" displayFolder="" count="0" unbalancedGroup="0"/>
    <cacheHierarchy uniqueName="[Rase].[Rasegruppe Beskrivelse]" caption="Rasegruppe Beskrivelse" attribute="1" defaultMemberUniqueName="[Rase].[Rasegruppe Beskrivelse].[All]" allUniqueName="[Rase].[Rasegruppe Beskrivelse].[All]" dimensionUniqueName="[Rase]" displayFolder="" count="0" unbalancedGroup="0"/>
    <cacheHierarchy uniqueName="[Referanse1].[Referanse1NrNavn]" caption="Lag og rådgivere" attribute="1" defaultMemberUniqueName="[Referanse1].[Referanse1NrNavn].[All]" allUniqueName="[Referanse1].[Referanse1NrNavn].[All]" dimensionUniqueName="[Referanse1]" displayFolder="" count="0" unbalancedGroup="0"/>
    <cacheHierarchy uniqueName="[Referanse2].[Referanse2NrNavn]" caption="Ringer" attribute="1" defaultMemberUniqueName="[Referanse2].[Referanse2NrNavn].[All]" allUniqueName="[Referanse2].[Referanse2NrNavn].[All]" dimensionUniqueName="[Referanse2]" displayFolder="" count="0" unbalancedGroup="0"/>
    <cacheHierarchy uniqueName="[Rådgivning].[Er kreditt]" caption="Er kredit" attribute="1" defaultMemberUniqueName="[Rådgivning].[Er kreditt].[All]" allUniqueName="[Rådgivning].[Er kreditt].[All]" dimensionUniqueName="[Rådgivning]" displayFolder="" count="0" unbalancedGroup="0"/>
    <cacheHierarchy uniqueName="[Rådgivning].[Er retur]" caption="Er retur" attribute="1" defaultMemberUniqueName="[Rådgivning].[Er retur].[All]" allUniqueName="[Rådgivning].[Er retur].[All]" dimensionUniqueName="[Rådgivning]" displayFolder="" count="0" unbalancedGroup="0"/>
    <cacheHierarchy uniqueName="[Rådgivning].[Fakturadato]" caption="Fakturadato" attribute="1" defaultMemberUniqueName="[Rådgivning].[Fakturadato].[All]" allUniqueName="[Rådgivning].[Fakturadato].[All]" dimensionUniqueName="[Rådgivning]" displayFolder="" count="0" unbalancedGroup="0"/>
    <cacheHierarchy uniqueName="[Rådgivning].[FakturaNr]" caption="FakturaNr" attribute="1" defaultMemberUniqueName="[Rådgivning].[FakturaNr].[All]" allUniqueName="[Rådgivning].[FakturaNr].[All]" dimensionUniqueName="[Rådgivning]" displayFolder="" count="0" unbalancedGroup="0"/>
    <cacheHierarchy uniqueName="[Rådgivning].[Leveringsdato]" caption="Leveringsdato" attribute="1" defaultMemberUniqueName="[Rådgivning].[Leveringsdato].[All]" allUniqueName="[Rådgivning].[Leveringsdato].[All]" dimensionUniqueName="[Rådgivning]" displayFolder="" count="0" unbalancedGroup="0"/>
    <cacheHierarchy uniqueName="[Rådgivning].[Mottatt ordresignatur]" caption="Mottatt ordresignatur" attribute="1" defaultMemberUniqueName="[Rådgivning].[Mottatt ordresignatur].[All]" allUniqueName="[Rådgivning].[Mottatt ordresignatur].[All]" dimensionUniqueName="[Rådgivning]" displayFolder="" count="0" unbalancedGroup="0"/>
    <cacheHierarchy uniqueName="[Rådgivning].[OrdreunderlinjeNr]" caption="OrdreunderlinjeNr" attribute="1" defaultMemberUniqueName="[Rådgivning].[OrdreunderlinjeNr].[All]" allUniqueName="[Rådgivning].[OrdreunderlinjeNr].[All]" dimensionUniqueName="[Rådgivning]" displayFolder="" count="0" unbalancedGroup="0"/>
    <cacheHierarchy uniqueName="[Rådgivning].[SalgsordrelinjeNr]" caption="SalgsordrelinjeNr" attribute="1" defaultMemberUniqueName="[Rådgivning].[SalgsordrelinjeNr].[All]" allUniqueName="[Rådgivning].[SalgsordrelinjeNr].[All]" dimensionUniqueName="[Rådgivning]" displayFolder="" count="0" unbalancedGroup="0"/>
    <cacheHierarchy uniqueName="[Rådgivning].[SalgsordreNr]" caption="SalgsordreNr" attribute="1" defaultMemberUniqueName="[Rådgivning].[SalgsordreNr].[All]" allUniqueName="[Rådgivning].[SalgsordreNr].[All]" dimensionUniqueName="[Rådgivning]" displayFolder="" count="0" unbalancedGroup="0"/>
    <cacheHierarchy uniqueName="[Rådgivning].[Salgsordrestatus]" caption="Salgsordrestatus" attribute="1" defaultMemberUniqueName="[Rådgivning].[Salgsordrestatus].[All]" allUniqueName="[Rådgivning].[Salgsordrestatus].[All]" dimensionUniqueName="[Rådgivning]" displayFolder="" count="0" unbalancedGroup="0"/>
    <cacheHierarchy uniqueName="[Salgsordretype].[Salgsordretype]" caption="Salgsordretype" attribute="1" defaultMemberUniqueName="[Salgsordretype].[Salgsordretype].[All]" allUniqueName="[Salgsordretype].[Salgsordretype].[All]" dimensionUniqueName="[Salgsordretype]" displayFolder="" count="0" unbalancedGroup="0"/>
    <cacheHierarchy uniqueName="[Salgsordretype].[Salgsordretype kode navn]" caption="Salgsordretype kode navn" attribute="1" defaultMemberUniqueName="[Salgsordretype].[Salgsordretype kode navn].[All]" allUniqueName="[Salgsordretype].[Salgsordretype kode navn].[All]" dimensionUniqueName="[Salgsordretype]" displayFolder="" count="0" unbalancedGroup="0"/>
    <cacheHierarchy uniqueName="[Salgsordretype].[Salgsordretypekode]" caption="Salgsordretypekode" attribute="1" defaultMemberUniqueName="[Salgsordretype].[Salgsordretypekode].[All]" allUniqueName="[Salgsordretype].[Salgsordretypekode].[All]" dimensionUniqueName="[Salgsordretype]" displayFolder="" count="0" unbalancedGroup="0"/>
    <cacheHierarchy uniqueName="[Tilfoerselsomraade].[Tilfoerselsomraade]" caption="Tilfoerselsomraade" attribute="1" defaultMemberUniqueName="[Tilfoerselsomraade].[Tilfoerselsomraade].[All]" allUniqueName="[Tilfoerselsomraade].[Tilfoerselsomraade].[All]" dimensionUniqueName="[Tilfoerselsomraade]" displayFolder="" count="0" unbalancedGroup="0"/>
    <cacheHierarchy uniqueName="[Tilfoerselsomraade].[Tilfoerselstype]" caption="Tilfoerselstype" attribute="1" defaultMemberUniqueName="[Tilfoerselsomraade].[Tilfoerselstype].[All]" allUniqueName="[Tilfoerselsomraade].[Tilfoerselstype].[All]" dimensionUniqueName="[Tilfoerselsomraade]" displayFolder="" count="0" unbalancedGroup="0"/>
    <cacheHierarchy uniqueName="[Vare].[Antall Akkumulering]" caption="Antall Akkumulering" attribute="1" defaultMemberUniqueName="[Vare].[Antall Akkumulering].[Alle]" allUniqueName="[Vare].[Antall Akkumulering].[Alle]" dimensionUniqueName="[Vare]" displayFolder="" count="0" unbalancedGroup="0"/>
    <cacheHierarchy uniqueName="[Vare].[Avregning Ligningsoppgave Kode Navn]" caption="Avregning ligningsoppgave" attribute="1" defaultMemberUniqueName="[Vare].[Avregning Ligningsoppgave Kode Navn].[Alle]" allUniqueName="[Vare].[Avregning Ligningsoppgave Kode Navn].[Alle]" dimensionUniqueName="[Vare]" displayFolder="" count="0" unbalancedGroup="0"/>
    <cacheHierarchy uniqueName="[Vare].[Avregning Sammendrag Kode Navn]" caption="Avregning sammendrag" attribute="1" defaultMemberUniqueName="[Vare].[Avregning Sammendrag Kode Navn].[Alle]" allUniqueName="[Vare].[Avregning Sammendrag Kode Navn].[Alle]" dimensionUniqueName="[Vare]" displayFolder="" count="0" unbalancedGroup="0"/>
    <cacheHierarchy uniqueName="[Vare].[Avregning sammendragkode]" caption="Avregning sammendragkode" attribute="1" defaultMemberUniqueName="[Vare].[Avregning sammendragkode].[Alle]" allUniqueName="[Vare].[Avregning sammendragkode].[Alle]" dimensionUniqueName="[Vare]" displayFolder="" count="0" unbalancedGroup="0"/>
    <cacheHierarchy uniqueName="[Vare].[Avregningstype]" caption="Avregningstype" attribute="1" defaultMemberUniqueName="[Vare].[Avregningstype].[Alle]" allUniqueName="[Vare].[Avregningstype].[Alle]" dimensionUniqueName="[Vare]" displayFolder="" count="0" unbalancedGroup="0"/>
    <cacheHierarchy uniqueName="[Vare].[Avregningstype hierarki]" caption="Avregningstype hierarki" defaultMemberUniqueName="[Vare].[Avregningstype hierarki].[Alle]" allUniqueName="[Vare].[Avregningstype hierarki].[Alle]" dimensionUniqueName="[Vare]" displayFolder="" count="5" unbalanced="0" unbalancedGroup="0">
      <fieldsUsage count="5">
        <fieldUsage x="-1"/>
        <fieldUsage x="0"/>
        <fieldUsage x="23"/>
        <fieldUsage x="1"/>
        <fieldUsage x="2"/>
      </fieldsUsage>
      <groupLevels count="5">
        <groupLevel uniqueName="[Vare].[Avregningstype hierarki].[(All)]" caption="(All)"/>
        <groupLevel uniqueName="[Vare].[Avregningstype hierarki].[Avregningstype]" caption="Avregningstype"/>
        <groupLevel uniqueName="[Vare].[Avregningstype hierarki].[Avregningstype1]" caption="Avregningstype1" user="1"/>
        <groupLevel uniqueName="[Vare].[Avregningstype hierarki].[Avregningsundertype]" caption="Avregningsundertype">
          <groups count="1">
            <group name="AvregningsundertypeXl_Grp_1" uniqueName="[Vare].[Avregningstype hierarki].[Avregningstype1].[GROUPMEMBER.[AvregningsundertypeXl_Grp_1]].[Vare]].[Avregningstype hierarki]].[Avregningstype]].&amp;[5. Avregning transport]]]" caption="Grupper1" uniqueParent="[Vare].[Avregningstype hierarki].[Avregningstype].&amp;[5. Avregning transport]" id="1">
              <groupMembers count="5">
                <groupMember uniqueName="[Vare].[Avregningstype hierarki].[Avregningsundertype].&amp;[5. Avregning transport]&amp;[Alle 4-beinte]"/>
                <groupMember uniqueName="[Vare].[Avregningstype hierarki].[Avregningsundertype].&amp;[5. Avregning transport]&amp;[Annet]"/>
                <groupMember uniqueName="[Vare].[Avregningstype hierarki].[Avregningsundertype].&amp;[5. Avregning transport]&amp;[Gris]"/>
                <groupMember uniqueName="[Vare].[Avregningstype hierarki].[Avregningsundertype].&amp;[5. Avregning transport]&amp;[Småfe]"/>
                <groupMember uniqueName="[Vare].[Avregningstype hierarki].[Avregningsundertype].&amp;[5. Avregning transport]&amp;[Storfe]"/>
              </groupMembers>
            </group>
          </groups>
        </groupLevel>
        <groupLevel uniqueName="[Vare].[Avregningstype hierarki].[Vare]" caption="Vare"/>
      </groupLevels>
    </cacheHierarchy>
    <cacheHierarchy uniqueName="[Vare].[Avregningsundertype]" caption="Avregningsundertype" attribute="1" defaultMemberUniqueName="[Vare].[Avregningsundertype].[Alle]" allUniqueName="[Vare].[Avregningsundertype].[Alle]" dimensionUniqueName="[Vare]" displayFolder="" count="0" unbalancedGroup="0"/>
    <cacheHierarchy uniqueName="[Vare].[Avregningsvare]" caption="Er avregningsvare" attribute="1" defaultMemberUniqueName="[Vare].[Avregningsvare].[Alle]" allUniqueName="[Vare].[Avregningsvare].[Alle]" dimensionUniqueName="[Vare]" displayFolder="" count="0" unbalancedGroup="0"/>
    <cacheHierarchy uniqueName="[Vare].[Elementvare]" caption="Er elementvare" attribute="1" defaultMemberUniqueName="[Vare].[Elementvare].[Alle]" allUniqueName="[Vare].[Elementvare].[Alle]" dimensionUniqueName="[Vare]" displayFolder="" count="0" unbalancedGroup="0"/>
    <cacheHierarchy uniqueName="[Vare].[Endret Dato Kort]" caption="Endret dato" attribute="1" defaultMemberUniqueName="[Vare].[Endret Dato Kort].[Alle]" allUniqueName="[Vare].[Endret Dato Kort].[Alle]" dimensionUniqueName="[Vare]" displayFolder="" count="0" unbalancedGroup="0"/>
    <cacheHierarchy uniqueName="[Vare].[Gyldig Fra]" caption="Gyldig fra dato" attribute="1" defaultMemberUniqueName="[Vare].[Gyldig Fra].[Alle]" allUniqueName="[Vare].[Gyldig Fra].[Alle]" dimensionUniqueName="[Vare]" displayFolder="" count="0" unbalancedGroup="0"/>
    <cacheHierarchy uniqueName="[Vare].[SAPVareGrp1]" caption="SAPVareGrp1" attribute="1" defaultMemberUniqueName="[Vare].[SAPVareGrp1].[Alle]" allUniqueName="[Vare].[SAPVareGrp1].[Alle]" dimensionUniqueName="[Vare]" displayFolder="" count="0" unbalancedGroup="0"/>
    <cacheHierarchy uniqueName="[Vare].[SAPVareGrp1Kode]" caption="SAPVareGrp1Kode" attribute="1" defaultMemberUniqueName="[Vare].[SAPVareGrp1Kode].[Alle]" allUniqueName="[Vare].[SAPVareGrp1Kode].[Alle]" dimensionUniqueName="[Vare]" displayFolder="" count="0" unbalancedGroup="0"/>
    <cacheHierarchy uniqueName="[Vare].[SAPVareGrp2]" caption="SAPVareGrp2" attribute="1" defaultMemberUniqueName="[Vare].[SAPVareGrp2].[Alle]" allUniqueName="[Vare].[SAPVareGrp2].[Alle]" dimensionUniqueName="[Vare]" displayFolder="" count="0" unbalancedGroup="0"/>
    <cacheHierarchy uniqueName="[Vare].[SAPVareGrp2Kode]" caption="SAPVareGrp2Kode" attribute="1" defaultMemberUniqueName="[Vare].[SAPVareGrp2Kode].[Alle]" allUniqueName="[Vare].[SAPVareGrp2Kode].[Alle]" dimensionUniqueName="[Vare]" displayFolder="" count="0" unbalancedGroup="0"/>
    <cacheHierarchy uniqueName="[Vare].[SAPVareGrp3]" caption="SAPVareGrp3" attribute="1" defaultMemberUniqueName="[Vare].[SAPVareGrp3].[Alle]" allUniqueName="[Vare].[SAPVareGrp3].[Alle]" dimensionUniqueName="[Vare]" displayFolder="" count="0" unbalancedGroup="0"/>
    <cacheHierarchy uniqueName="[Vare].[SAPVareGrp3Kode]" caption="SAPVareGrp3Kode" attribute="1" defaultMemberUniqueName="[Vare].[SAPVareGrp3Kode].[Alle]" allUniqueName="[Vare].[SAPVareGrp3Kode].[Alle]" dimensionUniqueName="[Vare]" displayFolder="" count="0" unbalancedGroup="0"/>
    <cacheHierarchy uniqueName="[Vare].[SAPVareGrp4]" caption="SAPVareGrp4" attribute="1" defaultMemberUniqueName="[Vare].[SAPVareGrp4].[Alle]" allUniqueName="[Vare].[SAPVareGrp4].[Alle]" dimensionUniqueName="[Vare]" displayFolder="" count="0" unbalancedGroup="0"/>
    <cacheHierarchy uniqueName="[Vare].[SAPVareGrp4Kode]" caption="SAPVareGrp4Kode" attribute="1" defaultMemberUniqueName="[Vare].[SAPVareGrp4Kode].[Alle]" allUniqueName="[Vare].[SAPVareGrp4Kode].[Alle]" dimensionUniqueName="[Vare]" displayFolder="" count="0" unbalancedGroup="0"/>
    <cacheHierarchy uniqueName="[Vare].[SLF vare]" caption="Er SLF-vare" attribute="1" defaultMemberUniqueName="[Vare].[SLF vare].[Alle]" allUniqueName="[Vare].[SLF vare].[Alle]" dimensionUniqueName="[Vare]" displayFolder="" count="0" unbalancedGroup="0"/>
    <cacheHierarchy uniqueName="[Vare].[SLF vare nr]" caption="SLF vare nr" attribute="1" defaultMemberUniqueName="[Vare].[SLF vare nr].[Alle]" allUniqueName="[Vare].[SLF vare nr].[Alle]" dimensionUniqueName="[Vare]" displayFolder="" count="0" unbalancedGroup="0"/>
    <cacheHierarchy uniqueName="[Vare].[Vare nr]" caption="Varenr" attribute="1" defaultMemberUniqueName="[Vare].[Vare nr].[Alle]" allUniqueName="[Vare].[Vare nr].[Alle]" dimensionUniqueName="[Vare]" displayFolder="" count="0" unbalancedGroup="0"/>
    <cacheHierarchy uniqueName="[Vare].[Vare Nr Vare Navn]" caption="Vare" attribute="1" defaultMemberUniqueName="[Vare].[Vare Nr Vare Navn].[Alle]" allUniqueName="[Vare].[Vare Nr Vare Navn].[Alle]" dimensionUniqueName="[Vare]" displayFolder="" count="0" unbalancedGroup="0"/>
    <cacheHierarchy uniqueName="[Vare].[Varehovedkategori Kode Navn]" caption="Varehovedkategori" attribute="1" defaultMemberUniqueName="[Vare].[Varehovedkategori Kode Navn].[Alle]" allUniqueName="[Vare].[Varehovedkategori Kode Navn].[Alle]" dimensionUniqueName="[Vare]" displayFolder="" count="0" unbalancedGroup="0"/>
    <cacheHierarchy uniqueName="[Vare].[Varehovedkategorikode]" caption="Varehovedkategorikode" attribute="1" defaultMemberUniqueName="[Vare].[Varehovedkategorikode].[Alle]" allUniqueName="[Vare].[Varehovedkategorikode].[Alle]" dimensionUniqueName="[Vare]" displayFolder="" count="0" unbalancedGroup="0"/>
    <cacheHierarchy uniqueName="[Vare].[Varekaregori Kode Navn]" caption="Varekategori" attribute="1" defaultMemberUniqueName="[Vare].[Varekaregori Kode Navn].[Alle]" allUniqueName="[Vare].[Varekaregori Kode Navn].[Alle]" dimensionUniqueName="[Vare]" displayFolder="" count="0" unbalancedGroup="0"/>
    <cacheHierarchy uniqueName="[Vare].[Varekategori hierarki]" caption="Varekategori hierarki" defaultMemberUniqueName="[Vare].[Varekategori hierarki].[Alle]" allUniqueName="[Vare].[Varekategori hierarki].[Alle]" dimensionUniqueName="[Vare]" displayFolder="" count="0" unbalancedGroup="0"/>
    <cacheHierarchy uniqueName="[Vare].[Varekategorikode]" caption="Varekategorikode" attribute="1" defaultMemberUniqueName="[Vare].[Varekategorikode].[Alle]" allUniqueName="[Vare].[Varekategorikode].[Alle]" dimensionUniqueName="[Vare]" displayFolder="" count="0" unbalancedGroup="0"/>
    <cacheHierarchy uniqueName="[Vare].[VareNrSAP]" caption="VareNrSAP" attribute="1" defaultMemberUniqueName="[Vare].[VareNrSAP].[Alle]" allUniqueName="[Vare].[VareNrSAP].[Alle]" dimensionUniqueName="[Vare]" displayFolder="" count="0" unbalancedGroup="0"/>
    <cacheHierarchy uniqueName="[Vare].[Vareunderkategori Kode Navn]" caption="Vareunderkategori" attribute="1" defaultMemberUniqueName="[Vare].[Vareunderkategori Kode Navn].[Alle]" allUniqueName="[Vare].[Vareunderkategori Kode Navn].[Alle]" dimensionUniqueName="[Vare]" displayFolder="" count="0" unbalancedGroup="0"/>
    <cacheHierarchy uniqueName="[Vare].[Vareunderkategorikode]" caption="Vareunderkategorikode" attribute="1" defaultMemberUniqueName="[Vare].[Vareunderkategorikode].[Alle]" allUniqueName="[Vare].[Vareunderkategorikode].[Alle]" dimensionUniqueName="[Vare]" displayFolder="" count="0" unbalancedGroup="0"/>
    <cacheHierarchy uniqueName="[Vare].[Varevariant]" caption="Varevariant" attribute="1" defaultMemberUniqueName="[Vare].[Varevariant].[Alle]" allUniqueName="[Vare].[Varevariant].[Alle]" dimensionUniqueName="[Vare]" displayFolder="" count="0" unbalancedGroup="0"/>
    <cacheHierarchy uniqueName="[Vare].[Varevariant Portal]" caption="Varevariant Portal" attribute="1" defaultMemberUniqueName="[Vare].[Varevariant Portal].[Alle]" allUniqueName="[Vare].[Varevariant Portal].[Alle]" dimensionUniqueName="[Vare]" displayFolder="" count="0" unbalancedGroup="0"/>
    <cacheHierarchy uniqueName="[Vare].[Varevariantkode]" caption="Varevariantkode" attribute="1" defaultMemberUniqueName="[Vare].[Varevariantkode].[Alle]" allUniqueName="[Vare].[Varevariantkode].[Alle]" dimensionUniqueName="[Vare]" displayFolder="" count="2" unbalanced="0" unbalancedGroup="0">
      <fieldsUsage count="2">
        <fieldUsage x="-1"/>
        <fieldUsage x="16"/>
      </fieldsUsage>
    </cacheHierarchy>
    <cacheHierarchy uniqueName="[Vare].[Vekt Akkumulering]" caption="Vekt Akkumulering" attribute="1" defaultMemberUniqueName="[Vare].[Vekt Akkumulering].[Alle]" allUniqueName="[Vare].[Vekt Akkumulering].[Alle]" dimensionUniqueName="[Vare]" displayFolder="" count="0" unbalancedGroup="0"/>
    <cacheHierarchy uniqueName="[Vektklasse].[Vektklasse]" caption="Vektklasse" attribute="1" defaultMemberUniqueName="[Vektklasse].[Vektklasse].[All]" allUniqueName="[Vektklasse].[Vektklasse].[All]" dimensionUniqueName="[Vektklasse]" displayFolder="" count="0" unbalancedGroup="0"/>
    <cacheHierarchy uniqueName="[Økonomisk Periode].[Dato]" caption="Dato" attribute="1" time="1" defaultMemberUniqueName="[Økonomisk Periode].[Dato].[Alle]" allUniqueName="[Økonomisk Periode].[Dato].[Alle]" dimensionUniqueName="[Økonomisk Periode]" displayFolder="" count="0" unbalancedGroup="0"/>
    <cacheHierarchy uniqueName="[Økonomisk Periode].[Måned]" caption="Måned" attribute="1" time="1" defaultMemberUniqueName="[Økonomisk Periode].[Måned].[Alle]" allUniqueName="[Økonomisk Periode].[Måned].[Alle]" dimensionUniqueName="[Økonomisk Periode]" displayFolder="" count="0" unbalancedGroup="0"/>
    <cacheHierarchy uniqueName="[Økonomisk Periode].[Regnskaps Uke Navn Aar]" caption="Uke/år avregnet" attribute="1" time="1" defaultMemberUniqueName="[Økonomisk Periode].[Regnskaps Uke Navn Aar].[Alle]" allUniqueName="[Økonomisk Periode].[Regnskaps Uke Navn Aar].[Alle]" dimensionUniqueName="[Økonomisk Periode]" displayFolder="" count="0" unbalancedGroup="0"/>
    <cacheHierarchy uniqueName="[Økonomisk Periode].[Regnskaps År - Måned]" caption="Periode avregnet" time="1" defaultMemberUniqueName="[Økonomisk Periode].[Regnskaps År - Måned].[Alle]" allUniqueName="[Økonomisk Periode].[Regnskaps År - Måned].[Alle]" dimensionUniqueName="[Økonomisk Periode]" displayFolder="" count="0" unbalancedGroup="0"/>
    <cacheHierarchy uniqueName="[Økonomisk Periode].[Regnskapskvartal]" caption="Kvartal/år avregnet" attribute="1" time="1" defaultMemberUniqueName="[Økonomisk Periode].[Regnskapskvartal].[Alle]" allUniqueName="[Økonomisk Periode].[Regnskapskvartal].[Alle]" dimensionUniqueName="[Økonomisk Periode]" displayFolder="" count="0" unbalancedGroup="0"/>
    <cacheHierarchy uniqueName="[Økonomisk Periode].[Regnskapsmåned]" caption="Måned/år avregnet" attribute="1" time="1" defaultMemberUniqueName="[Økonomisk Periode].[Regnskapsmåned].[Alle]" allUniqueName="[Økonomisk Periode].[Regnskapsmåned].[Alle]" dimensionUniqueName="[Økonomisk Periode]" displayFolder="" count="0" unbalancedGroup="0"/>
    <cacheHierarchy uniqueName="[Økonomisk Periode].[Regnskapsmaaned Nr]" caption="Måned avregnet" attribute="1" time="1" defaultMemberUniqueName="[Økonomisk Periode].[Regnskapsmaaned Nr].[Alle]" allUniqueName="[Økonomisk Periode].[Regnskapsmaaned Nr].[Alle]" dimensionUniqueName="[Økonomisk Periode]" displayFolder="" count="0" unbalancedGroup="0"/>
    <cacheHierarchy uniqueName="[Økonomisk Periode].[Regnskapsuke Nr]" caption="Uke avregnet" attribute="1" time="1" defaultMemberUniqueName="[Økonomisk Periode].[Regnskapsuke Nr].[Alle]" allUniqueName="[Økonomisk Periode].[Regnskapsuke Nr].[Alle]" dimensionUniqueName="[Økonomisk Periode]" displayFolder="" count="0" unbalancedGroup="0"/>
    <cacheHierarchy uniqueName="[Økonomisk Periode].[Regnskapsår]" caption="År avregnet" attribute="1" time="1" defaultMemberUniqueName="[Økonomisk Periode].[Regnskapsår].[Alle]" allUniqueName="[Økonomisk Periode].[Regnskapsår].[Alle]" dimensionUniqueName="[Økonomisk Periode]" displayFolder="" count="0" unbalancedGroup="0"/>
    <cacheHierarchy uniqueName="[Økonomisk Periode Kalkuleringer].[Økonomisk Periode Kalkuleringer]" caption="Periode Avregnet kalkulering" attribute="1" keyAttribute="1" defaultMemberUniqueName="[Økonomisk Periode Kalkuleringer].[Økonomisk Periode Kalkuleringer].&amp;[Denne periode]" allUniqueName="[Økonomisk Periode Kalkuleringer].[Økonomisk Periode Kalkuleringer].[All]" dimensionUniqueName="[Økonomisk Periode Kalkuleringer]" displayFolder="" count="0" unbalancedGroup="0"/>
    <cacheHierarchy uniqueName="[Økonomisk Periode Nova].[Dato]" caption="Dato" attribute="1" time="1" defaultMemberUniqueName="[Økonomisk Periode Nova].[Dato].[Alle]" allUniqueName="[Økonomisk Periode Nova].[Dato].[Alle]" dimensionUniqueName="[Økonomisk Periode Nova]" displayFolder="" count="0" unbalancedGroup="0"/>
    <cacheHierarchy uniqueName="[Økonomisk Periode Nova].[Måned]" caption="Måned" attribute="1" time="1" defaultMemberUniqueName="[Økonomisk Periode Nova].[Måned].[Alle]" allUniqueName="[Økonomisk Periode Nova].[Måned].[Alle]" dimensionUniqueName="[Økonomisk Periode Nova]" displayFolder="" count="0" unbalancedGroup="0"/>
    <cacheHierarchy uniqueName="[Økonomisk Periode Nova].[Uke År]" caption="Uke År" attribute="1" time="1" defaultMemberUniqueName="[Økonomisk Periode Nova].[Uke År].[Alle]" allUniqueName="[Økonomisk Periode Nova].[Uke År].[Alle]" dimensionUniqueName="[Økonomisk Periode Nova]" displayFolder="" count="0" unbalancedGroup="0"/>
    <cacheHierarchy uniqueName="[Økonomisk Periode Nova].[År - Måned - Dag]" caption="År - Måned - Dag" time="1" defaultMemberUniqueName="[Økonomisk Periode Nova].[År - Måned - Dag].[All]" allUniqueName="[Økonomisk Periode Nova].[År - Måned - Dag].[All]" dimensionUniqueName="[Økonomisk Periode Nova]" displayFolder="" count="0" unbalancedGroup="0"/>
    <cacheHierarchy uniqueName="[Økonomisk Periode Nova].[År - Uke - Dag]" caption="År - Uke - Dag" time="1" defaultMemberUniqueName="[Økonomisk Periode Nova].[År - Uke - Dag].[All]" allUniqueName="[Økonomisk Periode Nova].[År - Uke - Dag].[All]" dimensionUniqueName="[Økonomisk Periode Nova]" displayFolder="" count="0" unbalancedGroup="0"/>
    <cacheHierarchy uniqueName="[Økonomisk Periode Nova].[År mnd]" caption="År mnd" attribute="1" time="1" defaultMemberUniqueName="[Økonomisk Periode Nova].[År mnd].[Alle]" allUniqueName="[Økonomisk Periode Nova].[År mnd].[Alle]" dimensionUniqueName="[Økonomisk Periode Nova]" displayFolder="" count="0" unbalancedGroup="0"/>
    <cacheHierarchy uniqueName="[Økonomisk Periode Nova].[År uke]" caption="År uke" attribute="1" time="1" defaultMemberUniqueName="[Økonomisk Periode Nova].[År uke].[Alle]" allUniqueName="[Økonomisk Periode Nova].[År uke].[Alle]" dimensionUniqueName="[Økonomisk Periode Nova]" displayFolder="" count="0" unbalancedGroup="0"/>
    <cacheHierarchy uniqueName="[Anmerkningstype].[PK_Anmerkningstype_Dim]" caption="PK_Anmerkningstype_Dim" attribute="1" keyAttribute="1" defaultMemberUniqueName="[Anmerkningstype].[PK_Anmerkningstype_Dim].[Alle]" allUniqueName="[Anmerkningstype].[PK_Anmerkningstype_Dim].[Alle]" dimensionUniqueName="[Anmerkningstype]" displayFolder="" count="0" unbalancedGroup="0" hidden="1"/>
    <cacheHierarchy uniqueName="[Avdeling].[Fabrikk gyldig fra]" caption="Fabrikk gyldig fra" attribute="1" defaultMemberUniqueName="[Avdeling].[Fabrikk gyldig fra].[Alle]" allUniqueName="[Avdeling].[Fabrikk gyldig fra].[Alle]" dimensionUniqueName="[Avdeling]" displayFolder="" count="0" unbalancedGroup="0" hidden="1"/>
    <cacheHierarchy uniqueName="[Avdeling].[Fabrikk gyldig til]" caption="Fabrikk gyldig til" attribute="1" defaultMemberUniqueName="[Avdeling].[Fabrikk gyldig til].[Alle]" allUniqueName="[Avdeling].[Fabrikk gyldig til].[Alle]" dimensionUniqueName="[Avdeling]" displayFolder="" count="0" unbalancedGroup="0" hidden="1"/>
    <cacheHierarchy uniqueName="[Avdeling].[Fabrikkbeskrivelse]" caption="Fabrikkbeskrivelse" attribute="1" defaultMemberUniqueName="[Avdeling].[Fabrikkbeskrivelse].[Alle]" allUniqueName="[Avdeling].[Fabrikkbeskrivelse].[Alle]" dimensionUniqueName="[Avdeling]" displayFolder="" count="0" unbalancedGroup="0" hidden="1"/>
    <cacheHierarchy uniqueName="[Avdeling].[PK Avdeling Dim]" caption="PK Avdeling Dim" attribute="1" keyAttribute="1" defaultMemberUniqueName="[Avdeling].[PK Avdeling Dim].[Alle]" allUniqueName="[Avdeling].[PK Avdeling Dim].[Alle]" dimensionUniqueName="[Avdeling]" displayFolder="" count="0" unbalancedGroup="0" hidden="1"/>
    <cacheHierarchy uniqueName="[Avdeling].[Registrert Av]" caption="Registrert Av" attribute="1" defaultMemberUniqueName="[Avdeling].[Registrert Av].[Alle]" allUniqueName="[Avdeling].[Registrert Av].[Alle]" dimensionUniqueName="[Avdeling]" displayFolder="" count="0" unbalancedGroup="0" hidden="1"/>
    <cacheHierarchy uniqueName="[Avdeling].[Registrert Dato]" caption="Registrert Dato" attribute="1" defaultMemberUniqueName="[Avdeling].[Registrert Dato].[Alle]" allUniqueName="[Avdeling].[Registrert Dato].[Alle]" dimensionUniqueName="[Avdeling]" displayFolder="" count="0" unbalancedGroup="0" hidden="1"/>
    <cacheHierarchy uniqueName="[Avregning].[FK Leverandoer Dim]" caption="FK Leverandoer Dim" attribute="1" defaultMemberUniqueName="[Avregning].[FK Leverandoer Dim].[Alle]" allUniqueName="[Avregning].[FK Leverandoer Dim].[Alle]" dimensionUniqueName="[Avregning]" displayFolder="" count="0" unbalancedGroup="0" hidden="1"/>
    <cacheHierarchy uniqueName="[Avregning].[PK Avregning Fak]" caption="PK Avregning Fak" attribute="1" keyAttribute="1" defaultMemberUniqueName="[Avregning].[PK Avregning Fak].[Alle]" allUniqueName="[Avregning].[PK Avregning Fak].[Alle]" dimensionUniqueName="[Avregning]" displayFolder="" count="0" unbalancedGroup="0" hidden="1"/>
    <cacheHierarchy uniqueName="[Datakilde].[PK_System_Dim]" caption="PK_System_Dim" attribute="1" keyAttribute="1" defaultMemberUniqueName="[Datakilde].[PK_System_Dim].[Alle]" allUniqueName="[Datakilde].[PK_System_Dim].[Alle]" dimensionUniqueName="[Datakilde]" displayFolder="" count="0" unbalancedGroup="0" hidden="1"/>
    <cacheHierarchy uniqueName="[Kunde].[FK Medlemskrets Dim]" caption="FK Medlemskrets Dim" attribute="1" defaultMemberUniqueName="[Kunde].[FK Medlemskrets Dim].[Alle]" allUniqueName="[Kunde].[FK Medlemskrets Dim].[Alle]" dimensionUniqueName="[Kunde]" displayFolder="" count="0" unbalancedGroup="0" hidden="1"/>
    <cacheHierarchy uniqueName="[Kunde].[FK Medlemssenter Dim]" caption="FK Medlemssenter Dim" attribute="1" defaultMemberUniqueName="[Kunde].[FK Medlemssenter Dim].[Alle]" allUniqueName="[Kunde].[FK Medlemssenter Dim].[Alle]" dimensionUniqueName="[Kunde]" displayFolder="" count="0" unbalancedGroup="0" hidden="1"/>
    <cacheHierarchy uniqueName="[Kunde].[Fylkes Nr]" caption="Fylkes Nr" attribute="1" defaultMemberUniqueName="[Kunde].[Fylkes Nr].[Alle]" allUniqueName="[Kunde].[Fylkes Nr].[Alle]" dimensionUniqueName="[Kunde]" displayFolder="" count="0" unbalancedGroup="0" hidden="1"/>
    <cacheHierarchy uniqueName="[Kunde].[Kommune nr]" caption="Kommune nr" attribute="1" defaultMemberUniqueName="[Kunde].[Kommune nr].[Alle]" allUniqueName="[Kunde].[Kommune nr].[Alle]" dimensionUniqueName="[Kunde]" displayFolder="" count="0" unbalancedGroup="0" hidden="1"/>
    <cacheHierarchy uniqueName="[Kunde].[PK Kunde Dim]" caption="PK Kunde Dim" attribute="1" keyAttribute="1" defaultMemberUniqueName="[Kunde].[PK Kunde Dim].[Alle]" allUniqueName="[Kunde].[PK Kunde Dim].[Alle]" dimensionUniqueName="[Kunde]" displayFolder="" count="0" unbalancedGroup="0" hidden="1"/>
    <cacheHierarchy uniqueName="[Kunde].[Registrert av]" caption="Registrert av" attribute="1" defaultMemberUniqueName="[Kunde].[Registrert av].[Alle]" allUniqueName="[Kunde].[Registrert av].[Alle]" dimensionUniqueName="[Kunde]" displayFolder="" count="0" unbalancedGroup="0" hidden="1"/>
    <cacheHierarchy uniqueName="[Kunde].[Registrert dato]" caption="Registrert dato" attribute="1" defaultMemberUniqueName="[Kunde].[Registrert dato].[Alle]" allUniqueName="[Kunde].[Registrert dato].[Alle]" dimensionUniqueName="[Kunde]" displayFolder="" count="0" unbalancedGroup="0" hidden="1"/>
    <cacheHierarchy uniqueName="[Leverandør].[FK Medlemskrets Dim]" caption="FK Medlemskrets Dim" attribute="1" defaultMemberUniqueName="[Leverandør].[FK Medlemskrets Dim].[Alle]" allUniqueName="[Leverandør].[FK Medlemskrets Dim].[Alle]" dimensionUniqueName="[Leverandør]" displayFolder="" count="0" unbalancedGroup="0" hidden="1"/>
    <cacheHierarchy uniqueName="[Leverandør].[FK Medlemssenter Dim]" caption="FK Medlemssenter Dim" attribute="1" defaultMemberUniqueName="[Leverandør].[FK Medlemssenter Dim].[Alle]" allUniqueName="[Leverandør].[FK Medlemssenter Dim].[Alle]" dimensionUniqueName="[Leverandør]" displayFolder="" count="0" unbalancedGroup="0" hidden="1"/>
    <cacheHierarchy uniqueName="[Leverandør].[PK Leverandoer Dim]" caption="PK Leverandoer Dim" attribute="1" keyAttribute="1" defaultMemberUniqueName="[Leverandør].[PK Leverandoer Dim].[Alle]" allUniqueName="[Leverandør].[PK Leverandoer Dim].[Alle]" dimensionUniqueName="[Leverandør]" displayFolder="" count="0" unbalancedGroup="0" hidden="1"/>
    <cacheHierarchy uniqueName="[Leverandør].[Registrert av]" caption="Registrert av" attribute="1" defaultMemberUniqueName="[Leverandør].[Registrert av].[Alle]" allUniqueName="[Leverandør].[Registrert av].[Alle]" dimensionUniqueName="[Leverandør]" displayFolder="" count="0" unbalancedGroup="0" hidden="1"/>
    <cacheHierarchy uniqueName="[Leverandør].[Registrert dato]" caption="Registrert dato" attribute="1" defaultMemberUniqueName="[Leverandør].[Registrert dato].[Alle]" allUniqueName="[Leverandør].[Registrert dato].[Alle]" dimensionUniqueName="[Leverandør]" displayFolder="" count="0" unbalancedGroup="0" hidden="1"/>
    <cacheHierarchy uniqueName="[Livdyrsalg].[FK_Medlemskrets_Dim]" caption="FK_Medlemskrets_Dim" attribute="1" defaultMemberUniqueName="[Livdyrsalg].[FK_Medlemskrets_Dim].[All]" allUniqueName="[Livdyrsalg].[FK_Medlemskrets_Dim].[All]" dimensionUniqueName="[Livdyrsalg]" displayFolder="" count="0" unbalancedGroup="0" hidden="1"/>
    <cacheHierarchy uniqueName="[Livdyrsalg].[FK_Medlemssenter_Dim]" caption="FK_Medlemssenter_Dim" attribute="1" defaultMemberUniqueName="[Livdyrsalg].[FK_Medlemssenter_Dim].[All]" allUniqueName="[Livdyrsalg].[FK_Medlemssenter_Dim].[All]" dimensionUniqueName="[Livdyrsalg]" displayFolder="" count="0" unbalancedGroup="0" hidden="1"/>
    <cacheHierarchy uniqueName="[Livdyrsalg].[PK_Livdyrsalg_Fak]" caption="PK_Livdyrsalg_Fak" attribute="1" keyAttribute="1" defaultMemberUniqueName="[Livdyrsalg].[PK_Livdyrsalg_Fak].[All]" allUniqueName="[Livdyrsalg].[PK_Livdyrsalg_Fak].[All]" dimensionUniqueName="[Livdyrsalg]" displayFolder="" count="0" unbalancedGroup="0" hidden="1"/>
    <cacheHierarchy uniqueName="[Medlemskrets].[PK Medlemskrets Dim]" caption="PK Medlemskrets Dim" attribute="1" keyAttribute="1" defaultMemberUniqueName="[Medlemskrets].[PK Medlemskrets Dim].[Alle]" allUniqueName="[Medlemskrets].[PK Medlemskrets Dim].[Alle]" dimensionUniqueName="[Medlemskrets]" displayFolder="" count="0" unbalancedGroup="0" hidden="1"/>
    <cacheHierarchy uniqueName="[Medlemssenter].[PK Medlemssenter Dim]" caption="PK Medlemssenter Dim" attribute="1" keyAttribute="1" defaultMemberUniqueName="[Medlemssenter].[PK Medlemssenter Dim].[All]" allUniqueName="[Medlemssenter].[PK Medlemssenter Dim].[All]" dimensionUniqueName="[Medlemssenter]" displayFolder="" count="0" unbalancedGroup="0" hidden="1"/>
    <cacheHierarchy uniqueName="[MinSide Kjøttprosent].[PK Min Side Kjoettprosent Dim]" caption="PK Min Side Kjoettprosent Dim" attribute="1" keyAttribute="1" defaultMemberUniqueName="[MinSide Kjøttprosent].[PK Min Side Kjoettprosent Dim].[All]" allUniqueName="[MinSide Kjøttprosent].[PK Min Side Kjoettprosent Dim].[All]" dimensionUniqueName="[MinSide Kjøttprosent]" displayFolder="" count="0" unbalancedGroup="0" hidden="1"/>
    <cacheHierarchy uniqueName="[MinSide Vektklasse].[PK Min Side Vektklasse Dim]" caption="PK Min Side Vektklasse Dim" attribute="1" keyAttribute="1" defaultMemberUniqueName="[MinSide Vektklasse].[PK Min Side Vektklasse Dim].[All]" allUniqueName="[MinSide Vektklasse].[PK Min Side Vektklasse Dim].[All]" dimensionUniqueName="[MinSide Vektklasse]" displayFolder="" count="0" unbalancedGroup="0" hidden="1"/>
    <cacheHierarchy uniqueName="[Mottatt Periode].[Periode Id]" caption="Periode Id" attribute="1" time="1" defaultMemberUniqueName="[Mottatt Periode].[Periode Id].[Alle]" allUniqueName="[Mottatt Periode].[Periode Id].[Alle]" dimensionUniqueName="[Mottatt Periode]" displayFolder="" count="0" unbalancedGroup="0" hidden="1"/>
    <cacheHierarchy uniqueName="[Mottatt Periode].[PK Periode Dim]" caption="PK Periode Dim" attribute="1" time="1" keyAttribute="1" defaultMemberUniqueName="[Mottatt Periode].[PK Periode Dim].[Alle]" allUniqueName="[Mottatt Periode].[PK Periode Dim].[Alle]" dimensionUniqueName="[Mottatt Periode]" displayFolder="" count="0" memberValueDatatype="3" unbalancedGroup="0" hidden="1"/>
    <cacheHierarchy uniqueName="[Mottatt Periode Nova].[Periode Id]" caption="Periode Id" attribute="1" time="1" defaultMemberUniqueName="[Mottatt Periode Nova].[Periode Id].[Alle]" allUniqueName="[Mottatt Periode Nova].[Periode Id].[Alle]" dimensionUniqueName="[Mottatt Periode Nova]" displayFolder="" count="0" unbalancedGroup="0" hidden="1"/>
    <cacheHierarchy uniqueName="[Mottatt Periode Nova].[PK Periode Dim]" caption="PK Periode Dim" attribute="1" time="1" keyAttribute="1" defaultMemberUniqueName="[Mottatt Periode Nova].[PK Periode Dim].[Alle]" allUniqueName="[Mottatt Periode Nova].[PK Periode Dim].[Alle]" dimensionUniqueName="[Mottatt Periode Nova]" displayFolder="" count="0" memberValueDatatype="3" unbalancedGroup="0" hidden="1"/>
    <cacheHierarchy uniqueName="[ProfitCenter].[PK Profit Center Dim]" caption="PK Profit Center Dim" attribute="1" keyAttribute="1" defaultMemberUniqueName="[ProfitCenter].[PK Profit Center Dim].[All]" allUniqueName="[ProfitCenter].[PK Profit Center Dim].[All]" dimensionUniqueName="[ProfitCenter]" displayFolder="" count="0" unbalancedGroup="0" hidden="1"/>
    <cacheHierarchy uniqueName="[Rase].[PK Rase Dim]" caption="PK Rase Dim" attribute="1" keyAttribute="1" defaultMemberUniqueName="[Rase].[PK Rase Dim].[All]" allUniqueName="[Rase].[PK Rase Dim].[All]" dimensionUniqueName="[Rase]" displayFolder="" count="0" unbalancedGroup="0" hidden="1"/>
    <cacheHierarchy uniqueName="[Referanse1].[Referanse1Navn]" caption="Referanse1Navn" attribute="1" keyAttribute="1" defaultMemberUniqueName="[Referanse1].[Referanse1Navn].[All]" allUniqueName="[Referanse1].[Referanse1Navn].[All]" dimensionUniqueName="[Referanse1]" displayFolder="" count="0" unbalancedGroup="0" hidden="1"/>
    <cacheHierarchy uniqueName="[Referanse2].[Referanse2Navn]" caption="Referanse2Navn" attribute="1" keyAttribute="1" defaultMemberUniqueName="[Referanse2].[Referanse2Navn].[All]" allUniqueName="[Referanse2].[Referanse2Navn].[All]" dimensionUniqueName="[Referanse2]" displayFolder="" count="0" unbalancedGroup="0" hidden="1"/>
    <cacheHierarchy uniqueName="[Rådgivning].[PK_Salg_Raadgivning_Fak]" caption="PK_Salg_Raadgivning_Fak" attribute="1" keyAttribute="1" defaultMemberUniqueName="[Rådgivning].[PK_Salg_Raadgivning_Fak].[All]" allUniqueName="[Rådgivning].[PK_Salg_Raadgivning_Fak].[All]" dimensionUniqueName="[Rådgivning]" displayFolder="" count="0" unbalancedGroup="0" hidden="1"/>
    <cacheHierarchy uniqueName="[Salgsordretype].[PK_Salgsordretype_Dim]" caption="PK_Salgsordretype_Dim" attribute="1" keyAttribute="1" defaultMemberUniqueName="[Salgsordretype].[PK_Salgsordretype_Dim].[All]" allUniqueName="[Salgsordretype].[PK_Salgsordretype_Dim].[All]" dimensionUniqueName="[Salgsordretype]" displayFolder="" count="0" unbalancedGroup="0" hidden="1"/>
    <cacheHierarchy uniqueName="[Tilfoerselsomraade].[PK Tilfoerselsomraade Dim]" caption="PK Tilfoerselsomraade Dim" attribute="1" keyAttribute="1" defaultMemberUniqueName="[Tilfoerselsomraade].[PK Tilfoerselsomraade Dim].[All]" allUniqueName="[Tilfoerselsomraade].[PK Tilfoerselsomraade Dim].[All]" dimensionUniqueName="[Tilfoerselsomraade]" displayFolder="" count="0" unbalancedGroup="0" hidden="1"/>
    <cacheHierarchy uniqueName="[Vare].[Avregningstype1]" caption="Avregningstype1" attribute="1" defaultMemberUniqueName="[Vare].[Avregningstype1].[Alle]" allUniqueName="[Vare].[Avregningstype1].[Alle]" dimensionUniqueName="[Vare]" displayFolder="" count="0" unbalancedGroup="0" hidden="1"/>
    <cacheHierarchy uniqueName="[Vare].[Avregningsvarevariantkode]" caption="Avregningsvarevariantkode" attribute="1" defaultMemberUniqueName="[Vare].[Avregningsvarevariantkode].[Alle]" allUniqueName="[Vare].[Avregningsvarevariantkode].[Alle]" dimensionUniqueName="[Vare]" displayFolder="" count="2" unbalanced="0" unbalancedGroup="0" hidden="1">
      <fieldsUsage count="2">
        <fieldUsage x="-1"/>
        <fieldUsage x="6"/>
      </fieldsUsage>
    </cacheHierarchy>
    <cacheHierarchy uniqueName="[Vare].[PK Vare Dim]" caption="PK Vare Dim" attribute="1" keyAttribute="1" defaultMemberUniqueName="[Vare].[PK Vare Dim].[Alle]" allUniqueName="[Vare].[PK Vare Dim].[Alle]" dimensionUniqueName="[Vare]" displayFolder="" count="0" unbalancedGroup="0" hidden="1"/>
    <cacheHierarchy uniqueName="[Vare].[Varehovedkategori]" caption="Varehovedkategori" attribute="1" defaultMemberUniqueName="[Vare].[Varehovedkategori].[Alle]" allUniqueName="[Vare].[Varehovedkategori].[Alle]" dimensionUniqueName="[Vare]" displayFolder="" count="0" unbalancedGroup="0" hidden="1"/>
    <cacheHierarchy uniqueName="[Vare].[Varekategori]" caption="Varekategori" attribute="1" defaultMemberUniqueName="[Vare].[Varekategori].[Alle]" allUniqueName="[Vare].[Varekategori].[Alle]" dimensionUniqueName="[Vare]" displayFolder="" count="0" unbalancedGroup="0" hidden="1"/>
    <cacheHierarchy uniqueName="[Vare].[Vareunderkategori]" caption="Vareunderkategori" attribute="1" defaultMemberUniqueName="[Vare].[Vareunderkategori].[Alle]" allUniqueName="[Vare].[Vareunderkategori].[Alle]" dimensionUniqueName="[Vare]" displayFolder="" count="0" unbalancedGroup="0" hidden="1"/>
    <cacheHierarchy uniqueName="[Vektklasse].[PK Vektklasse Dim]" caption="PK Vektklasse Dim" attribute="1" keyAttribute="1" defaultMemberUniqueName="[Vektklasse].[PK Vektklasse Dim].[All]" allUniqueName="[Vektklasse].[PK Vektklasse Dim].[All]" dimensionUniqueName="[Vektklasse]" displayFolder="" count="0" unbalancedGroup="0" hidden="1"/>
    <cacheHierarchy uniqueName="[Økonomisk Periode].[Oekonomisk Periode Id]" caption="Oekonomisk Periode Id" attribute="1" time="1" defaultMemberUniqueName="[Økonomisk Periode].[Oekonomisk Periode Id].[Alle]" allUniqueName="[Økonomisk Periode].[Oekonomisk Periode Id].[Alle]" dimensionUniqueName="[Økonomisk Periode]" displayFolder="" count="0" unbalancedGroup="0" hidden="1"/>
    <cacheHierarchy uniqueName="[Økonomisk Periode].[PK Oekonomisk Periode Dim]" caption="PK Oekonomisk Periode Dim" attribute="1" time="1" keyAttribute="1" defaultMemberUniqueName="[Økonomisk Periode].[PK Oekonomisk Periode Dim].[Alle]" allUniqueName="[Økonomisk Periode].[PK Oekonomisk Periode Dim].[Alle]" dimensionUniqueName="[Økonomisk Periode]" displayFolder="" count="0" memberValueDatatype="3" unbalancedGroup="0" hidden="1"/>
    <cacheHierarchy uniqueName="[Økonomisk Periode].[Regnskapsuke]" caption="Ukenr avregnet" attribute="1" time="1" defaultMemberUniqueName="[Økonomisk Periode].[Regnskapsuke].[Alle]" allUniqueName="[Økonomisk Periode].[Regnskapsuke].[Alle]" dimensionUniqueName="[Økonomisk Periode]" displayFolder="" count="0" unbalancedGroup="0" hidden="1"/>
    <cacheHierarchy uniqueName="[Økonomisk Periode Nova].[Oekonomisk Periode Id]" caption="Oekonomisk Periode Id" attribute="1" time="1" defaultMemberUniqueName="[Økonomisk Periode Nova].[Oekonomisk Periode Id].[Alle]" allUniqueName="[Økonomisk Periode Nova].[Oekonomisk Periode Id].[Alle]" dimensionUniqueName="[Økonomisk Periode Nova]" displayFolder="" count="0" unbalancedGroup="0" hidden="1"/>
    <cacheHierarchy uniqueName="[Økonomisk Periode Nova].[PK Oekonomisk Periode Dim]" caption="PK Oekonomisk Periode Dim" attribute="1" time="1" keyAttribute="1" defaultMemberUniqueName="[Økonomisk Periode Nova].[PK Oekonomisk Periode Dim].[Alle]" allUniqueName="[Økonomisk Periode Nova].[PK Oekonomisk Periode Dim].[Alle]" dimensionUniqueName="[Økonomisk Periode Nova]" displayFolder="" count="0" memberValueDatatype="3" unbalancedGroup="0" hidden="1"/>
    <cacheHierarchy uniqueName="[Measures].[Antall]" caption="Antall" measure="1" displayFolder="" measureGroup="Avregning" count="0"/>
    <cacheHierarchy uniqueName="[Measures].[Vekt]" caption="Vekt" measure="1" displayFolder="" measureGroup="Avregning" count="0"/>
    <cacheHierarchy uniqueName="[Measures].[Beløp]" caption="Beløp" measure="1" displayFolder="" measureGroup="Avregning" count="0" oneField="1">
      <fieldsUsage count="1">
        <fieldUsage x="21"/>
      </fieldsUsage>
    </cacheHierarchy>
    <cacheHierarchy uniqueName="[Measures].[Antall rader]" caption="Antall avregningslinjer" measure="1" displayFolder="" measureGroup="Avregning" count="0"/>
    <cacheHierarchy uniqueName="[Measures].[Fettverdi]" caption="Fettverdi" measure="1" displayFolder="" measureGroup="Avregning" count="0"/>
    <cacheHierarchy uniqueName="[Measures].[Kjøttprosent]" caption="Kjøttprosent" measure="1" displayFolder="" measureGroup="Avregning" count="0"/>
    <cacheHierarchy uniqueName="[Measures].[Klasseverdi]" caption="Klasseverdi" measure="1" displayFolder="" measureGroup="Avregning" count="0"/>
    <cacheHierarchy uniqueName="[Measures].[Avregningsammendrag Antall]" caption="Avregningsammendrag Antall" measure="1" displayFolder="" measureGroup="Avregning" count="0"/>
    <cacheHierarchy uniqueName="[Measures].[Avregningsammendrag Vekt]" caption="Avregningsammendrag Vekt" measure="1" displayFolder="" measureGroup="Avregning" count="0"/>
    <cacheHierarchy uniqueName="[Measures].[Kjoereseddel Nr]" caption="Antall kjøresedler" measure="1" displayFolder="" measureGroup="Avregning" count="0"/>
    <cacheHierarchy uniqueName="[Measures].[Individ Alder Dager]" caption="Individ Alder Dager" measure="1" displayFolder="" measureGroup="Avregning" count="0"/>
    <cacheHierarchy uniqueName="[Measures].[Foedselsvekt]" caption="Fødselsvekt sum" measure="1" displayFolder="" measureGroup="Avregning" count="0"/>
    <cacheHierarchy uniqueName="[Measures].[Sum Tillegg Individ Spesifikt]" caption="Sum Tillegg Individ Spesifikt" measure="1" displayFolder="" measureGroup="Avregning" count="0"/>
    <cacheHierarchy uniqueName="[Measures].[Beløp fakturert]" caption="Beløp fakturert" measure="1" displayFolder="" measureGroup="Livdyrsalg" count="0"/>
    <cacheHierarchy uniqueName="[Measures].[Vekt fakturert]" caption="Vekt fakturert" measure="1" displayFolder="" measureGroup="Livdyrsalg" count="0"/>
    <cacheHierarchy uniqueName="[Measures].[Antall fakturert]" caption="Antall fakturert" measure="1" displayFolder="" measureGroup="Livdyrsalg" count="0"/>
    <cacheHierarchy uniqueName="[Measures].[Beløp fakturert rådgivning]" caption="Beløp fakturert rådgivning" measure="1" displayFolder="" measureGroup="Rådgivningsalg" count="0"/>
    <cacheHierarchy uniqueName="[Measures].[Antall fakturert rådgivning]" caption="Antall fakturert rådgivning" measure="1" displayFolder="" measureGroup="Rådgivningsalg" count="0"/>
    <cacheHierarchy uniqueName="[Measures].[Antall Individ]" caption="Antall individ med anmerkning" measure="1" displayFolder="" measureGroup="Anmerkning" count="0"/>
    <cacheHierarchy uniqueName="[Measures].[Antall Anmerkning]" caption="Antall anmerkning" measure="1" displayFolder="" measureGroup="Anmerkning" count="0"/>
    <cacheHierarchy uniqueName="[Measures].[Antall individ med sykdomsanmerkning]" caption="Antall individ med sykdomsanmerkning" measure="1" displayFolder="" measureGroup="Anmerkning" count="0"/>
    <cacheHierarchy uniqueName="[Measures].[Antall Kassert]" caption="Antall kassert" measure="1" displayFolder="" measureGroup="Anmerkning" count="0"/>
    <cacheHierarchy uniqueName="[Measures].[Teller]" caption="Teller" measure="1" displayFolder="" measureGroup="Produsent Egenskap" count="0"/>
    <cacheHierarchy uniqueName="[Measures].[Dato1 KE]" caption="Dato1 KE" measure="1" displayFolder="" measureGroup="Kunde Egenskap" count="0"/>
    <cacheHierarchy uniqueName="[Measures].[Dato2 KE]" caption="Dato2 KE" measure="1" displayFolder="" measureGroup="Kunde Egenskap" count="0"/>
    <cacheHierarchy uniqueName="[Measures].[Dato3 KE]" caption="Dato3 KE" measure="1" displayFolder="" measureGroup="Kunde Egenskap" count="0"/>
    <cacheHierarchy uniqueName="[Measures].[Teller KE]" caption="Teller KE" measure="1" displayFolder="" measureGroup="Kunde Egenskap" count="0"/>
    <cacheHierarchy uniqueName="[Measures].[Budsjett Vekt]" caption="Budsjett Vekt" measure="1" displayFolder="" measureGroup="Tilførselsbudsjett" count="0"/>
    <cacheHierarchy uniqueName="[Measures].[Budsjett Antall]" caption="Budsjett Antall" measure="1" displayFolder="" measureGroup="Tilførselsbudsjett" count="0"/>
    <cacheHierarchy uniqueName="[Measures].[Dato1]" caption="Dato1" measure="1" displayFolder="Produsent Egenskap" measureGroup="Produsent Egenskap" count="0"/>
    <cacheHierarchy uniqueName="[Measures].[Dato2]" caption="Dato2" measure="1" displayFolder="Produsent Egenskap" measureGroup="Produsent Egenskap" count="0"/>
    <cacheHierarchy uniqueName="[Measures].[Dato3]" caption="Dato3" measure="1" displayFolder="Produsent Egenskap" measureGroup="Produsent Egenskap" count="0"/>
    <cacheHierarchy uniqueName="[Measures].[Beløp % av forelder]" caption="Beløp % av overordnet" measure="1" displayFolder="" measureGroup="Avregning" count="0"/>
    <cacheHierarchy uniqueName="[Measures].[Vekt % av forelder]" caption="Vekt % av overordnet" measure="1" displayFolder="" measureGroup="Avregning" count="0"/>
    <cacheHierarchy uniqueName="[Measures].[Gj snitt Kjøtt%]" caption="Gj snitt Kjøtt%" measure="1" displayFolder="" measureGroup="Avregning" count="0"/>
    <cacheHierarchy uniqueName="[Measures].[Gj snitt Klasseverdi]" caption="Gj snitt Klasseverdi" measure="1" displayFolder="" measureGroup="Avregning" count="0"/>
    <cacheHierarchy uniqueName="[Measures].[Gj snitt Fettverdi]" caption="Gj snitt Fettverdi" measure="1" displayFolder="" measureGroup="Avregning" count="0"/>
    <cacheHierarchy uniqueName="[Measures].[Gj snitt Individ alder]" caption="Gj snitt Individ alder" measure="1" displayFolder="" measureGroup="Avregning" count="0"/>
    <cacheHierarchy uniqueName="[Measures].[Gj snitt Tilvekst]" caption="Gj snitt Tilvekst" measure="1" displayFolder="" measureGroup="Avregning" count="0"/>
    <cacheHierarchy uniqueName="[Measures].[Gj snitt beløp]" caption="Gj snitt beløp" measure="1" displayFolder="" measureGroup="Avregning" count="0"/>
    <cacheHierarchy uniqueName="[Measures].[Gj snitt vekt]" caption="Gj snitt vekt" measure="1" displayFolder="" measureGroup="Avregning" count="0"/>
    <cacheHierarchy uniqueName="[Measures].[DP i år.Antall Anmerkning]" caption="DP i år.Antall Anmerkning" measure="1" displayFolder="DP i år" measureGroup="Anmerkning" count="0"/>
    <cacheHierarchy uniqueName="[Measures].[H i år.Antall Anmerkning]" caption="H i år.Antall Anmerkning" measure="1" displayFolder="H i år" measureGroup="Anmerkning" count="0"/>
    <cacheHierarchy uniqueName="[Measures].[DP i år.Antall Individ]" caption="DP i år.Antall Individ" measure="1" displayFolder="DP i år" measureGroup="Anmerkning" count="0"/>
    <cacheHierarchy uniqueName="[Measures].[H i år.Antall Individ]" caption="H i år.Antall Individ" measure="1" displayFolder="H i år" measureGroup="Anmerkning" count="0"/>
    <cacheHierarchy uniqueName="[Measures].[DP i år.Antall Kassert]" caption="DP i år.Antall Kassert" measure="1" displayFolder="DP i år" measureGroup="Anmerkning" count="0"/>
    <cacheHierarchy uniqueName="[Measures].[H i år.Antall Kassert]" caption="H i år.Antall Kassert" measure="1" displayFolder="H i år" measureGroup="Anmerkning" count="0"/>
    <cacheHierarchy uniqueName="[Measures].[DP i år.Antall individ med sykdomsanmerkning]" caption="DP i år.Antall individ med sykdomsanmerkning" measure="1" displayFolder="DP i år" measureGroup="Anmerkning" count="0"/>
    <cacheHierarchy uniqueName="[Measures].[H i år.Antall individ med sykdomsanmerkning]" caption="H i år.Antall individ med sykdomsanmerkning" measure="1" displayFolder="H i år" measureGroup="Anmerkning" count="0"/>
    <cacheHierarchy uniqueName="[Measures].[Antall Anmerkning % av avregnet]" caption="Andel individ med anmerkning" measure="1" displayFolder="" measureGroup="Anmerkning" count="0"/>
    <cacheHierarchy uniqueName="[Measures].[Antall Anmerkning % av Foreldre]" caption="Andel av anmerkninger" measure="1" displayFolder="" measureGroup="Anmerkning" count="0"/>
    <cacheHierarchy uniqueName="[Measures].[DP i år.Antall]" caption="DP i år.Antall" measure="1" displayFolder="DP i år" measureGroup="Avregning" count="0"/>
    <cacheHierarchy uniqueName="[Measures].[H i år.Antall]" caption="H i år.Antall" measure="1" displayFolder="H i år" measureGroup="Avregning" count="0"/>
    <cacheHierarchy uniqueName="[Measures].[DP i år.Vekt]" caption="DP i år.Vekt" measure="1" displayFolder="DP i år" measureGroup="Avregning" count="0"/>
    <cacheHierarchy uniqueName="[Measures].[H i år.Vekt]" caption="H i år.Vekt" measure="1" displayFolder="H i år" measureGroup="Avregning" count="0"/>
    <cacheHierarchy uniqueName="[Measures].[DP i år.Beløp]" caption="DP i år.Beløp" measure="1" displayFolder="DP i år" measureGroup="Avregning" count="0"/>
    <cacheHierarchy uniqueName="[Measures].[H i år.Beløp]" caption="H i år.Beløp" measure="1" displayFolder="H i år" measureGroup="Avregning" count="0"/>
    <cacheHierarchy uniqueName="[Measures].[DP i år.Antall fakturert]" caption="DP i år.Antall fakturert" measure="1" displayFolder="DP i år" measureGroup="Livdyrsalg" count="0"/>
    <cacheHierarchy uniqueName="[Measures].[H i år.Antall fakturert]" caption="H i år.Antall fakturert" measure="1" displayFolder="H i år" measureGroup="Livdyrsalg" count="0"/>
    <cacheHierarchy uniqueName="[Measures].[DP i år.Vekt fakturert]" caption="DP i år.Vekt fakturert" measure="1" displayFolder="DP i år" measureGroup="Livdyrsalg" count="0"/>
    <cacheHierarchy uniqueName="[Measures].[H i år.Vekt fakturert]" caption="H i år.Vekt fakturert" measure="1" displayFolder="H i år" measureGroup="Livdyrsalg" count="0"/>
    <cacheHierarchy uniqueName="[Measures].[DP i år.Beløp fakturert]" caption="DP i år.Beløp fakturert" measure="1" displayFolder="DP i år" measureGroup="Livdyrsalg" count="0"/>
    <cacheHierarchy uniqueName="[Measures].[H i år.Beløp fakturert]" caption="H i år.Beløp fakturert" measure="1" displayFolder="H i år" measureGroup="Livdyrsalg" count="0"/>
    <cacheHierarchy uniqueName="[Measures].[DP i år.Antall fakturert rådgivning]" caption="DP i år.Antall fakturert rådgivning" measure="1" displayFolder="DP i år" measureGroup="Rådgivningsalg" count="0"/>
    <cacheHierarchy uniqueName="[Measures].[H i år.Antall fakturert rådgivning]" caption="H i år.Antall fakturert rådgivning" measure="1" displayFolder="H i år" measureGroup="Rådgivningsalg" count="0"/>
    <cacheHierarchy uniqueName="[Measures].[DP i år.Beløp fakturert rådgivning]" caption="DP i år.Beløp fakturert rådgivning" measure="1" displayFolder="DP i år" measureGroup="Rådgivningsalg" count="0"/>
    <cacheHierarchy uniqueName="[Measures].[H i år.Beløp fakturert rådgivning]" caption="H i år.Beløp fakturert rådgivning" measure="1" displayFolder="H i år" measureGroup="Rådgivningsalg" count="0"/>
    <cacheHierarchy uniqueName="[Measures].[Antall fakturert mot avregnet]" caption="Antall fakturert mot avregnet" measure="1" displayFolder="" measureGroup="Livdyrsalg" count="0"/>
    <cacheHierarchy uniqueName="[Measures].[Antall fakturert % mot avregnet]" caption="Antall fakturert % mot avregnet" measure="1" displayFolder="" measureGroup="Livdyrsalg" count="0"/>
    <cacheHierarchy uniqueName="[Measures].[DP i år.Budsjett antall]" caption="DP i år.Budsjett antall" measure="1" displayFolder="DP i år" measureGroup="Tilførselsbudsjett" count="0"/>
    <cacheHierarchy uniqueName="[Measures].[H i år.Budsjett antall]" caption="H i år.Budsjett antall" measure="1" displayFolder="H i år" measureGroup="Tilførselsbudsjett" count="0"/>
    <cacheHierarchy uniqueName="[Measures].[DP i år.Budsjett vekt]" caption="DP i år.Budsjett vekt" measure="1" displayFolder="DP i år" measureGroup="Tilførselsbudsjett" count="0"/>
    <cacheHierarchy uniqueName="[Measures].[H i år.Budsjett vekt]" caption="H i år.Budsjett vekt" measure="1" displayFolder="H i år" measureGroup="Tilførselsbudsjett" count="0"/>
    <cacheHierarchy uniqueName="[Measures].[DP i år.Gj snitt vekt]" caption="DP i år.Gj snitt vekt" measure="1" displayFolder="DP i år" measureGroup="Tilførselsbudsjett" count="0"/>
    <cacheHierarchy uniqueName="[Measures].[Produsent Tilfoerselsomraade Count]" caption="Produsent Tilfoerselsomraade Count" measure="1" displayFolder="" measureGroup="Produsent Tilfoerselsomraade" count="0" hidden="1"/>
    <cacheHierarchy uniqueName="[Measures].[Dato 1]" caption="Dato 1" measure="1" displayFolder="" measureGroup="Produsent Egenskap" count="0" hidden="1"/>
    <cacheHierarchy uniqueName="[Measures].[Dato 2]" caption="Dato 2" measure="1" displayFolder="" measureGroup="Produsent Egenskap" count="0" hidden="1"/>
    <cacheHierarchy uniqueName="[Measures].[Dato 3]" caption="Dato 3" measure="1" displayFolder="" measureGroup="Produsent Egenskap" count="0" hidden="1"/>
    <cacheHierarchy uniqueName="[Tilførsel]" caption="Tilførsel" set="1" parentSet="261" displayFolder="" count="0" unbalanced="0" unbalancedGroup="0"/>
    <cacheHierarchy uniqueName="[SLF]" caption="SLF" set="1" parentSet="259" displayFolder="" count="0" unbalanced="0" unbalancedGroup="0"/>
  </cacheHierarchies>
  <kpis count="0"/>
  <dimensions count="30">
    <dimension name="Anmerkningstype" uniqueName="[Anmerkningstype]" caption="Anmerkningstype"/>
    <dimension name="Avdeling" uniqueName="[Avdeling]" caption="Avdeling"/>
    <dimension name="Avregning" uniqueName="[Avregning]" caption="Avregning"/>
    <dimension name="Datakilde" uniqueName="[Datakilde]" caption="Datakilde"/>
    <dimension name="Datasett" uniqueName="[Datasett]" caption="Datasett"/>
    <dimension name="Hønas alder" uniqueName="[Hønas alder]" caption="Hønas alder"/>
    <dimension name="Kunde" uniqueName="[Kunde]" caption="Kunde"/>
    <dimension name="Leverandør" uniqueName="[Leverandør]" caption="Produsent"/>
    <dimension name="Livdyrsalg" uniqueName="[Livdyrsalg]" caption="Livdyrsalg"/>
    <dimension measure="1" name="Measures" uniqueName="[Measures]" caption="Measures"/>
    <dimension name="Medlemskrets" uniqueName="[Medlemskrets]" caption="Medlemsdemokrati"/>
    <dimension name="Medlemssenter" uniqueName="[Medlemssenter]" caption="Medlemssenter"/>
    <dimension name="MinSide Kjøttprosent" uniqueName="[MinSide Kjøttprosent]" caption="MinSide Kjøttprosent"/>
    <dimension name="MinSide Vektklasse" uniqueName="[MinSide Vektklasse]" caption="MinSide Vektklasse"/>
    <dimension name="Mottatt Periode" uniqueName="[Mottatt Periode]" caption="Periode Mottatt"/>
    <dimension name="Mottatt Periode Kalkuleringer" uniqueName="[Mottatt Periode Kalkuleringer]" caption="Periode Mottatt kalkulering"/>
    <dimension name="Mottatt Periode Nova" uniqueName="[Mottatt Periode Nova]" caption="Periode mottatt Nova"/>
    <dimension name="Produsent Egenskap" uniqueName="[Produsent Egenskap]" caption="Produsent Egenskap"/>
    <dimension name="ProfitCenter" uniqueName="[ProfitCenter]" caption="ProfitCenter"/>
    <dimension name="Rase" uniqueName="[Rase]" caption="Rase"/>
    <dimension name="Referanse1" uniqueName="[Referanse1]" caption="Referanse1"/>
    <dimension name="Referanse2" uniqueName="[Referanse2]" caption="Referanse2"/>
    <dimension name="Rådgivning" uniqueName="[Rådgivning]" caption="Rådgivning"/>
    <dimension name="Salgsordretype" uniqueName="[Salgsordretype]" caption="Salgsordretype"/>
    <dimension name="Tilfoerselsomraade" uniqueName="[Tilfoerselsomraade]" caption="Tilfoerselsomraade"/>
    <dimension name="Vare" uniqueName="[Vare]" caption="Vare"/>
    <dimension name="Vektklasse" uniqueName="[Vektklasse]" caption="Vektklasse"/>
    <dimension name="Økonomisk Periode" uniqueName="[Økonomisk Periode]" caption="Periode Avregnet"/>
    <dimension name="Økonomisk Periode Kalkuleringer" uniqueName="[Økonomisk Periode Kalkuleringer]" caption="Periode Avregnet kalkulering"/>
    <dimension name="Økonomisk Periode Nova" uniqueName="[Økonomisk Periode Nova]" caption="Økonomisk Periode Nova"/>
  </dimensions>
  <measureGroups count="8">
    <measureGroup name="Anmerkning" caption="Anmerkning"/>
    <measureGroup name="Avregning" caption="Avregning"/>
    <measureGroup name="Kunde Egenskap" caption="Kunde Egenskap"/>
    <measureGroup name="Livdyrsalg" caption="Livdyrsalg"/>
    <measureGroup name="Produsent Egenskap" caption="Produsentegenskap"/>
    <measureGroup name="Produsent Tilfoerselsomraade" caption="Produsent Tilfoerselsomraade"/>
    <measureGroup name="Rådgivningsalg" caption="Rådgivningsalg"/>
    <measureGroup name="Tilførselsbudsjett" caption="Tilførselsbudsjett"/>
  </measureGroups>
  <maps count="87">
    <map measureGroup="0" dimension="0"/>
    <map measureGroup="0" dimension="1"/>
    <map measureGroup="0" dimension="2"/>
    <map measureGroup="0" dimension="3"/>
    <map measureGroup="0" dimension="4"/>
    <map measureGroup="0" dimension="7"/>
    <map measureGroup="0" dimension="10"/>
    <map measureGroup="0" dimension="11"/>
    <map measureGroup="0" dimension="14"/>
    <map measureGroup="0" dimension="16"/>
    <map measureGroup="0" dimension="17"/>
    <map measureGroup="0" dimension="20"/>
    <map measureGroup="0" dimension="21"/>
    <map measureGroup="0" dimension="25"/>
    <map measureGroup="0" dimension="27"/>
    <map measureGroup="0" dimension="29"/>
    <map measureGroup="1" dimension="1"/>
    <map measureGroup="1" dimension="2"/>
    <map measureGroup="1" dimension="3"/>
    <map measureGroup="1" dimension="4"/>
    <map measureGroup="1" dimension="5"/>
    <map measureGroup="1" dimension="6"/>
    <map measureGroup="1" dimension="7"/>
    <map measureGroup="1" dimension="10"/>
    <map measureGroup="1" dimension="11"/>
    <map measureGroup="1" dimension="12"/>
    <map measureGroup="1" dimension="13"/>
    <map measureGroup="1" dimension="14"/>
    <map measureGroup="1" dimension="16"/>
    <map measureGroup="1" dimension="17"/>
    <map measureGroup="1" dimension="18"/>
    <map measureGroup="1" dimension="19"/>
    <map measureGroup="1" dimension="20"/>
    <map measureGroup="1" dimension="21"/>
    <map measureGroup="1" dimension="25"/>
    <map measureGroup="1" dimension="26"/>
    <map measureGroup="1" dimension="27"/>
    <map measureGroup="1" dimension="29"/>
    <map measureGroup="2" dimension="6"/>
    <map measureGroup="2" dimension="17"/>
    <map measureGroup="2" dimension="20"/>
    <map measureGroup="2" dimension="21"/>
    <map measureGroup="3" dimension="1"/>
    <map measureGroup="3" dimension="3"/>
    <map measureGroup="3" dimension="4"/>
    <map measureGroup="3" dimension="6"/>
    <map measureGroup="3" dimension="7"/>
    <map measureGroup="3" dimension="8"/>
    <map measureGroup="3" dimension="10"/>
    <map measureGroup="3" dimension="11"/>
    <map measureGroup="3" dimension="14"/>
    <map measureGroup="3" dimension="16"/>
    <map measureGroup="3" dimension="17"/>
    <map measureGroup="3" dimension="20"/>
    <map measureGroup="3" dimension="21"/>
    <map measureGroup="3" dimension="23"/>
    <map measureGroup="3" dimension="25"/>
    <map measureGroup="3" dimension="27"/>
    <map measureGroup="3" dimension="29"/>
    <map measureGroup="4" dimension="7"/>
    <map measureGroup="4" dimension="10"/>
    <map measureGroup="4" dimension="11"/>
    <map measureGroup="4" dimension="17"/>
    <map measureGroup="4" dimension="20"/>
    <map measureGroup="4" dimension="21"/>
    <map measureGroup="5" dimension="24"/>
    <map measureGroup="6" dimension="1"/>
    <map measureGroup="6" dimension="3"/>
    <map measureGroup="6" dimension="4"/>
    <map measureGroup="6" dimension="6"/>
    <map measureGroup="6" dimension="7"/>
    <map measureGroup="6" dimension="14"/>
    <map measureGroup="6" dimension="16"/>
    <map measureGroup="6" dimension="17"/>
    <map measureGroup="6" dimension="20"/>
    <map measureGroup="6" dimension="21"/>
    <map measureGroup="6" dimension="22"/>
    <map measureGroup="6" dimension="23"/>
    <map measureGroup="6" dimension="25"/>
    <map measureGroup="6" dimension="27"/>
    <map measureGroup="6" dimension="29"/>
    <map measureGroup="7" dimension="7"/>
    <map measureGroup="7" dimension="10"/>
    <map measureGroup="7" dimension="11"/>
    <map measureGroup="7" dimension="14"/>
    <map measureGroup="7" dimension="16"/>
    <map measureGroup="7" dimension="25"/>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orfatter" refreshedDate="43480.679429282405" backgroundQuery="1" createdVersion="3" refreshedVersion="6" minRefreshableVersion="3" recordCount="0" supportSubquery="1" supportAdvancedDrill="1" xr:uid="{1BD72809-C357-4F4C-990F-66A16F958ED6}">
  <cacheSource type="external" connectionId="1"/>
  <cacheFields count="29">
    <cacheField name="[Vare].[Avregningstype hierarki].[Avregningstype]" caption="Avregningstype" numFmtId="0" hierarchy="240" level="1">
      <sharedItems count="1">
        <s v="[Vare].[Avregningstype hierarki].[Avregningstype].&amp;[5. Avregning transport]" c="5. Avregning transport"/>
      </sharedItems>
    </cacheField>
    <cacheField name="[Vare].[Avregningstype hierarki].[Avregningsundertype]" caption="Avregningsundertype" numFmtId="0" hierarchy="240" level="3">
      <sharedItems count="7">
        <s v="[Vare].[Avregningstype hierarki].[Avregningsundertype].&amp;[5. Avregning transport]&amp;[Livdyr]" c="Livdyr"/>
        <s v="[Vare].[Avregningstype hierarki].[Avregningsundertype].&amp;[5. Avregning transport]&amp;[Ull]" c="Ull"/>
        <s v="[Vare].[Avregningstype hierarki].[Avregningsundertype].&amp;[5. Avregning transport]&amp;[Alle 4-beinte]" c="Alle 4-beinte"/>
        <s v="[Vare].[Avregningstype hierarki].[Avregningsundertype].&amp;[5. Avregning transport]&amp;[Annet]" c="Annet"/>
        <s v="[Vare].[Avregningstype hierarki].[Avregningsundertype].&amp;[5. Avregning transport]&amp;[Gris]" c="Gris"/>
        <s v="[Vare].[Avregningstype hierarki].[Avregningsundertype].&amp;[5. Avregning transport]&amp;[Småfe]" c="Småfe"/>
        <s v="[Vare].[Avregningstype hierarki].[Avregningsundertype].&amp;[5. Avregning transport]&amp;[Storfe]" c="Storfe"/>
      </sharedItems>
    </cacheField>
    <cacheField name="[Vare].[Avregningstype hierarki].[Vare]" caption="Vare" numFmtId="0" hierarchy="240" level="4">
      <sharedItems count="51">
        <s v="[Vare].[Avregningstype hierarki].[Vare].&amp;[134400 INNTRANSPORT LIVDYR PR.TIME]" c="134400 INNTRANSPORT LIVDYR PR.TIME"/>
        <s v="[Vare].[Avregningstype hierarki].[Vare].&amp;[134401 INNTRANSPORT LIVDYR PR KM]" c="134401 INNTRANSPORT LIVDYR PR KM"/>
        <s v="[Vare].[Avregningstype hierarki].[Vare].&amp;[134460 REFUSJON BOMBILLETTER LIVDYR]" c="134460 REFUSJON BOMBILLETTER LIVDYR"/>
        <s v="[Vare].[Avregningstype hierarki].[Vare].&amp;[134465 REFUSJON FERGEBILLETTER LIVDYR]" c="134465 REFUSJON FERGEBILLETTER LIVDYR"/>
        <s v="[Vare].[Avregningstype hierarki].[Vare].&amp;[134470 LIVDYR VARMEAPP]" c="134470 LIVDYR VARMEAPP"/>
        <s v="[Vare].[Avregningstype hierarki].[Vare].&amp;[134471 LIVDYR DESINFISERING]" c="134471 LIVDYR DESINFISERING"/>
        <s v="[Vare].[Avregningstype hierarki].[Vare].&amp;[134475 LEVERANSETILLEGG SMÅGR. TRANSPORTØR]" c="134475 LEVERANSETILLEGG SMÅGR. TRANSPORTØR"/>
        <s v="[Vare].[Avregningstype hierarki].[Vare].&amp;[134300 INNTRANSPORT ULL]" c="134300 INNTRANSPORT ULL"/>
        <s v="[Vare].[Avregningstype hierarki].[Vare].&amp;[134001 INNTRANSPORT PR. KM HENGER]" c="134001 INNTRANSPORT PR. KM HENGER"/>
        <s v="[Vare].[Avregningstype hierarki].[Vare].&amp;[134190 INNTRANSPORT PR. TIME BLANDINGSLASS]" c="134190 INNTRANSPORT PR. TIME BLANDINGSLASS"/>
        <s v="[Vare].[Avregningstype hierarki].[Vare].&amp;[134191 INNTRANSPORT PR. KM BLANDINGSLASS]" c="134191 INNTRANSPORT PR. KM BLANDINGSLASS"/>
        <s v="[Vare].[Avregningstype hierarki].[Vare].&amp;[134192 INNTR. MINSTEBET. BLANDINGSLASS]" c="134192 INNTR. MINSTEBET. BLANDINGSLASS"/>
        <s v="[Vare].[Avregningstype hierarki].[Vare].&amp;[134199 ETTERBETALING INNTRANSPORT DIVERSE]" c="134199 ETTERBETALING INNTRANSPORT DIVERSE"/>
        <s v="[Vare].[Avregningstype hierarki].[Vare].&amp;[134200 FRAMMØTE TRANSPORTØR]" c="134200 FRAMMØTE TRANSPORTØR"/>
        <s v="[Vare].[Avregningstype hierarki].[Vare].&amp;[134210 FRAMMØTE TRANSPORTØR TILLEGG 1]" c="134210 FRAMMØTE TRANSPORTØR TILLEGG 1"/>
        <s v="[Vare].[Avregningstype hierarki].[Vare].&amp;[134213  FRAMMØTE TRANSPORTØR TILLEGG]" c="134213  FRAMMØTE TRANSPORTØR TILLEGG"/>
        <s v="[Vare].[Avregningstype hierarki].[Vare].&amp;[134240 EKSTRA TILLEGG INNTRANSPORT]" c="134240 EKSTRA TILLEGG INNTRANSPORT"/>
        <s v="[Vare].[Avregningstype hierarki].[Vare].&amp;[134241 INNTRANSPORT VENTETID]" c="134241 INNTRANSPORT VENTETID"/>
        <s v="[Vare].[Avregningstype hierarki].[Vare].&amp;[134242 INNTRANSPORT DESINFISERING]" c="134242 INNTRANSPORT DESINFISERING"/>
        <s v="[Vare].[Avregningstype hierarki].[Vare].&amp;[134250 DIVERSE TILLEGG INNTRANSPORT]" c="134250 DIVERSE TILLEGG INNTRANSPORT"/>
        <s v="[Vare].[Avregningstype hierarki].[Vare].&amp;[134251 INNTRANSPORT AVBESTILLING OPPDRAG]" c="134251 INNTRANSPORT AVBESTILLING OPPDRAG"/>
        <s v="[Vare].[Avregningstype hierarki].[Vare].&amp;[134252 PRISKORRIGERING INNTRANSPORT]" c="134252 PRISKORRIGERING INNTRANSPORT"/>
        <s v="[Vare].[Avregningstype hierarki].[Vare].&amp;[134260 REFUSJON BOMBILLETTER]" c="134260 REFUSJON BOMBILLETTER"/>
        <s v="[Vare].[Avregningstype hierarki].[Vare].&amp;[134265 FERGETILLEGG]" c="134265 FERGETILLEGG"/>
        <s v="[Vare].[Avregningstype hierarki].[Vare].&amp;[134266 REFUSJON FERGEBILLETTER]" c="134266 REFUSJON FERGEBILLETTER"/>
        <s v="[Vare].[Avregningstype hierarki].[Vare].&amp;[134701 KJØRING BEITEDYR]" c="134701 KJØRING BEITEDYR"/>
        <s v="[Vare].[Avregningstype hierarki].[Vare].&amp;[134060 INNTRANSPORT HEST]" c="134060 INNTRANSPORT HEST"/>
        <s v="[Vare].[Avregningstype hierarki].[Vare].&amp;[134010 INNTRANSPORT GRIS U 106KG]" c="134010 INNTRANSPORT GRIS U 106KG"/>
        <s v="[Vare].[Avregningstype hierarki].[Vare].&amp;[134011 INNTRANSPORT GRIS &gt; 106KG]" c="134011 INNTRANSPORT GRIS &gt; 106KG"/>
        <s v="[Vare].[Avregningstype hierarki].[Vare].&amp;[134110 INNTRANSPORT PR. TIME GRIS]" c="134110 INNTRANSPORT PR. TIME GRIS"/>
        <s v="[Vare].[Avregningstype hierarki].[Vare].&amp;[134111 INNTRANSPORT PR. KM GRIS]" c="134111 INNTRANSPORT PR. KM GRIS"/>
        <s v="[Vare].[Avregningstype hierarki].[Vare].&amp;[134112 INNTRANSPORT MINSTEBET. LASS GRIS]" c="134112 INNTRANSPORT MINSTEBET. LASS GRIS"/>
        <s v="[Vare].[Avregningstype hierarki].[Vare].&amp;[134119 ETTERBETALING INNTRANSPORT GRIS]" c="134119 ETTERBETALING INNTRANSPORT GRIS"/>
        <s v="[Vare].[Avregningstype hierarki].[Vare].&amp;[133470 GODTGJ. LAMMERINGLEDER PR DYR]" c="133470 GODTGJ. LAMMERINGLEDER PR DYR"/>
        <s v="[Vare].[Avregningstype hierarki].[Vare].&amp;[133471 GODTGJ. LAMMERINGLEDER PR MEDL]" c="133471 GODTGJ. LAMMERINGLEDER PR MEDL"/>
        <s v="[Vare].[Avregningstype hierarki].[Vare].&amp;[134040 INNTRANSPORT SAU/LAM, UKLIPT]" c="134040 INNTRANSPORT SAU/LAM, UKLIPT"/>
        <s v="[Vare].[Avregningstype hierarki].[Vare].&amp;[134050 INNTRANSPORT GEIT/KJE]" c="134050 INNTRANSPORT GEIT/KJE"/>
        <s v="[Vare].[Avregningstype hierarki].[Vare].&amp;[134140 INNTRANSPORT PR. TIME SMÅFE]" c="134140 INNTRANSPORT PR. TIME SMÅFE"/>
        <s v="[Vare].[Avregningstype hierarki].[Vare].&amp;[134141 INNTRANSPORT PR. KM SMÅFE]" c="134141 INNTRANSPORT PR. KM SMÅFE"/>
        <s v="[Vare].[Avregningstype hierarki].[Vare].&amp;[134142 INNTRANSPORT MINSTEBET. LASS SMÅFE]" c="134142 INNTRANSPORT MINSTEBET. LASS SMÅFE"/>
        <s v="[Vare].[Avregningstype hierarki].[Vare].&amp;[134143 INNTR. TILLEGG LITE LASS SMÅFE]" c="134143 INNTR. TILLEGG LITE LASS SMÅFE"/>
        <s v="[Vare].[Avregningstype hierarki].[Vare].&amp;[134149 ETTERBETALING INNTRANSPORT SMÅFE]" c="134149 ETTERBETALING INNTRANSPORT SMÅFE"/>
        <s v="[Vare].[Avregningstype hierarki].[Vare].&amp;[134020 INNTRANSPORT STORFE 175 - 400 KG]" c="134020 INNTRANSPORT STORFE 175 - 400 KG"/>
        <s v="[Vare].[Avregningstype hierarki].[Vare].&amp;[134021 INNTRANSPORT STORFE &gt; 400 KG]" c="134021 INNTRANSPORT STORFE &gt; 400 KG"/>
        <s v="[Vare].[Avregningstype hierarki].[Vare].&amp;[134030 INNTRANSPORT KALV U 75 KG]" c="134030 INNTRANSPORT KALV U 75 KG"/>
        <s v="[Vare].[Avregningstype hierarki].[Vare].&amp;[134031 INNTRANSPORT KALV/STORFE 75 - 175 K]" c="134031 INNTRANSPORT KALV/STORFE 75 - 175 K"/>
        <s v="[Vare].[Avregningstype hierarki].[Vare].&amp;[134039 INNTRANSPORT KALV SPESIAL]" c="134039 INNTRANSPORT KALV SPESIAL"/>
        <s v="[Vare].[Avregningstype hierarki].[Vare].&amp;[134120 INNTRANSPORT PR. TIME STORFE/KALV]" c="134120 INNTRANSPORT PR. TIME STORFE/KALV"/>
        <s v="[Vare].[Avregningstype hierarki].[Vare].&amp;[134121 INNTRANSPORT PR. KM STORFE]" c="134121 INNTRANSPORT PR. KM STORFE"/>
        <s v="[Vare].[Avregningstype hierarki].[Vare].&amp;[134122 INNTRANSPORT MINSTEBET. LASS STORFE]" c="134122 INNTRANSPORT MINSTEBET. LASS STORFE"/>
        <s v="[Vare].[Avregningstype hierarki].[Vare].&amp;[134129 ETTERBETALING INNTRANSPORT STORFE]" c="134129 ETTERBETALING INNTRANSPORT STORFE"/>
      </sharedItems>
    </cacheField>
    <cacheField name="[Vare].[Avregningstype hierarki].[Avregningsundertype].[Avregningstype]" caption="Avregningstype" propertyName="Avregningstype" numFmtId="0" hierarchy="240" level="3" memberPropertyField="1">
      <sharedItems containsSemiMixedTypes="0" containsString="0"/>
    </cacheField>
    <cacheField name="[Vare].[Avregningstype hierarki].[Vare].[Avregningsundertype]" caption="Avregningsundertype" propertyName="Avregningsundertype" numFmtId="0" hierarchy="240" level="4" memberPropertyField="1">
      <sharedItems containsSemiMixedTypes="0" containsString="0"/>
    </cacheField>
    <cacheField name="[Vare].[Avregningstype hierarki].[Vare].[Varevariant]" caption="Varevariant" propertyName="Varevariant" numFmtId="0" hierarchy="240" level="4" memberPropertyField="1">
      <sharedItems containsSemiMixedTypes="0" containsString="0"/>
    </cacheField>
    <cacheField name="[Vare].[Avregningsvarevariantkode].[Avregningsvarevariantkode]" caption="Avregningsvarevariantkode" numFmtId="0" hierarchy="329" level="1">
      <sharedItems containsSemiMixedTypes="0" containsString="0"/>
    </cacheField>
    <cacheField name="[Mottatt Periode].[Regnskaps År - Måned - Dag].[Regnskapsår]" caption="År mottatt (regnskap)" numFmtId="0" hierarchy="177" level="1">
      <sharedItems containsSemiMixedTypes="0" containsString="0"/>
    </cacheField>
    <cacheField name="[Mottatt Periode].[Regnskaps År - Måned - Dag].[RegnskapsKvartal]" caption="Kvartal/år mottatt (regnskap)" numFmtId="0" hierarchy="177" level="2">
      <sharedItems containsSemiMixedTypes="0" containsString="0"/>
    </cacheField>
    <cacheField name="[Mottatt Periode].[Regnskaps År - Måned - Dag].[Regnskapsmåned]" caption="Måned/år mottatt (regnskap)" numFmtId="0" hierarchy="177" level="3">
      <sharedItems containsSemiMixedTypes="0" containsString="0"/>
    </cacheField>
    <cacheField name="[Mottatt Periode].[Regnskaps År - Måned - Dag].[Regnskapsuke]" caption="Uke/År mottatt (regnskap)" numFmtId="0" hierarchy="177" level="4">
      <sharedItems containsSemiMixedTypes="0" containsString="0"/>
    </cacheField>
    <cacheField name="[Mottatt Periode].[Regnskaps År - Måned - Dag].[Dag]" caption="Dato mottatt" numFmtId="0" hierarchy="177" level="5">
      <sharedItems containsSemiMixedTypes="0" containsString="0"/>
    </cacheField>
    <cacheField name="[Mottatt Periode].[Regnskaps År - Måned - Dag].[RegnskapsKvartal].[Regnskapsår]" caption="År mottatt (regnskap)" propertyName="Regnskapsår" numFmtId="0" hierarchy="177" level="2" memberPropertyField="1">
      <sharedItems containsSemiMixedTypes="0" containsString="0"/>
    </cacheField>
    <cacheField name="[Mottatt Periode].[Regnskaps År - Måned - Dag].[Regnskapsmåned].[RegnskapsKvartal]" caption="Kvartal/år mottatt (regnskap)" propertyName="RegnskapsKvartal" numFmtId="0" hierarchy="177" level="3" memberPropertyField="1">
      <sharedItems containsSemiMixedTypes="0" containsString="0"/>
    </cacheField>
    <cacheField name="[Mottatt Periode].[Regnskaps År - Måned - Dag].[Regnskapsuke].[Regnskapsmåned]" caption="Måned/år mottatt (regnskap)" propertyName="Regnskapsmåned" numFmtId="0" hierarchy="177" level="4" memberPropertyField="1">
      <sharedItems containsSemiMixedTypes="0" containsString="0"/>
    </cacheField>
    <cacheField name="[Mottatt Periode].[Regnskaps År - Måned - Dag].[Dag].[Regnskapsuke]" caption="Uke/År mottatt (regnskap)" propertyName="Regnskapsuke" numFmtId="0" hierarchy="177" level="5" memberPropertyField="1">
      <sharedItems containsSemiMixedTypes="0" containsString="0"/>
    </cacheField>
    <cacheField name="[Vare].[Varevariantkode].[Varevariantkode]" caption="Varevariantkode" numFmtId="0" hierarchy="268" level="1">
      <sharedItems containsSemiMixedTypes="0" containsString="0"/>
    </cacheField>
    <cacheField name="[Leverandør].[Produsentgeografi].[Fylke]" caption="Fylke navn" numFmtId="0" hierarchy="140" level="1">
      <sharedItems containsSemiMixedTypes="0" containsString="0"/>
    </cacheField>
    <cacheField name="[Leverandør].[Produsentgeografi].[Kommune]" caption="Kommune navn" numFmtId="0" hierarchy="140" level="2">
      <sharedItems containsSemiMixedTypes="0" containsString="0"/>
    </cacheField>
    <cacheField name="[Leverandør].[Produsentgeografi].[Kommune].[Fylke]" caption="Fylke navn" propertyName="Fylke" numFmtId="0" hierarchy="140" level="2" memberPropertyField="1">
      <sharedItems containsSemiMixedTypes="0" containsString="0"/>
    </cacheField>
    <cacheField name="[Leverandør].[Leverandoer Gruppe].[Leverandoer Gruppe]" caption="Leverandørgruppe" numFmtId="0" hierarchy="117" level="1">
      <sharedItems containsSemiMixedTypes="0" containsString="0"/>
    </cacheField>
    <cacheField name="[Measures].[Beløp]" caption="Beløp" numFmtId="0" hierarchy="342" level="32767"/>
    <cacheField name="[Vare].[Avregningstype hierarki].[Avregningstype1]" caption="Avregningstype1" numFmtId="0" hierarchy="240" level="2">
      <sharedItems count="2">
        <s v="[Vare].[Avregningstype hierarki].[Avregningstype1].[OTHERMEMBER.[Vare]].[Avregningstype hierarki]].[Avregningstype]].&amp;[5. Avregning transport]]]" c="Annet"/>
        <s v="[Vare].[Avregningstype hierarki].[Avregningstype1].[GROUPMEMBER.[AvregningsundertypeXl_Grp_1]].[Vare]].[Avregningstype hierarki]].[Avregningstype]].&amp;[5. Avregning transport]]]" c="Grupper1"/>
      </sharedItems>
    </cacheField>
    <cacheField name="[Vare].[Avregningsundertype].[Avregningsundertype]" caption="Avregningsundertype" numFmtId="0" hierarchy="241" level="1" mappingCount="1">
      <sharedItems count="5">
        <s v="[Vare].[Avregningsundertype].&amp;[5. Avregning transport]&amp;[Alle 4-beinte]" c="Alle 4-beinte" cp="1">
          <x/>
        </s>
        <s v="[Vare].[Avregningsundertype].&amp;[5. Avregning transport]&amp;[Annet]" c="Annet" cp="1">
          <x/>
        </s>
        <s v="[Vare].[Avregningsundertype].&amp;[5. Avregning transport]&amp;[Gris]" c="Gris" cp="1">
          <x/>
        </s>
        <s v="[Vare].[Avregningsundertype].&amp;[5. Avregning transport]&amp;[Småfe]" c="Småfe" cp="1">
          <x/>
        </s>
        <s v="[Vare].[Avregningsundertype].&amp;[5. Avregning transport]&amp;[Storfe]" c="Storfe" cp="1">
          <x/>
        </s>
      </sharedItems>
      <mpMap v="24"/>
    </cacheField>
    <cacheField name="[Vare].[Avregningsundertype].[Avregningsundertype].[Avregningstype]" caption="Avregningstype" propertyName="Avregningstype" numFmtId="0" hierarchy="241" level="1" memberPropertyField="1">
      <sharedItems count="1">
        <s v="5. Avregning transport"/>
      </sharedItems>
    </cacheField>
    <cacheField name="[Vare].[Vare Nr Vare Navn].[Vare Nr Vare Navn]" caption="Vare" numFmtId="0" hierarchy="257" level="1" mappingCount="2">
      <sharedItems count="36">
        <s v="[Vare].[Vare Nr Vare Navn].&amp;[134001 INNTRANSPORT PR. KM HENGER]" c="134001 INNTRANSPORT PR. KM HENGER" cp="2">
          <x/>
          <x/>
        </s>
        <s v="[Vare].[Vare Nr Vare Navn].&amp;[134010 INNTRANSPORT GRIS U 106KG]" c="134010 INNTRANSPORT GRIS U 106KG" cp="2">
          <x v="1"/>
          <x/>
        </s>
        <s v="[Vare].[Vare Nr Vare Navn].&amp;[134011 INNTRANSPORT GRIS &gt; 106KG]" c="134011 INNTRANSPORT GRIS &gt; 106KG" cp="2">
          <x v="1"/>
          <x/>
        </s>
        <s v="[Vare].[Vare Nr Vare Navn].&amp;[134020 INNTRANSPORT STORFE 175 - 400 KG]" c="134020 INNTRANSPORT STORFE 175 - 400 KG" cp="2">
          <x v="2"/>
          <x/>
        </s>
        <s v="[Vare].[Vare Nr Vare Navn].&amp;[134021 INNTRANSPORT STORFE &gt; 400 KG]" c="134021 INNTRANSPORT STORFE &gt; 400 KG" cp="2">
          <x v="2"/>
          <x/>
        </s>
        <s v="[Vare].[Vare Nr Vare Navn].&amp;[134030 INNTRANSPORT KALV U 75 KG]" c="134030 INNTRANSPORT KALV U 75 KG" cp="2">
          <x v="2"/>
          <x/>
        </s>
        <s v="[Vare].[Vare Nr Vare Navn].&amp;[134031 INNTRANSPORT KALV/STORFE 75 - 175 K]" c="134031 INNTRANSPORT KALV/STORFE 75 - 175 K" cp="2">
          <x v="2"/>
          <x/>
        </s>
        <s v="[Vare].[Vare Nr Vare Navn].&amp;[134039 INNTRANSPORT KALV SPESIAL]" c="134039 INNTRANSPORT KALV SPESIAL" cp="2">
          <x v="2"/>
          <x/>
        </s>
        <s v="[Vare].[Vare Nr Vare Navn].&amp;[134040 INNTRANSPORT SAU/LAM, UKLIPT]" c="134040 INNTRANSPORT SAU/LAM, UKLIPT" cp="2">
          <x v="3"/>
          <x/>
        </s>
        <s v="[Vare].[Vare Nr Vare Navn].&amp;[134050 INNTRANSPORT GEIT/KJE]" c="134050 INNTRANSPORT GEIT/KJE" cp="2">
          <x v="3"/>
          <x/>
        </s>
        <s v="[Vare].[Vare Nr Vare Navn].&amp;[134060 INNTRANSPORT HEST]" c="134060 INNTRANSPORT HEST" cp="2">
          <x v="4"/>
          <x/>
        </s>
        <s v="[Vare].[Vare Nr Vare Navn].&amp;[134110 INNTRANSPORT PR. TIME GRIS]" c="134110 INNTRANSPORT PR. TIME GRIS" cp="2">
          <x v="1"/>
          <x/>
        </s>
        <s v="[Vare].[Vare Nr Vare Navn].&amp;[134111 INNTRANSPORT PR. KM GRIS]" c="134111 INNTRANSPORT PR. KM GRIS" cp="2">
          <x v="1"/>
          <x/>
        </s>
        <s v="[Vare].[Vare Nr Vare Navn].&amp;[134112 INNTRANSPORT MINSTEBET. LASS GRIS]" c="134112 INNTRANSPORT MINSTEBET. LASS GRIS" cp="2">
          <x v="1"/>
          <x/>
        </s>
        <s v="[Vare].[Vare Nr Vare Navn].&amp;[134120 INNTRANSPORT PR. TIME STORFE/KALV]" c="134120 INNTRANSPORT PR. TIME STORFE/KALV" cp="2">
          <x v="2"/>
          <x/>
        </s>
        <s v="[Vare].[Vare Nr Vare Navn].&amp;[134121 INNTRANSPORT PR. KM STORFE]" c="134121 INNTRANSPORT PR. KM STORFE" cp="2">
          <x v="2"/>
          <x/>
        </s>
        <s v="[Vare].[Vare Nr Vare Navn].&amp;[134122 INNTRANSPORT MINSTEBET. LASS STORFE]" c="134122 INNTRANSPORT MINSTEBET. LASS STORFE" cp="2">
          <x v="2"/>
          <x/>
        </s>
        <s v="[Vare].[Vare Nr Vare Navn].&amp;[134123 INNTR. TILLEGG LITE LASS STORFE]" c="134123 INNTR. TILLEGG LITE LASS STORFE" cp="2">
          <x v="2"/>
          <x/>
        </s>
        <s v="[Vare].[Vare Nr Vare Navn].&amp;[134140 INNTRANSPORT PR. TIME SMÅFE]" c="134140 INNTRANSPORT PR. TIME SMÅFE" cp="2">
          <x v="3"/>
          <x/>
        </s>
        <s v="[Vare].[Vare Nr Vare Navn].&amp;[134141 INNTRANSPORT PR. KM SMÅFE]" c="134141 INNTRANSPORT PR. KM SMÅFE" cp="2">
          <x v="3"/>
          <x/>
        </s>
        <s v="[Vare].[Vare Nr Vare Navn].&amp;[134142 INNTRANSPORT MINSTEBET. LASS SMÅFE]" c="134142 INNTRANSPORT MINSTEBET. LASS SMÅFE" cp="2">
          <x v="3"/>
          <x/>
        </s>
        <s v="[Vare].[Vare Nr Vare Navn].&amp;[134143 INNTR. TILLEGG LITE LASS SMÅFE]" c="134143 INNTR. TILLEGG LITE LASS SMÅFE" cp="2">
          <x v="3"/>
          <x/>
        </s>
        <s v="[Vare].[Vare Nr Vare Navn].&amp;[134191 INNTRANSPORT PR. KM BLANDINGSLASS]" c="134191 INNTRANSPORT PR. KM BLANDINGSLASS" cp="2">
          <x/>
          <x/>
        </s>
        <s v="[Vare].[Vare Nr Vare Navn].&amp;[134192 INNTR. MINSTEBET. BLANDINGSLASS]" c="134192 INNTR. MINSTEBET. BLANDINGSLASS" cp="2">
          <x/>
          <x/>
        </s>
        <s v="[Vare].[Vare Nr Vare Navn].&amp;[134200 FRAMMØTE TRANSPORTØR]" c="134200 FRAMMØTE TRANSPORTØR" cp="2">
          <x/>
          <x/>
        </s>
        <s v="[Vare].[Vare Nr Vare Navn].&amp;[134210 FRAMMØTE TRANSPORTØR TILLEGG 1]" c="134210 FRAMMØTE TRANSPORTØR TILLEGG 1" cp="2">
          <x/>
          <x/>
        </s>
        <s v="[Vare].[Vare Nr Vare Navn].&amp;[134213 FRAMMØTE TRANSPORTØR TILLEGG]" c="134213 FRAMMØTE TRANSPORTØR TILLEGG" cp="2">
          <x/>
          <x/>
        </s>
        <s v="[Vare].[Vare Nr Vare Navn].&amp;[134214 HELGETILLEGG PR KILOMETER]" c="134214 HELGETILLEGG PR KILOMETER" cp="2">
          <x/>
          <x/>
        </s>
        <s v="[Vare].[Vare Nr Vare Navn].&amp;[134240 EKSTRA TILLEGG INNTRANSPORT]" c="134240 EKSTRA TILLEGG INNTRANSPORT" cp="2">
          <x/>
          <x/>
        </s>
        <s v="[Vare].[Vare Nr Vare Navn].&amp;[134241 INNTRANSPORT VENTETID]" c="134241 INNTRANSPORT VENTETID" cp="2">
          <x/>
          <x/>
        </s>
        <s v="[Vare].[Vare Nr Vare Navn].&amp;[134242 INNTRANSPORT DESINFISERING]" c="134242 INNTRANSPORT DESINFISERING" cp="2">
          <x/>
          <x/>
        </s>
        <s v="[Vare].[Vare Nr Vare Navn].&amp;[134250 DIVERSE TILLEGG INNTRANSPORT]" c="134250 DIVERSE TILLEGG INNTRANSPORT" cp="2">
          <x/>
          <x/>
        </s>
        <s v="[Vare].[Vare Nr Vare Navn].&amp;[134251 INNTRANSPORT AVBESTILLING OPPDRAG]" c="134251 INNTRANSPORT AVBESTILLING OPPDRAG" cp="2">
          <x/>
          <x/>
        </s>
        <s v="[Vare].[Vare Nr Vare Navn].&amp;[134252 PRISKORRIGERING INNTRANSPORT]" c="134252 PRISKORRIGERING INNTRANSPORT" cp="2">
          <x/>
          <x/>
        </s>
        <s v="[Vare].[Vare Nr Vare Navn].&amp;[134260 REFUSJON BOMBILLETTER]" c="134260 REFUSJON BOMBILLETTER" cp="2">
          <x/>
          <x/>
        </s>
        <s v="[Vare].[Vare Nr Vare Navn].&amp;[134265 FERGETILLEGG]" c="134265 FERGETILLEGG" cp="2">
          <x/>
          <x/>
        </s>
      </sharedItems>
      <mpMap v="26"/>
      <mpMap v="27"/>
    </cacheField>
    <cacheField name="[Vare].[Vare Nr Vare Navn].[Vare Nr Vare Navn].[Avregningsundertype]" caption="Avregningsundertype" propertyName="Avregningsundertype" numFmtId="0" hierarchy="257" level="1" memberPropertyField="1">
      <sharedItems count="5">
        <s v="Alle 4-beinte"/>
        <s v="Gris"/>
        <s v="Storfe"/>
        <s v="Småfe"/>
        <s v="Annet"/>
      </sharedItems>
    </cacheField>
    <cacheField name="[Vare].[Vare Nr Vare Navn].[Vare Nr Vare Navn].[Varevariant]" caption="Varevariant" propertyName="Varevariant" numFmtId="0" hierarchy="257" level="1" memberPropertyField="1">
      <sharedItems count="1">
        <s v="USPESIFISERT"/>
      </sharedItems>
    </cacheField>
    <cacheField name="[Leverandør].[Leverandoernr Navn Hoved].[Leverandoernr Navn Hoved]" caption="Leverandør hoved" numFmtId="0" hierarchy="118" level="1">
      <sharedItems containsSemiMixedTypes="0" containsString="0"/>
    </cacheField>
  </cacheFields>
  <cacheHierarchies count="420">
    <cacheHierarchy uniqueName="[Anmerkningstype].[Anmerkningskonsekvens]" caption="Anmerkningskonsekvens" attribute="1" defaultMemberUniqueName="[Anmerkningstype].[Anmerkningskonsekvens].[Alle]" allUniqueName="[Anmerkningstype].[Anmerkningskonsekvens].[Alle]" dimensionUniqueName="[Anmerkningstype]" displayFolder="" count="0" unbalancedGroup="0"/>
    <cacheHierarchy uniqueName="[Anmerkningstype].[Anmerkningskonsekvens hierarki]" caption="Anmerkningskonsekvens hierarki" defaultMemberUniqueName="[Anmerkningstype].[Anmerkningskonsekvens hierarki].[All]" allUniqueName="[Anmerkningstype].[Anmerkningskonsekvens hierarki].[All]" dimensionUniqueName="[Anmerkningstype]" displayFolder="" count="0" unbalancedGroup="0"/>
    <cacheHierarchy uniqueName="[Anmerkningstype].[Anmerkningskonsekvens kode navn]" caption="Anmerkningskonsekvens kode navn" attribute="1" defaultMemberUniqueName="[Anmerkningstype].[Anmerkningskonsekvens kode navn].[Alle]" allUniqueName="[Anmerkningstype].[Anmerkningskonsekvens kode navn].[Alle]" dimensionUniqueName="[Anmerkningstype]" displayFolder="" count="0" unbalancedGroup="0"/>
    <cacheHierarchy uniqueName="[Anmerkningstype].[Anmerkningskonsekvenskode]" caption="Anmerkningskonsekvenskode" attribute="1" defaultMemberUniqueName="[Anmerkningstype].[Anmerkningskonsekvenskode].[Alle]" allUniqueName="[Anmerkningstype].[Anmerkningskonsekvenskode].[Alle]" dimensionUniqueName="[Anmerkningstype]" displayFolder="" count="0" unbalancedGroup="0"/>
    <cacheHierarchy uniqueName="[Anmerkningstype].[Anmerkningstype]" caption="Anmerkningstype" attribute="1" defaultMemberUniqueName="[Anmerkningstype].[Anmerkningstype].[Alle]" allUniqueName="[Anmerkningstype].[Anmerkningstype].[Alle]" dimensionUniqueName="[Anmerkningstype]" displayFolder="" count="0" unbalancedGroup="0"/>
    <cacheHierarchy uniqueName="[Anmerkningstype].[Anmerkningstype Ekstern]" caption="Anmerkningstype Ekstern" attribute="1" defaultMemberUniqueName="[Anmerkningstype].[Anmerkningstype Ekstern].[Alle]" allUniqueName="[Anmerkningstype].[Anmerkningstype Ekstern].[Alle]" dimensionUniqueName="[Anmerkningstype]" displayFolder="" count="0" unbalancedGroup="0"/>
    <cacheHierarchy uniqueName="[Anmerkningstype].[Anmerkningstype kode navn]" caption="Anmerkningstype kode navn" attribute="1" defaultMemberUniqueName="[Anmerkningstype].[Anmerkningstype kode navn].[Alle]" allUniqueName="[Anmerkningstype].[Anmerkningstype kode navn].[Alle]" dimensionUniqueName="[Anmerkningstype]" displayFolder="" count="0" unbalancedGroup="0"/>
    <cacheHierarchy uniqueName="[Anmerkningstype].[Anmerkningstypegruppe]" caption="Anmerkningstypegruppe" attribute="1" defaultMemberUniqueName="[Anmerkningstype].[Anmerkningstypegruppe].[Alle]" allUniqueName="[Anmerkningstype].[Anmerkningstypegruppe].[Alle]" dimensionUniqueName="[Anmerkningstype]" displayFolder="" count="0" unbalancedGroup="0"/>
    <cacheHierarchy uniqueName="[Anmerkningstype].[Anmerkningstypegruppe hierarki]" caption="Anmerkningstypegruppe hierarki" defaultMemberUniqueName="[Anmerkningstype].[Anmerkningstypegruppe hierarki].[All]" allUniqueName="[Anmerkningstype].[Anmerkningstypegruppe hierarki].[All]" dimensionUniqueName="[Anmerkningstype]" displayFolder="" count="0" unbalancedGroup="0"/>
    <cacheHierarchy uniqueName="[Anmerkningstype].[Anmerkningstypekode]" caption="Anmerkningstypekode" attribute="1" defaultMemberUniqueName="[Anmerkningstype].[Anmerkningstypekode].[Alle]" allUniqueName="[Anmerkningstype].[Anmerkningstypekode].[Alle]" dimensionUniqueName="[Anmerkningstype]" displayFolder="" count="0" unbalancedGroup="0"/>
    <cacheHierarchy uniqueName="[Anmerkningstype].[Sykdomsgruppe hierarki]" caption="Sykdomsgruppe hierarki" defaultMemberUniqueName="[Anmerkningstype].[Sykdomsgruppe hierarki].[All]" allUniqueName="[Anmerkningstype].[Sykdomsgruppe hierarki].[All]" dimensionUniqueName="[Anmerkningstype]" displayFolder="" count="0" unbalancedGroup="0"/>
    <cacheHierarchy uniqueName="[Anmerkningstype].[Sykdomsgruppekode]" caption="Sykdomsgruppekode" attribute="1" defaultMemberUniqueName="[Anmerkningstype].[Sykdomsgruppekode].[Alle]" allUniqueName="[Anmerkningstype].[Sykdomsgruppekode].[Alle]" dimensionUniqueName="[Anmerkningstype]" displayFolder="" count="0" unbalancedGroup="0"/>
    <cacheHierarchy uniqueName="[Avdeling].[Anlegg Nr Navn]" caption="Anlegg Nr Navn" attribute="1" defaultMemberUniqueName="[Avdeling].[Anlegg Nr Navn].[Alle]" allUniqueName="[Avdeling].[Anlegg Nr Navn].[Alle]" dimensionUniqueName="[Avdeling]" displayFolder="" count="0" unbalancedGroup="0"/>
    <cacheHierarchy uniqueName="[Avdeling].[Avdeling nr navn]" caption="Avdeling nr navn" attribute="1" defaultMemberUniqueName="[Avdeling].[Avdeling nr navn].[Alle]" allUniqueName="[Avdeling].[Avdeling nr navn].[Alle]" dimensionUniqueName="[Avdeling]" displayFolder="" count="0" unbalancedGroup="0"/>
    <cacheHierarchy uniqueName="[Avdeling].[Efta nr]" caption="Efta nr" attribute="1" defaultMemberUniqueName="[Avdeling].[Efta nr].[Alle]" allUniqueName="[Avdeling].[Efta nr].[Alle]" dimensionUniqueName="[Avdeling]" displayFolder="" count="0" unbalancedGroup="0"/>
    <cacheHierarchy uniqueName="[Avdeling].[Fabrikk]" caption="Fabrikk" attribute="1" defaultMemberUniqueName="[Avdeling].[Fabrikk].[Alle]" allUniqueName="[Avdeling].[Fabrikk].[Alle]" dimensionUniqueName="[Avdeling]" displayFolder="" count="0" unbalancedGroup="0"/>
    <cacheHierarchy uniqueName="[Avdeling].[Fabrikk hierarki]" caption="Fabrikk hierarki" defaultMemberUniqueName="[Avdeling].[Fabrikk hierarki].[Alle]" allUniqueName="[Avdeling].[Fabrikk hierarki].[Alle]" dimensionUniqueName="[Avdeling]" displayFolder="" count="0" unbalancedGroup="0"/>
    <cacheHierarchy uniqueName="[Avdeling].[Foretak]" caption="Foretak" attribute="1" defaultMemberUniqueName="[Avdeling].[Foretak].[Alle]" allUniqueName="[Avdeling].[Foretak].[Alle]" dimensionUniqueName="[Avdeling]" displayFolder="" count="0" unbalancedGroup="0"/>
    <cacheHierarchy uniqueName="[Avdeling].[Foretak nr]" caption="Foretak nr" attribute="1" defaultMemberUniqueName="[Avdeling].[Foretak nr].[Alle]" allUniqueName="[Avdeling].[Foretak nr].[Alle]" dimensionUniqueName="[Avdeling]" displayFolder="" count="0" unbalancedGroup="0"/>
    <cacheHierarchy uniqueName="[Avdeling].[SLF]" caption="SLF" attribute="1" defaultMemberUniqueName="[Avdeling].[SLF].[Alle]" allUniqueName="[Avdeling].[SLF].[Alle]" dimensionUniqueName="[Avdeling]" displayFolder="" count="0" unbalancedGroup="0"/>
    <cacheHierarchy uniqueName="[Avregning].[Ankomstdato]" caption="Ankomstdato" attribute="1" defaultMemberUniqueName="[Avregning].[Ankomstdato].[Alle]" allUniqueName="[Avregning].[Ankomstdato].[Alle]" dimensionUniqueName="[Avregning]" displayFolder="" count="0" unbalancedGroup="0"/>
    <cacheHierarchy uniqueName="[Avregning].[Ankomsttid]" caption="Ankomsttid" attribute="1" defaultMemberUniqueName="[Avregning].[Ankomsttid].[Alle]" allUniqueName="[Avregning].[Ankomsttid].[Alle]" dimensionUniqueName="[Avregning]" displayFolder="" count="0" unbalancedGroup="0"/>
    <cacheHierarchy uniqueName="[Avregning].[AvlystNr]" caption="AvlystNr" attribute="1" defaultMemberUniqueName="[Avregning].[AvlystNr].[Alle]" allUniqueName="[Avregning].[AvlystNr].[Alle]" dimensionUniqueName="[Avregning]" displayFolder="" count="0" unbalancedGroup="0"/>
    <cacheHierarchy uniqueName="[Avregning].[Avregnings nr]" caption="Avregnings nr" attribute="1" defaultMemberUniqueName="[Avregning].[Avregnings nr].[Alle]" allUniqueName="[Avregning].[Avregnings nr].[Alle]" dimensionUniqueName="[Avregning]" displayFolder="" count="0" unbalancedGroup="0"/>
    <cacheHierarchy uniqueName="[Avregning].[Avregningsdato]" caption="Avregningsdato" attribute="1" defaultMemberUniqueName="[Avregning].[Avregningsdato].[Alle]" allUniqueName="[Avregning].[Avregningsdato].[Alle]" dimensionUniqueName="[Avregning]" displayFolder="" count="0" unbalancedGroup="0"/>
    <cacheHierarchy uniqueName="[Avregning].[Doctype]" caption="Doctype" attribute="1" defaultMemberUniqueName="[Avregning].[Doctype].[Alle]" allUniqueName="[Avregning].[Doctype].[Alle]" dimensionUniqueName="[Avregning]" displayFolder="" count="0" unbalancedGroup="0"/>
    <cacheHierarchy uniqueName="[Avregning].[Fettprosent Kode]" caption="Fettgruppe" attribute="1" defaultMemberUniqueName="[Avregning].[Fettprosent Kode].[Alle]" allUniqueName="[Avregning].[Fettprosent Kode].[Alle]" dimensionUniqueName="[Avregning]" displayFolder="" count="0" unbalancedGroup="0"/>
    <cacheHierarchy uniqueName="[Avregning].[Foedselsvekt]" caption="Fødselsvekt storfe" attribute="1" defaultMemberUniqueName="[Avregning].[Foedselsvekt].[Alle]" allUniqueName="[Avregning].[Foedselsvekt].[Alle]" dimensionUniqueName="[Avregning]" displayFolder="" count="0" unbalancedGroup="0"/>
    <cacheHierarchy uniqueName="[Avregning].[Fødselsdato]" caption="Fødselsdato" attribute="1" defaultMemberUniqueName="[Avregning].[Fødselsdato].[Alle]" allUniqueName="[Avregning].[Fødselsdato].[Alle]" dimensionUniqueName="[Avregning]" displayFolder="" count="0" unbalancedGroup="0"/>
    <cacheHierarchy uniqueName="[Avregning].[Halal]" caption="Halal" attribute="1" defaultMemberUniqueName="[Avregning].[Halal].[Alle]" allUniqueName="[Avregning].[Halal].[Alle]" dimensionUniqueName="[Avregning]" displayFolder="" count="0" unbalancedGroup="0"/>
    <cacheHierarchy uniqueName="[Avregning].[Hoenas Alder I Uker]" caption="Hønas alder i uker" attribute="1" defaultMemberUniqueName="[Avregning].[Hoenas Alder I Uker].[Alle]" allUniqueName="[Avregning].[Hoenas Alder I Uker].[Alle]" dimensionUniqueName="[Avregning]" displayFolder="" count="0" unbalancedGroup="0"/>
    <cacheHierarchy uniqueName="[Avregning].[Individ Alder Dager]" caption="Individ Alder" attribute="1" defaultMemberUniqueName="[Avregning].[Individ Alder Dager].[Alle]" allUniqueName="[Avregning].[Individ Alder Dager].[Alle]" dimensionUniqueName="[Avregning]" displayFolder="" count="0" unbalancedGroup="0"/>
    <cacheHierarchy uniqueName="[Avregning].[Individ Nr]" caption="Individ Nr" attribute="1" defaultMemberUniqueName="[Avregning].[Individ Nr].[Alle]" allUniqueName="[Avregning].[Individ Nr].[Alle]" dimensionUniqueName="[Avregning]" displayFolder="" count="0" unbalancedGroup="0"/>
    <cacheHierarchy uniqueName="[Avregning].[Individmerke]" caption="Individmerke" attribute="1" defaultMemberUniqueName="[Avregning].[Individmerke].[Alle]" allUniqueName="[Avregning].[Individmerke].[Alle]" dimensionUniqueName="[Avregning]" displayFolder="" count="0" unbalancedGroup="0"/>
    <cacheHierarchy uniqueName="[Avregning].[Innkjoepsgruppe]" caption="Innkjoepsgruppe" attribute="1" defaultMemberUniqueName="[Avregning].[Innkjoepsgruppe].[Alle]" allUniqueName="[Avregning].[Innkjoepsgruppe].[Alle]" dimensionUniqueName="[Avregning]" displayFolder="" count="0" unbalancedGroup="0"/>
    <cacheHierarchy uniqueName="[Avregning].[Innkjoepsorg]" caption="Innkjoepsorg" attribute="1" defaultMemberUniqueName="[Avregning].[Innkjoepsorg].[Alle]" allUniqueName="[Avregning].[Innkjoepsorg].[Alle]" dimensionUniqueName="[Avregning]" displayFolder="" count="0" unbalancedGroup="0"/>
    <cacheHierarchy uniqueName="[Avregning].[Kjoereseddel Nr]" caption="Kjøreseddel nr" attribute="1" defaultMemberUniqueName="[Avregning].[Kjoereseddel Nr].[Alle]" allUniqueName="[Avregning].[Kjoereseddel Nr].[Alle]" dimensionUniqueName="[Avregning]" displayFolder="" count="0" unbalancedGroup="0"/>
    <cacheHierarchy uniqueName="[Avregning].[Kjoereseddeltype]" caption="Kjøreseddeltype" attribute="1" defaultMemberUniqueName="[Avregning].[Kjoereseddeltype].[Alle]" allUniqueName="[Avregning].[Kjoereseddeltype].[Alle]" dimensionUniqueName="[Avregning]" displayFolder="" count="0" unbalancedGroup="0"/>
    <cacheHierarchy uniqueName="[Avregning].[Kjoettprosent Kode]" caption="Kjøttprosent Kode" attribute="1" defaultMemberUniqueName="[Avregning].[Kjoettprosent Kode].[Alle]" allUniqueName="[Avregning].[Kjoettprosent Kode].[Alle]" dimensionUniqueName="[Avregning]" displayFolder="" count="0" unbalancedGroup="0"/>
    <cacheHierarchy uniqueName="[Avregning].[Km Avstand Leverandør]" caption="Avstand til mottagende fabrikk" attribute="1" defaultMemberUniqueName="[Avregning].[Km Avstand Leverandør].[Alle]" allUniqueName="[Avregning].[Km Avstand Leverandør].[Alle]" dimensionUniqueName="[Avregning]" displayFolder="" count="0" unbalancedGroup="0"/>
    <cacheHierarchy uniqueName="[Avregning].[Kondisjon]" caption="Kondisjon" attribute="1" defaultMemberUniqueName="[Avregning].[Kondisjon].[Alle]" allUniqueName="[Avregning].[Kondisjon].[Alle]" dimensionUniqueName="[Avregning]" displayFolder="" count="0" unbalancedGroup="0"/>
    <cacheHierarchy uniqueName="[Avregning].[Lassnr]" caption="Lassnummer" attribute="1" defaultMemberUniqueName="[Avregning].[Lassnr].[Alle]" allUniqueName="[Avregning].[Lassnr].[Alle]" dimensionUniqueName="[Avregning]" displayFolder="" count="0" unbalancedGroup="0"/>
    <cacheHierarchy uniqueName="[Avregning].[Material]" caption="Material" attribute="1" defaultMemberUniqueName="[Avregning].[Material].[Alle]" allUniqueName="[Avregning].[Material].[Alle]" dimensionUniqueName="[Avregning]" displayFolder="" count="0" unbalancedGroup="0"/>
    <cacheHierarchy uniqueName="[Avregning].[Merke]" caption="Opprinnelsesmerke" attribute="1" defaultMemberUniqueName="[Avregning].[Merke].[Alle]" allUniqueName="[Avregning].[Merke].[Alle]" dimensionUniqueName="[Avregning]" displayFolder="" count="0" unbalancedGroup="0"/>
    <cacheHierarchy uniqueName="[Avregning].[Mottaksdato]" caption="Mottaksdato" attribute="1" defaultMemberUniqueName="[Avregning].[Mottaksdato].[Alle]" allUniqueName="[Avregning].[Mottaksdato].[Alle]" dimensionUniqueName="[Avregning]" displayFolder="" count="0" unbalancedGroup="0"/>
    <cacheHierarchy uniqueName="[Avregning].[Overfoert Bankbeloep]" caption="Overfoert Bankbeloep" attribute="1" defaultMemberUniqueName="[Avregning].[Overfoert Bankbeloep].[Alle]" allUniqueName="[Avregning].[Overfoert Bankbeloep].[Alle]" dimensionUniqueName="[Avregning]" displayFolder="" count="0" unbalancedGroup="0"/>
    <cacheHierarchy uniqueName="[Avregning].[Overført Bank Dato]" caption="Overført Bank Dato" attribute="1" defaultMemberUniqueName="[Avregning].[Overført Bank Dato].[Alle]" allUniqueName="[Avregning].[Overført Bank Dato].[Alle]" dimensionUniqueName="[Avregning]" displayFolder="" count="0" unbalancedGroup="0"/>
    <cacheHierarchy uniqueName="[Avregning].[Parti Nr]" caption="Skrottnr" attribute="1" defaultMemberUniqueName="[Avregning].[Parti Nr].[Alle]" allUniqueName="[Avregning].[Parti Nr].[Alle]" dimensionUniqueName="[Avregning]" displayFolder="" count="0" unbalancedGroup="0"/>
    <cacheHierarchy uniqueName="[Avregning].[Rute Kode]" caption="Rutenummer" attribute="1" defaultMemberUniqueName="[Avregning].[Rute Kode].[Alle]" allUniqueName="[Avregning].[Rute Kode].[Alle]" dimensionUniqueName="[Avregning]" displayFolder="" count="0" unbalancedGroup="0"/>
    <cacheHierarchy uniqueName="[Avregning].[Sjaafoer Nr]" caption="Bilnummer" attribute="1" defaultMemberUniqueName="[Avregning].[Sjaafoer Nr].[Alle]" allUniqueName="[Avregning].[Sjaafoer Nr].[Alle]" dimensionUniqueName="[Avregning]" displayFolder="" count="0" unbalancedGroup="0"/>
    <cacheHierarchy uniqueName="[Avregning].[Slaktedato]" caption="Slaktedato" attribute="1" defaultMemberUniqueName="[Avregning].[Slaktedato].[Alle]" allUniqueName="[Avregning].[Slaktedato].[Alle]" dimensionUniqueName="[Avregning]" displayFolder="" count="0" unbalancedGroup="0"/>
    <cacheHierarchy uniqueName="[Avregning].[Slakteklasse Kode]" caption="Klasse" attribute="1" defaultMemberUniqueName="[Avregning].[Slakteklasse Kode].[Alle]" allUniqueName="[Avregning].[Slakteklasse Kode].[Alle]" dimensionUniqueName="[Avregning]" displayFolder="" count="0" unbalancedGroup="0"/>
    <cacheHierarchy uniqueName="[Avregning].[Standardsats]" caption="Standardsats" attribute="1" defaultMemberUniqueName="[Avregning].[Standardsats].[Alle]" allUniqueName="[Avregning].[Standardsats].[Alle]" dimensionUniqueName="[Avregning]" displayFolder="" count="0" unbalancedGroup="0"/>
    <cacheHierarchy uniqueName="[Avregning].[Transportsone Nr]" caption="Transportsone" attribute="1" defaultMemberUniqueName="[Avregning].[Transportsone Nr].[Alle]" allUniqueName="[Avregning].[Transportsone Nr].[Alle]" dimensionUniqueName="[Avregning]" displayFolder="" count="0" unbalancedGroup="0"/>
    <cacheHierarchy uniqueName="[Avregning].[TurNr]" caption="TurNr" attribute="1" defaultMemberUniqueName="[Avregning].[TurNr].[Alle]" allUniqueName="[Avregning].[TurNr].[Alle]" dimensionUniqueName="[Avregning]" displayFolder="" count="0" unbalancedGroup="0"/>
    <cacheHierarchy uniqueName="[Datakilde].[Forkortelse]" caption="Forkortelse" attribute="1" defaultMemberUniqueName="[Datakilde].[Forkortelse].[Alle]" allUniqueName="[Datakilde].[Forkortelse].[Alle]" dimensionUniqueName="[Datakilde]" displayFolder="" count="0" unbalancedGroup="0"/>
    <cacheHierarchy uniqueName="[Datasett].[Datasett]" caption="Datasett" attribute="1" keyAttribute="1" defaultMemberUniqueName="[Datasett].[Datasett].[All]" allUniqueName="[Datasett].[Datasett].[All]" dimensionUniqueName="[Datasett]" displayFolder="" count="0" unbalancedGroup="0"/>
    <cacheHierarchy uniqueName="[Hønas alder].[Hønas alder]" caption="Hønas alder" attribute="1" keyAttribute="1" defaultMemberUniqueName="[Hønas alder].[Hønas alder].[All]" allUniqueName="[Hønas alder].[Hønas alder].[All]" dimensionUniqueName="[Hønas alder]" displayFolder="" count="0" unbalancedGroup="0"/>
    <cacheHierarchy uniqueName="[Kunde].[Adresse]" caption="Adresse" attribute="1" defaultMemberUniqueName="[Kunde].[Adresse].[Alle]" allUniqueName="[Kunde].[Adresse].[Alle]" dimensionUniqueName="[Kunde]" displayFolder="" count="0" unbalancedGroup="0"/>
    <cacheHierarchy uniqueName="[Kunde].[Adresse2]" caption="Adresse2" attribute="1" defaultMemberUniqueName="[Kunde].[Adresse2].[Alle]" allUniqueName="[Kunde].[Adresse2].[Alle]" dimensionUniqueName="[Kunde]" displayFolder="" count="0" unbalancedGroup="0"/>
    <cacheHierarchy uniqueName="[Kunde].[Bankgiro]" caption="Bankgiro" attribute="1" defaultMemberUniqueName="[Kunde].[Bankgiro].[Alle]" allUniqueName="[Kunde].[Bankgiro].[Alle]" dimensionUniqueName="[Kunde]" displayFolder="" count="0" unbalancedGroup="0"/>
    <cacheHierarchy uniqueName="[Kunde].[Distriktssone]" caption="Distriktssone" attribute="1" defaultMemberUniqueName="[Kunde].[Distriktssone].[Alle]" allUniqueName="[Kunde].[Distriktssone].[Alle]" dimensionUniqueName="[Kunde]" displayFolder="" count="0" unbalancedGroup="0"/>
    <cacheHierarchy uniqueName="[Kunde].[Epost]" caption="Epost" attribute="1" defaultMemberUniqueName="[Kunde].[Epost].[Alle]" allUniqueName="[Kunde].[Epost].[Alle]" dimensionUniqueName="[Kunde]" displayFolder="" count="0" unbalancedGroup="0"/>
    <cacheHierarchy uniqueName="[Kunde].[Foedsels Nr]" caption="Fødselsnr" attribute="1" defaultMemberUniqueName="[Kunde].[Foedsels Nr].[Alle]" allUniqueName="[Kunde].[Foedsels Nr].[Alle]" dimensionUniqueName="[Kunde]" displayFolder="" count="0" unbalancedGroup="0"/>
    <cacheHierarchy uniqueName="[Kunde].[Fylke]" caption="Fylke navn" attribute="1" defaultMemberUniqueName="[Kunde].[Fylke].[Alle]" allUniqueName="[Kunde].[Fylke].[Alle]" dimensionUniqueName="[Kunde]" displayFolder="" count="0" unbalancedGroup="0"/>
    <cacheHierarchy uniqueName="[Kunde].[Fylkesnr Navn]" caption="Fylke" attribute="1" defaultMemberUniqueName="[Kunde].[Fylkesnr Navn].[Alle]" allUniqueName="[Kunde].[Fylkesnr Navn].[Alle]" dimensionUniqueName="[Kunde]" displayFolder="" count="0" unbalancedGroup="0"/>
    <cacheHierarchy uniqueName="[Kunde].[Gps Koordinat Nord]" caption="Gps Koordinat Nord" attribute="1" defaultMemberUniqueName="[Kunde].[Gps Koordinat Nord].[Alle]" allUniqueName="[Kunde].[Gps Koordinat Nord].[Alle]" dimensionUniqueName="[Kunde]" displayFolder="" count="0" unbalancedGroup="0"/>
    <cacheHierarchy uniqueName="[Kunde].[Gps Koordinat Oest]" caption="Gps Koordinat Oest" attribute="1" defaultMemberUniqueName="[Kunde].[Gps Koordinat Oest].[Alle]" allUniqueName="[Kunde].[Gps Koordinat Oest].[Alle]" dimensionUniqueName="[Kunde]" displayFolder="" count="0" unbalancedGroup="0"/>
    <cacheHierarchy uniqueName="[Kunde].[Gaards Og Bruks Nr]" caption="Gårds og bruksnummer" attribute="1" defaultMemberUniqueName="[Kunde].[Gaards Og Bruks Nr].[Alle]" allUniqueName="[Kunde].[Gaards Og Bruks Nr].[Alle]" dimensionUniqueName="[Kunde]" displayFolder="" count="0" unbalancedGroup="0"/>
    <cacheHierarchy uniqueName="[Kunde].[Hjemmeside]" caption="Hjemmeside" attribute="1" defaultMemberUniqueName="[Kunde].[Hjemmeside].[Alle]" allUniqueName="[Kunde].[Hjemmeside].[Alle]" dimensionUniqueName="[Kunde]" displayFolder="" count="0" unbalancedGroup="0"/>
    <cacheHierarchy uniqueName="[Kunde].[Hovedfabrikk]" caption="Hovedfabrikk" attribute="1" defaultMemberUniqueName="[Kunde].[Hovedfabrikk].[Alle]" allUniqueName="[Kunde].[Hovedfabrikk].[Alle]" dimensionUniqueName="[Kunde]" displayFolder="" count="0" unbalancedGroup="0"/>
    <cacheHierarchy uniqueName="[Kunde].[IBAN]" caption="IBAN" attribute="1" defaultMemberUniqueName="[Kunde].[IBAN].[Alle]" allUniqueName="[Kunde].[IBAN].[Alle]" dimensionUniqueName="[Kunde]" displayFolder="" count="0" unbalancedGroup="0"/>
    <cacheHierarchy uniqueName="[Kunde].[Kommune]" caption="Kommune navn" attribute="1" defaultMemberUniqueName="[Kunde].[Kommune].[Alle]" allUniqueName="[Kunde].[Kommune].[Alle]" dimensionUniqueName="[Kunde]" displayFolder="" count="0" unbalancedGroup="0"/>
    <cacheHierarchy uniqueName="[Kunde].[Kommunenr Navn]" caption="Kommune" attribute="1" defaultMemberUniqueName="[Kunde].[Kommunenr Navn].[Alle]" allUniqueName="[Kunde].[Kommunenr Navn].[Alle]" dimensionUniqueName="[Kunde]" displayFolder="" count="0" unbalancedGroup="0"/>
    <cacheHierarchy uniqueName="[Kunde].[Kunde nr]" caption="Kunde nr" attribute="1" defaultMemberUniqueName="[Kunde].[Kunde nr].[Alle]" allUniqueName="[Kunde].[Kunde nr].[Alle]" dimensionUniqueName="[Kunde]" displayFolder="" count="0" unbalancedGroup="0"/>
    <cacheHierarchy uniqueName="[Kunde].[Kunde Nr Navn]" caption="Kunde" attribute="1" defaultMemberUniqueName="[Kunde].[Kunde Nr Navn].[Alle]" allUniqueName="[Kunde].[Kunde Nr Navn].[Alle]" dimensionUniqueName="[Kunde]" displayFolder="" count="0" unbalancedGroup="0"/>
    <cacheHierarchy uniqueName="[Kunde].[Medlemskap Tekst]" caption="Medlemskap" attribute="1" defaultMemberUniqueName="[Kunde].[Medlemskap Tekst].[Alle]" allUniqueName="[Kunde].[Medlemskap Tekst].[Alle]" dimensionUniqueName="[Kunde]" displayFolder="" count="0" unbalancedGroup="0"/>
    <cacheHierarchy uniqueName="[Kunde].[Medlemsrettighet Tekst]" caption="Medlemsrettighet" attribute="1" defaultMemberUniqueName="[Kunde].[Medlemsrettighet Tekst].[Alle]" allUniqueName="[Kunde].[Medlemsrettighet Tekst].[Alle]" dimensionUniqueName="[Kunde]" displayFolder="" count="0" unbalancedGroup="0"/>
    <cacheHierarchy uniqueName="[Kunde].[Mobil]" caption="Mobil" attribute="1" defaultMemberUniqueName="[Kunde].[Mobil].[Alle]" allUniqueName="[Kunde].[Mobil].[Alle]" dimensionUniqueName="[Kunde]" displayFolder="" count="0" unbalancedGroup="0"/>
    <cacheHierarchy uniqueName="[Kunde].[Org Nr]" caption="Organisasjons nr" attribute="1" defaultMemberUniqueName="[Kunde].[Org Nr].[Alle]" allUniqueName="[Kunde].[Org Nr].[Alle]" dimensionUniqueName="[Kunde]" displayFolder="" count="0" unbalancedGroup="0"/>
    <cacheHierarchy uniqueName="[Kunde].[Post nr sted]" caption="Post nr sted" attribute="1" defaultMemberUniqueName="[Kunde].[Post nr sted].[Alle]" allUniqueName="[Kunde].[Post nr sted].[Alle]" dimensionUniqueName="[Kunde]" displayFolder="" count="0" unbalancedGroup="0"/>
    <cacheHierarchy uniqueName="[Kunde].[Produsent Nr Navn]" caption="Produsent" attribute="1" defaultMemberUniqueName="[Kunde].[Produsent Nr Navn].[Alle]" allUniqueName="[Kunde].[Produsent Nr Navn].[Alle]" dimensionUniqueName="[Kunde]" displayFolder="" count="0" unbalancedGroup="0"/>
    <cacheHierarchy uniqueName="[Kunde].[Produsentgeografi]" caption="Produsentgeografi" defaultMemberUniqueName="[Kunde].[Produsentgeografi].[Alle]" allUniqueName="[Kunde].[Produsentgeografi].[Alle]" dimensionUniqueName="[Kunde]" displayFolder="" count="0" unbalancedGroup="0"/>
    <cacheHierarchy uniqueName="[Kunde].[Produsentstatus]" caption="Produsentstatus" attribute="1" defaultMemberUniqueName="[Kunde].[Produsentstatus].[Alle]" allUniqueName="[Kunde].[Produsentstatus].[Alle]" dimensionUniqueName="[Kunde]" displayFolder="" count="0" unbalancedGroup="0"/>
    <cacheHierarchy uniqueName="[Kunde].[Telefon dag]" caption="Telefon dag" attribute="1" defaultMemberUniqueName="[Kunde].[Telefon dag].[Alle]" allUniqueName="[Kunde].[Telefon dag].[Alle]" dimensionUniqueName="[Kunde]" displayFolder="" count="0" unbalancedGroup="0"/>
    <cacheHierarchy uniqueName="[Kunde].[Telefon kveld]" caption="Telefon kveld" attribute="1" defaultMemberUniqueName="[Kunde].[Telefon kveld].[Alle]" allUniqueName="[Kunde].[Telefon kveld].[Alle]" dimensionUniqueName="[Kunde]" displayFolder="" count="0" unbalancedGroup="0"/>
    <cacheHierarchy uniqueName="[Leverandør].[Adresse]" caption="Adresse" attribute="1" defaultMemberUniqueName="[Leverandør].[Adresse].[Alle]" allUniqueName="[Leverandør].[Adresse].[Alle]" dimensionUniqueName="[Leverandør]" displayFolder="" count="0" unbalancedGroup="0"/>
    <cacheHierarchy uniqueName="[Leverandør].[Adresse Hoved]" caption="Adresse Hoved" attribute="1" defaultMemberUniqueName="[Leverandør].[Adresse Hoved].[Alle]" allUniqueName="[Leverandør].[Adresse Hoved].[Alle]" dimensionUniqueName="[Leverandør]" displayFolder="" count="0" unbalancedGroup="0"/>
    <cacheHierarchy uniqueName="[Leverandør].[Adresse2]" caption="Adresse2" attribute="1" defaultMemberUniqueName="[Leverandør].[Adresse2].[Alle]" allUniqueName="[Leverandør].[Adresse2].[Alle]" dimensionUniqueName="[Leverandør]" displayFolder="" count="0" unbalancedGroup="0"/>
    <cacheHierarchy uniqueName="[Leverandør].[Adresse2 Hoved]" caption="Adresse2 Hoved" attribute="1" defaultMemberUniqueName="[Leverandør].[Adresse2 Hoved].[Alle]" allUniqueName="[Leverandør].[Adresse2 Hoved].[Alle]" dimensionUniqueName="[Leverandør]" displayFolder="" count="0" unbalancedGroup="0"/>
    <cacheHierarchy uniqueName="[Leverandør].[Andel]" caption="Andel" attribute="1" defaultMemberUniqueName="[Leverandør].[Andel].[Alle]" allUniqueName="[Leverandør].[Andel].[Alle]" dimensionUniqueName="[Leverandør]" displayFolder="" count="0" unbalancedGroup="0"/>
    <cacheHierarchy uniqueName="[Leverandør].[Andelsbrev]" caption="Andelsbrev" attribute="1" defaultMemberUniqueName="[Leverandør].[Andelsbrev].[Alle]" allUniqueName="[Leverandør].[Andelsbrev].[Alle]" dimensionUniqueName="[Leverandør]" displayFolder="" count="0" unbalancedGroup="0"/>
    <cacheHierarchy uniqueName="[Leverandør].[Bankgiro]" caption="Bankgiro" attribute="1" defaultMemberUniqueName="[Leverandør].[Bankgiro].[Alle]" allUniqueName="[Leverandør].[Bankgiro].[Alle]" dimensionUniqueName="[Leverandør]" displayFolder="" count="0" unbalancedGroup="0"/>
    <cacheHierarchy uniqueName="[Leverandør].[Distriktssone]" caption="Distriktssone" attribute="1" defaultMemberUniqueName="[Leverandør].[Distriktssone].[Alle]" allUniqueName="[Leverandør].[Distriktssone].[Alle]" dimensionUniqueName="[Leverandør]" displayFolder="" count="0" unbalancedGroup="0"/>
    <cacheHierarchy uniqueName="[Leverandør].[Driftskreditt]" caption="Driftskreditt" attribute="1" defaultMemberUniqueName="[Leverandør].[Driftskreditt].[Alle]" allUniqueName="[Leverandør].[Driftskreditt].[Alle]" dimensionUniqueName="[Leverandør]" displayFolder="" count="0" unbalancedGroup="0"/>
    <cacheHierarchy uniqueName="[Leverandør].[Dyreholdsid]" caption="Dyreholdsid" attribute="1" defaultMemberUniqueName="[Leverandør].[Dyreholdsid].[Alle]" allUniqueName="[Leverandør].[Dyreholdsid].[Alle]" dimensionUniqueName="[Leverandør]" displayFolder="" count="0" unbalancedGroup="0"/>
    <cacheHierarchy uniqueName="[Leverandør].[Epost]" caption="Epost" attribute="1" defaultMemberUniqueName="[Leverandør].[Epost].[Alle]" allUniqueName="[Leverandør].[Epost].[Alle]" dimensionUniqueName="[Leverandør]" displayFolder="" count="0" unbalancedGroup="0"/>
    <cacheHierarchy uniqueName="[Leverandør].[Epost Hoved]" caption="Epost Hoved" attribute="1" defaultMemberUniqueName="[Leverandør].[Epost Hoved].[Alle]" allUniqueName="[Leverandør].[Epost Hoved].[Alle]" dimensionUniqueName="[Leverandør]" displayFolder="" count="0" unbalancedGroup="0"/>
    <cacheHierarchy uniqueName="[Leverandør].[Foedsels Nr]" caption="Fødselsnr" attribute="1" defaultMemberUniqueName="[Leverandør].[Foedsels Nr].[Alle]" allUniqueName="[Leverandør].[Foedsels Nr].[Alle]" dimensionUniqueName="[Leverandør]" displayFolder="" count="0" unbalancedGroup="0"/>
    <cacheHierarchy uniqueName="[Leverandør].[Foedselsdato]" caption="Fødselsdato" attribute="1" defaultMemberUniqueName="[Leverandør].[Foedselsdato].[Alle]" allUniqueName="[Leverandør].[Foedselsdato].[Alle]" dimensionUniqueName="[Leverandør]" displayFolder="" count="0" unbalancedGroup="0"/>
    <cacheHierarchy uniqueName="[Leverandør].[Frakttilskuddsone]" caption="Frakttilskuddsone" attribute="1" defaultMemberUniqueName="[Leverandør].[Frakttilskuddsone].[Alle]" allUniqueName="[Leverandør].[Frakttilskuddsone].[Alle]" dimensionUniqueName="[Leverandør]" displayFolder="" count="0" unbalancedGroup="0"/>
    <cacheHierarchy uniqueName="[Leverandør].[Fylke]" caption="Fylke navn" attribute="1" defaultMemberUniqueName="[Leverandør].[Fylke].[Alle]" allUniqueName="[Leverandør].[Fylke].[Alle]" dimensionUniqueName="[Leverandør]" displayFolder="" count="0" unbalancedGroup="0"/>
    <cacheHierarchy uniqueName="[Leverandør].[Fylke nr]" caption="Fylke nr" attribute="1" defaultMemberUniqueName="[Leverandør].[Fylke nr].[Alle]" allUniqueName="[Leverandør].[Fylke nr].[Alle]" dimensionUniqueName="[Leverandør]" displayFolder="" count="0" unbalancedGroup="0"/>
    <cacheHierarchy uniqueName="[Leverandør].[Fylkesnr Navn]" caption="Fylke" attribute="1" defaultMemberUniqueName="[Leverandør].[Fylkesnr Navn].[Alle]" allUniqueName="[Leverandør].[Fylkesnr Navn].[Alle]" dimensionUniqueName="[Leverandør]" displayFolder="" count="0" unbalancedGroup="0"/>
    <cacheHierarchy uniqueName="[Leverandør].[Gps Koordinat Nord]" caption="Gps Koordinat Nord" attribute="1" defaultMemberUniqueName="[Leverandør].[Gps Koordinat Nord].[Alle]" allUniqueName="[Leverandør].[Gps Koordinat Nord].[Alle]" dimensionUniqueName="[Leverandør]" displayFolder="" count="0" unbalancedGroup="0"/>
    <cacheHierarchy uniqueName="[Leverandør].[Gps Koordinat Oest]" caption="Gps Koordinat Oest" attribute="1" defaultMemberUniqueName="[Leverandør].[Gps Koordinat Oest].[Alle]" allUniqueName="[Leverandør].[Gps Koordinat Oest].[Alle]" dimensionUniqueName="[Leverandør]" displayFolder="" count="0" unbalancedGroup="0"/>
    <cacheHierarchy uniqueName="[Leverandør].[Gyldig Fra]" caption="Gyldig Fra" attribute="1" defaultMemberUniqueName="[Leverandør].[Gyldig Fra].[Alle]" allUniqueName="[Leverandør].[Gyldig Fra].[Alle]" dimensionUniqueName="[Leverandør]" displayFolder="" count="0" unbalancedGroup="0"/>
    <cacheHierarchy uniqueName="[Leverandør].[Gårds og Bruks Nr]" caption="Gårds og bruksnummer" attribute="1" defaultMemberUniqueName="[Leverandør].[Gårds og Bruks Nr].[Alle]" allUniqueName="[Leverandør].[Gårds og Bruks Nr].[Alle]" dimensionUniqueName="[Leverandør]" displayFolder="" count="0" unbalancedGroup="0"/>
    <cacheHierarchy uniqueName="[Leverandør].[Hjemmeside]" caption="Hjemmeside" attribute="1" defaultMemberUniqueName="[Leverandør].[Hjemmeside].[Alle]" allUniqueName="[Leverandør].[Hjemmeside].[Alle]" dimensionUniqueName="[Leverandør]" displayFolder="" count="0" unbalancedGroup="0"/>
    <cacheHierarchy uniqueName="[Leverandør].[Hovedfabrikk]" caption="Hovedfabrikk" attribute="1" defaultMemberUniqueName="[Leverandør].[Hovedfabrikk].[Alle]" allUniqueName="[Leverandør].[Hovedfabrikk].[Alle]" dimensionUniqueName="[Leverandør]" displayFolder="" count="0" unbalancedGroup="0"/>
    <cacheHierarchy uniqueName="[Leverandør].[IBAN]" caption="IBAN" attribute="1" defaultMemberUniqueName="[Leverandør].[IBAN].[Alle]" allUniqueName="[Leverandør].[IBAN].[Alle]" dimensionUniqueName="[Leverandør]" displayFolder="" count="0" unbalancedGroup="0"/>
    <cacheHierarchy uniqueName="[Leverandør].[Kommune]" caption="Kommune navn" attribute="1" defaultMemberUniqueName="[Leverandør].[Kommune].[Alle]" allUniqueName="[Leverandør].[Kommune].[Alle]" dimensionUniqueName="[Leverandør]" displayFolder="" count="0" unbalancedGroup="0"/>
    <cacheHierarchy uniqueName="[Leverandør].[Kommune nr]" caption="Kommune nr" attribute="1" defaultMemberUniqueName="[Leverandør].[Kommune nr].[Alle]" allUniqueName="[Leverandør].[Kommune nr].[Alle]" dimensionUniqueName="[Leverandør]" displayFolder="" count="0" unbalancedGroup="0"/>
    <cacheHierarchy uniqueName="[Leverandør].[Kommunenr Navn]" caption="Kommune" attribute="1" defaultMemberUniqueName="[Leverandør].[Kommunenr Navn].[Alle]" allUniqueName="[Leverandør].[Kommunenr Navn].[Alle]" dimensionUniqueName="[Leverandør]" displayFolder="" count="0" unbalancedGroup="0"/>
    <cacheHierarchy uniqueName="[Leverandør].[KSL godkjent]" caption="KSL godkjent" attribute="1" defaultMemberUniqueName="[Leverandør].[KSL godkjent].[Alle]" allUniqueName="[Leverandør].[KSL godkjent].[Alle]" dimensionUniqueName="[Leverandør]" displayFolder="" count="0" unbalancedGroup="0"/>
    <cacheHierarchy uniqueName="[Leverandør].[KSL Stoppdato]" caption="KSL Stoppdato" attribute="1" defaultMemberUniqueName="[Leverandør].[KSL Stoppdato].[Alle]" allUniqueName="[Leverandør].[KSL Stoppdato].[Alle]" dimensionUniqueName="[Leverandør]" displayFolder="" count="0" unbalancedGroup="0"/>
    <cacheHierarchy uniqueName="[Leverandør].[Leverandoer]" caption="Leverandør navn" attribute="1" defaultMemberUniqueName="[Leverandør].[Leverandoer].[Alle]" allUniqueName="[Leverandør].[Leverandoer].[Alle]" dimensionUniqueName="[Leverandør]" displayFolder="" count="0" unbalancedGroup="0"/>
    <cacheHierarchy uniqueName="[Leverandør].[Leverandoer Gruppe]" caption="Leverandørgruppe" attribute="1" defaultMemberUniqueName="[Leverandør].[Leverandoer Gruppe].[Alle]" allUniqueName="[Leverandør].[Leverandoer Gruppe].[Alle]" dimensionUniqueName="[Leverandør]" displayFolder="" count="2" unbalanced="0" unbalancedGroup="0">
      <fieldsUsage count="2">
        <fieldUsage x="-1"/>
        <fieldUsage x="20"/>
      </fieldsUsage>
    </cacheHierarchy>
    <cacheHierarchy uniqueName="[Leverandør].[Leverandoernr Navn Hoved]" caption="Leverandør hoved" attribute="1" defaultMemberUniqueName="[Leverandør].[Leverandoernr Navn Hoved].[Alle]" allUniqueName="[Leverandør].[Leverandoernr Navn Hoved].[Alle]" dimensionUniqueName="[Leverandør]" displayFolder="" count="2" unbalanced="0" unbalancedGroup="0">
      <fieldsUsage count="2">
        <fieldUsage x="-1"/>
        <fieldUsage x="28"/>
      </fieldsUsage>
    </cacheHierarchy>
    <cacheHierarchy uniqueName="[Leverandør].[Leverandør Nr]" caption="Leverandør Nr" attribute="1" defaultMemberUniqueName="[Leverandør].[Leverandør Nr].[Alle]" allUniqueName="[Leverandør].[Leverandør Nr].[Alle]" dimensionUniqueName="[Leverandør]" displayFolder="" count="0" unbalancedGroup="0"/>
    <cacheHierarchy uniqueName="[Leverandør].[Leverandør nr hoved]" caption="Leverandør nr hoved" attribute="1" defaultMemberUniqueName="[Leverandør].[Leverandør nr hoved].[Alle]" allUniqueName="[Leverandør].[Leverandør nr hoved].[Alle]" dimensionUniqueName="[Leverandør]" displayFolder="" count="0" unbalancedGroup="0"/>
    <cacheHierarchy uniqueName="[Leverandør].[Leverandør Nr Navn]" caption="Leverandør" attribute="1" defaultMemberUniqueName="[Leverandør].[Leverandør Nr Navn].[Alle]" allUniqueName="[Leverandør].[Leverandør Nr Navn].[Alle]" dimensionUniqueName="[Leverandør]" displayFolder="" count="0" unbalancedGroup="0"/>
    <cacheHierarchy uniqueName="[Leverandør].[Leverandør Nr SAP]" caption="Leverandør Nr SAP" attribute="1" defaultMemberUniqueName="[Leverandør].[Leverandør Nr SAP].[Alle]" allUniqueName="[Leverandør].[Leverandør Nr SAP].[Alle]" dimensionUniqueName="[Leverandør]" displayFolder="" count="0" unbalancedGroup="0"/>
    <cacheHierarchy uniqueName="[Leverandør].[Leverandør SAP]" caption="Leverandør SAP" attribute="1" defaultMemberUniqueName="[Leverandør].[Leverandør SAP].[Alle]" allUniqueName="[Leverandør].[Leverandør SAP].[Alle]" dimensionUniqueName="[Leverandør]" displayFolder="" count="0" unbalancedGroup="0"/>
    <cacheHierarchy uniqueName="[Leverandør].[Medlemskap]" caption="Medlemskap" attribute="1" defaultMemberUniqueName="[Leverandør].[Medlemskap].[Alle]" allUniqueName="[Leverandør].[Medlemskap].[Alle]" dimensionUniqueName="[Leverandør]" displayFolder="" count="0" unbalancedGroup="0"/>
    <cacheHierarchy uniqueName="[Leverandør].[Medlemskap Hoved]" caption="Medlemskap Hoved" attribute="1" defaultMemberUniqueName="[Leverandør].[Medlemskap Hoved].[Alle]" allUniqueName="[Leverandør].[Medlemskap Hoved].[Alle]" dimensionUniqueName="[Leverandør]" displayFolder="" count="0" unbalancedGroup="0"/>
    <cacheHierarchy uniqueName="[Leverandør].[Medlemskapdato]" caption="Medlemskapdato" attribute="1" defaultMemberUniqueName="[Leverandør].[Medlemskapdato].[Alle]" allUniqueName="[Leverandør].[Medlemskapdato].[Alle]" dimensionUniqueName="[Leverandør]" displayFolder="" count="0" unbalancedGroup="0"/>
    <cacheHierarchy uniqueName="[Leverandør].[Medlemsrettighet]" caption="Medlemsrettighet" attribute="1" defaultMemberUniqueName="[Leverandør].[Medlemsrettighet].[Alle]" allUniqueName="[Leverandør].[Medlemsrettighet].[Alle]" dimensionUniqueName="[Leverandør]" displayFolder="" count="0" unbalancedGroup="0"/>
    <cacheHierarchy uniqueName="[Leverandør].[Medlemsrettighet Hoved]" caption="Medlemsrettighet Hoved" attribute="1" defaultMemberUniqueName="[Leverandør].[Medlemsrettighet Hoved].[Alle]" allUniqueName="[Leverandør].[Medlemsrettighet Hoved].[Alle]" dimensionUniqueName="[Leverandør]" displayFolder="" count="0" unbalancedGroup="0"/>
    <cacheHierarchy uniqueName="[Leverandør].[Mobil]" caption="Mobil" attribute="1" defaultMemberUniqueName="[Leverandør].[Mobil].[Alle]" allUniqueName="[Leverandør].[Mobil].[Alle]" dimensionUniqueName="[Leverandør]" displayFolder="" count="0" unbalancedGroup="0"/>
    <cacheHierarchy uniqueName="[Leverandør].[Mobil Hoved]" caption="Mobil Hoved" attribute="1" defaultMemberUniqueName="[Leverandør].[Mobil Hoved].[Alle]" allUniqueName="[Leverandør].[Mobil Hoved].[Alle]" dimensionUniqueName="[Leverandør]" displayFolder="" count="0" unbalancedGroup="0"/>
    <cacheHierarchy uniqueName="[Leverandør].[Org Nr]" caption="Organisasjons nr" attribute="1" defaultMemberUniqueName="[Leverandør].[Org Nr].[Alle]" allUniqueName="[Leverandør].[Org Nr].[Alle]" dimensionUniqueName="[Leverandør]" displayFolder="" count="0" unbalancedGroup="0"/>
    <cacheHierarchy uniqueName="[Leverandør].[Orgnr Hoved]" caption="Orgnr Hoved" attribute="1" defaultMemberUniqueName="[Leverandør].[Orgnr Hoved].[Alle]" allUniqueName="[Leverandør].[Orgnr Hoved].[Alle]" dimensionUniqueName="[Leverandør]" displayFolder="" count="0" unbalancedGroup="0"/>
    <cacheHierarchy uniqueName="[Leverandør].[Overdragelsesdato]" caption="Overdragelsesdato" attribute="1" defaultMemberUniqueName="[Leverandør].[Overdragelsesdato].[Alle]" allUniqueName="[Leverandør].[Overdragelsesdato].[Alle]" dimensionUniqueName="[Leverandør]" displayFolder="" count="0" unbalancedGroup="0"/>
    <cacheHierarchy uniqueName="[Leverandør].[Post nr sted]" caption="Post nr sted" attribute="1" defaultMemberUniqueName="[Leverandør].[Post nr sted].[Alle]" allUniqueName="[Leverandør].[Post nr sted].[Alle]" dimensionUniqueName="[Leverandør]" displayFolder="" count="0" unbalancedGroup="0"/>
    <cacheHierarchy uniqueName="[Leverandør].[Post nr sted Hoved]" caption="Post nr sted Hoved" attribute="1" defaultMemberUniqueName="[Leverandør].[Post nr sted Hoved].[Alle]" allUniqueName="[Leverandør].[Post nr sted Hoved].[Alle]" dimensionUniqueName="[Leverandør]" displayFolder="" count="0" unbalancedGroup="0"/>
    <cacheHierarchy uniqueName="[Leverandør].[Produsent]" caption="Produsent navn" attribute="1" defaultMemberUniqueName="[Leverandør].[Produsent].[Alle]" allUniqueName="[Leverandør].[Produsent].[Alle]" dimensionUniqueName="[Leverandør]" displayFolder="" count="0" unbalancedGroup="0"/>
    <cacheHierarchy uniqueName="[Leverandør].[Produsent nr]" caption="Produsent nr" attribute="1" defaultMemberUniqueName="[Leverandør].[Produsent nr].[Alle]" allUniqueName="[Leverandør].[Produsent nr].[Alle]" dimensionUniqueName="[Leverandør]" displayFolder="" count="0" unbalancedGroup="0"/>
    <cacheHierarchy uniqueName="[Leverandør].[Produsent Nr Navn]" caption="Produsent" attribute="1" defaultMemberUniqueName="[Leverandør].[Produsent Nr Navn].[Alle]" allUniqueName="[Leverandør].[Produsent Nr Navn].[Alle]" dimensionUniqueName="[Leverandør]" displayFolder="" count="0" unbalancedGroup="0"/>
    <cacheHierarchy uniqueName="[Leverandør].[Produsent Nr Navn Hoved]" caption="Produsent Hoved" attribute="1" defaultMemberUniqueName="[Leverandør].[Produsent Nr Navn Hoved].[Alle]" allUniqueName="[Leverandør].[Produsent Nr Navn Hoved].[Alle]" dimensionUniqueName="[Leverandør]" displayFolder="" count="0" unbalancedGroup="0"/>
    <cacheHierarchy uniqueName="[Leverandør].[Produsentgeografi]" caption="Produsentgeografi" defaultMemberUniqueName="[Leverandør].[Produsentgeografi].[Alle]" allUniqueName="[Leverandør].[Produsentgeografi].[Alle]" dimensionUniqueName="[Leverandør]" displayFolder="" count="3" unbalanced="0" unbalancedGroup="0">
      <fieldsUsage count="3">
        <fieldUsage x="-1"/>
        <fieldUsage x="17"/>
        <fieldUsage x="18"/>
      </fieldsUsage>
    </cacheHierarchy>
    <cacheHierarchy uniqueName="[Leverandør].[Produsentstatus]" caption="Produsentstatus" attribute="1" defaultMemberUniqueName="[Leverandør].[Produsentstatus].[Alle]" allUniqueName="[Leverandør].[Produsentstatus].[Alle]" dimensionUniqueName="[Leverandør]" displayFolder="" count="0" unbalancedGroup="0"/>
    <cacheHierarchy uniqueName="[Leverandør].[Siste Avregningsdato]" caption="Siste Avregningsdato" attribute="1" defaultMemberUniqueName="[Leverandør].[Siste Avregningsdato].[Alle]" allUniqueName="[Leverandør].[Siste Avregningsdato].[Alle]" dimensionUniqueName="[Leverandør]" displayFolder="" count="0" unbalancedGroup="0"/>
    <cacheHierarchy uniqueName="[Leverandør].[Siste Mottaksdato]" caption="Siste Mottaksdato" attribute="1" defaultMemberUniqueName="[Leverandør].[Siste Mottaksdato].[Alle]" allUniqueName="[Leverandør].[Siste Mottaksdato].[Alle]" dimensionUniqueName="[Leverandør]" displayFolder="" count="0" unbalancedGroup="0"/>
    <cacheHierarchy uniqueName="[Leverandør].[Sperret For Ordreopptak]" caption="Sperret For Ordreopptak" attribute="1" defaultMemberUniqueName="[Leverandør].[Sperret For Ordreopptak].[Alle]" allUniqueName="[Leverandør].[Sperret For Ordreopptak].[Alle]" dimensionUniqueName="[Leverandør]" displayFolder="" count="0" unbalancedGroup="0"/>
    <cacheHierarchy uniqueName="[Leverandør].[Sperret Fra]" caption="Sperret Fra" attribute="1" defaultMemberUniqueName="[Leverandør].[Sperret Fra].[Alle]" allUniqueName="[Leverandør].[Sperret Fra].[Alle]" dimensionUniqueName="[Leverandør]" displayFolder="" count="0" unbalancedGroup="0"/>
    <cacheHierarchy uniqueName="[Leverandør].[Telefon dag]" caption="Telefon dag" attribute="1" defaultMemberUniqueName="[Leverandør].[Telefon dag].[Alle]" allUniqueName="[Leverandør].[Telefon dag].[Alle]" dimensionUniqueName="[Leverandør]" displayFolder="" count="0" unbalancedGroup="0"/>
    <cacheHierarchy uniqueName="[Leverandør].[Telefon Dag Hoved]" caption="Telefon Dag Hoved" attribute="1" defaultMemberUniqueName="[Leverandør].[Telefon Dag Hoved].[Alle]" allUniqueName="[Leverandør].[Telefon Dag Hoved].[Alle]" dimensionUniqueName="[Leverandør]" displayFolder="" count="0" unbalancedGroup="0"/>
    <cacheHierarchy uniqueName="[Leverandør].[Telefon kveld]" caption="Telefon kveld" attribute="1" defaultMemberUniqueName="[Leverandør].[Telefon kveld].[Alle]" allUniqueName="[Leverandør].[Telefon kveld].[Alle]" dimensionUniqueName="[Leverandør]" displayFolder="" count="0" unbalancedGroup="0"/>
    <cacheHierarchy uniqueName="[Leverandør].[Tillitsverv]" caption="Tillitsverv" attribute="1" defaultMemberUniqueName="[Leverandør].[Tillitsverv].[Alle]" allUniqueName="[Leverandør].[Tillitsverv].[Alle]" dimensionUniqueName="[Leverandør]" displayFolder="" count="0" unbalancedGroup="0"/>
    <cacheHierarchy uniqueName="[Leverandør].[Utmeldingsdato]" caption="Utmeldingsdato" attribute="1" defaultMemberUniqueName="[Leverandør].[Utmeldingsdato].[Alle]" allUniqueName="[Leverandør].[Utmeldingsdato].[Alle]" dimensionUniqueName="[Leverandør]" displayFolder="" count="0" unbalancedGroup="0"/>
    <cacheHierarchy uniqueName="[Leverandør].[Ønsker informasjon]" caption="Ønsker informasjon" attribute="1" defaultMemberUniqueName="[Leverandør].[Ønsker informasjon].[Alle]" allUniqueName="[Leverandør].[Ønsker informasjon].[Alle]" dimensionUniqueName="[Leverandør]" displayFolder="" count="0" unbalancedGroup="0"/>
    <cacheHierarchy uniqueName="[Livdyrsalg].[Er Kreditt]" caption="Er kredit" attribute="1" defaultMemberUniqueName="[Livdyrsalg].[Er Kreditt].[All]" allUniqueName="[Livdyrsalg].[Er Kreditt].[All]" dimensionUniqueName="[Livdyrsalg]" displayFolder="" count="0" unbalancedGroup="0"/>
    <cacheHierarchy uniqueName="[Livdyrsalg].[Er retur]" caption="Er retur" attribute="1" defaultMemberUniqueName="[Livdyrsalg].[Er retur].[All]" allUniqueName="[Livdyrsalg].[Er retur].[All]" dimensionUniqueName="[Livdyrsalg]" displayFolder="" count="0" unbalancedGroup="0"/>
    <cacheHierarchy uniqueName="[Livdyrsalg].[Fakturadato]" caption="Fakturadato" attribute="1" defaultMemberUniqueName="[Livdyrsalg].[Fakturadato].[All]" allUniqueName="[Livdyrsalg].[Fakturadato].[All]" dimensionUniqueName="[Livdyrsalg]" displayFolder="" count="0" unbalancedGroup="0"/>
    <cacheHierarchy uniqueName="[Livdyrsalg].[FakturaNr]" caption="FakturaNr" attribute="1" defaultMemberUniqueName="[Livdyrsalg].[FakturaNr].[All]" allUniqueName="[Livdyrsalg].[FakturaNr].[All]" dimensionUniqueName="[Livdyrsalg]" displayFolder="" count="0" unbalancedGroup="0"/>
    <cacheHierarchy uniqueName="[Livdyrsalg].[Individ Nr]" caption="Individ Nr" attribute="1" defaultMemberUniqueName="[Livdyrsalg].[Individ Nr].[All]" allUniqueName="[Livdyrsalg].[Individ Nr].[All]" dimensionUniqueName="[Livdyrsalg]" displayFolder="" count="0" unbalancedGroup="0"/>
    <cacheHierarchy uniqueName="[Livdyrsalg].[Individmerke]" caption="Individmerke" attribute="1" defaultMemberUniqueName="[Livdyrsalg].[Individmerke].[All]" allUniqueName="[Livdyrsalg].[Individmerke].[All]" dimensionUniqueName="[Livdyrsalg]" displayFolder="" count="0" unbalancedGroup="0"/>
    <cacheHierarchy uniqueName="[Livdyrsalg].[KjoereseddelNr]" caption="KjoereseddelNr" attribute="1" defaultMemberUniqueName="[Livdyrsalg].[KjoereseddelNr].[All]" allUniqueName="[Livdyrsalg].[KjoereseddelNr].[All]" dimensionUniqueName="[Livdyrsalg]" displayFolder="" count="0" unbalancedGroup="0"/>
    <cacheHierarchy uniqueName="[Livdyrsalg].[Leveringsdato]" caption="Leveringsdato" attribute="1" defaultMemberUniqueName="[Livdyrsalg].[Leveringsdato].[All]" allUniqueName="[Livdyrsalg].[Leveringsdato].[All]" dimensionUniqueName="[Livdyrsalg]" displayFolder="" count="0" unbalancedGroup="0"/>
    <cacheHierarchy uniqueName="[Livdyrsalg].[Mottatt ordresignatur]" caption="Mottatt ordresignatur" attribute="1" defaultMemberUniqueName="[Livdyrsalg].[Mottatt ordresignatur].[All]" allUniqueName="[Livdyrsalg].[Mottatt ordresignatur].[All]" dimensionUniqueName="[Livdyrsalg]" displayFolder="" count="0" unbalancedGroup="0"/>
    <cacheHierarchy uniqueName="[Livdyrsalg].[OrdreunderlinjeNr]" caption="OrdreunderlinjeNr" attribute="1" defaultMemberUniqueName="[Livdyrsalg].[OrdreunderlinjeNr].[All]" allUniqueName="[Livdyrsalg].[OrdreunderlinjeNr].[All]" dimensionUniqueName="[Livdyrsalg]" displayFolder="" count="0" unbalancedGroup="0"/>
    <cacheHierarchy uniqueName="[Livdyrsalg].[SalgsordrelinjeNr]" caption="SalgsordrelinjeNr" attribute="1" defaultMemberUniqueName="[Livdyrsalg].[SalgsordrelinjeNr].[All]" allUniqueName="[Livdyrsalg].[SalgsordrelinjeNr].[All]" dimensionUniqueName="[Livdyrsalg]" displayFolder="" count="0" unbalancedGroup="0"/>
    <cacheHierarchy uniqueName="[Livdyrsalg].[SalgsordreNr]" caption="SalgsordreNr" attribute="1" defaultMemberUniqueName="[Livdyrsalg].[SalgsordreNr].[All]" allUniqueName="[Livdyrsalg].[SalgsordreNr].[All]" dimensionUniqueName="[Livdyrsalg]" displayFolder="" count="0" unbalancedGroup="0"/>
    <cacheHierarchy uniqueName="[Livdyrsalg].[SalgsordreNr reklamasjon]" caption="SalgsordreNr reklamasjon" attribute="1" defaultMemberUniqueName="[Livdyrsalg].[SalgsordreNr reklamasjon].[All]" allUniqueName="[Livdyrsalg].[SalgsordreNr reklamasjon].[All]" dimensionUniqueName="[Livdyrsalg]" displayFolder="" count="0" unbalancedGroup="0"/>
    <cacheHierarchy uniqueName="[Livdyrsalg].[Salgsordrestatus]" caption="Salgsordrestatus" attribute="1" defaultMemberUniqueName="[Livdyrsalg].[Salgsordrestatus].[All]" allUniqueName="[Livdyrsalg].[Salgsordrestatus].[All]" dimensionUniqueName="[Livdyrsalg]" displayFolder="" count="0" unbalancedGroup="0"/>
    <cacheHierarchy uniqueName="[Medlemskrets].[Medlemsdemokrati hierarki]" caption="Medlemsdemokrati hierarki" defaultMemberUniqueName="[Medlemskrets].[Medlemsdemokrati hierarki].[Alle]" allUniqueName="[Medlemskrets].[Medlemsdemokrati hierarki].[Alle]" dimensionUniqueName="[Medlemskrets]" displayFolder="" count="0" unbalancedGroup="0"/>
    <cacheHierarchy uniqueName="[Medlemskrets].[Medlemskrets Nr Navn]" caption="Medlemskrets Nr Navn" attribute="1" defaultMemberUniqueName="[Medlemskrets].[Medlemskrets Nr Navn].[Alle]" allUniqueName="[Medlemskrets].[Medlemskrets Nr Navn].[Alle]" dimensionUniqueName="[Medlemskrets]" displayFolder="" count="0" unbalancedGroup="0"/>
    <cacheHierarchy uniqueName="[Medlemskrets].[Medlemssjef]" caption="Organisasjonsleder" attribute="1" defaultMemberUniqueName="[Medlemskrets].[Medlemssjef].[Alle]" allUniqueName="[Medlemskrets].[Medlemssjef].[Alle]" dimensionUniqueName="[Medlemskrets]" displayFolder="" count="0" unbalancedGroup="0"/>
    <cacheHierarchy uniqueName="[Medlemskrets].[Regionutvalg]" caption="Regionutvalg" attribute="1" defaultMemberUniqueName="[Medlemskrets].[Regionutvalg].[Alle]" allUniqueName="[Medlemskrets].[Regionutvalg].[Alle]" dimensionUniqueName="[Medlemskrets]" displayFolder="" count="0" unbalancedGroup="0"/>
    <cacheHierarchy uniqueName="[Medlemssenter].[Medlemssenter]" caption="Medlemssenter" attribute="1" defaultMemberUniqueName="[Medlemssenter].[Medlemssenter].[All]" allUniqueName="[Medlemssenter].[Medlemssenter].[All]" dimensionUniqueName="[Medlemssenter]" displayFolder="" count="0" unbalancedGroup="0"/>
    <cacheHierarchy uniqueName="[MinSide Kjøttprosent].[Kjøttprosent]" caption="Kjøttprosent" attribute="1" defaultMemberUniqueName="[MinSide Kjøttprosent].[Kjøttprosent].[All]" allUniqueName="[MinSide Kjøttprosent].[Kjøttprosent].[All]" dimensionUniqueName="[MinSide Kjøttprosent]" displayFolder="" count="0" unbalancedGroup="0"/>
    <cacheHierarchy uniqueName="[MinSide Vektklasse].[Vektklasse]" caption="Vektklasse" attribute="1" defaultMemberUniqueName="[MinSide Vektklasse].[Vektklasse].[All]" allUniqueName="[MinSide Vektklasse].[Vektklasse].[All]" dimensionUniqueName="[MinSide Vektklasse]" displayFolder="" count="0" unbalancedGroup="0"/>
    <cacheHierarchy uniqueName="[Mottatt Periode].[Dag Nr I Maaned Navn]" caption="Dato mottatt" attribute="1" time="1" defaultMemberUniqueName="[Mottatt Periode].[Dag Nr I Maaned Navn].[Alle]" allUniqueName="[Mottatt Periode].[Dag Nr I Maaned Navn].[Alle]" dimensionUniqueName="[Mottatt Periode]" displayFolder="" count="0" unbalancedGroup="0"/>
    <cacheHierarchy uniqueName="[Mottatt Periode].[Dato]" caption="Dato" attribute="1" time="1" defaultMemberUniqueName="[Mottatt Periode].[Dato].[Alle]" allUniqueName="[Mottatt Periode].[Dato].[Alle]" dimensionUniqueName="[Mottatt Periode]" displayFolder="" count="0" unbalancedGroup="0"/>
    <cacheHierarchy uniqueName="[Mottatt Periode].[Måned]" caption="Måned" attribute="1" time="1" defaultMemberUniqueName="[Mottatt Periode].[Måned].[Alle]" allUniqueName="[Mottatt Periode].[Måned].[Alle]" dimensionUniqueName="[Mottatt Periode]" displayFolder="" count="0" unbalancedGroup="0"/>
    <cacheHierarchy uniqueName="[Mottatt Periode].[Maaned Nr]" caption="Kalendermåned mottatt" attribute="1" time="1" defaultMemberUniqueName="[Mottatt Periode].[Maaned Nr].[Alle]" allUniqueName="[Mottatt Periode].[Maaned Nr].[Alle]" dimensionUniqueName="[Mottatt Periode]" displayFolder="" count="0" unbalancedGroup="0"/>
    <cacheHierarchy uniqueName="[Mottatt Periode].[Regnskaps År - Måned - Dag]" caption="Periode mottatt (regnskap)" time="1" defaultMemberUniqueName="[Mottatt Periode].[Regnskaps År - Måned - Dag].[Alle]" allUniqueName="[Mottatt Periode].[Regnskaps År - Måned - Dag].[Alle]" dimensionUniqueName="[Mottatt Periode]" displayFolder="" count="6" unbalanced="0" unbalancedGroup="0">
      <fieldsUsage count="6">
        <fieldUsage x="-1"/>
        <fieldUsage x="7"/>
        <fieldUsage x="8"/>
        <fieldUsage x="9"/>
        <fieldUsage x="10"/>
        <fieldUsage x="11"/>
      </fieldsUsage>
    </cacheHierarchy>
    <cacheHierarchy uniqueName="[Mottatt Periode].[RegnskapsKvartal]" caption="Kvartal/år mottatt (regnskap)" attribute="1" time="1" defaultMemberUniqueName="[Mottatt Periode].[RegnskapsKvartal].[Alle]" allUniqueName="[Mottatt Periode].[RegnskapsKvartal].[Alle]" dimensionUniqueName="[Mottatt Periode]" displayFolder="" count="0" unbalancedGroup="0"/>
    <cacheHierarchy uniqueName="[Mottatt Periode].[Regnskapsmåned]" caption="Måned/år mottatt (regnskap)" attribute="1" time="1" defaultMemberUniqueName="[Mottatt Periode].[Regnskapsmåned].[Alle]" allUniqueName="[Mottatt Periode].[Regnskapsmåned].[Alle]" dimensionUniqueName="[Mottatt Periode]" displayFolder="" count="0" unbalancedGroup="0"/>
    <cacheHierarchy uniqueName="[Mottatt Periode].[Regnskapsmaaned Nr]" caption="Måned mottatt (regnskap)" attribute="1" time="1" defaultMemberUniqueName="[Mottatt Periode].[Regnskapsmaaned Nr].[Alle]" allUniqueName="[Mottatt Periode].[Regnskapsmaaned Nr].[Alle]" dimensionUniqueName="[Mottatt Periode]" displayFolder="" count="0" unbalancedGroup="0"/>
    <cacheHierarchy uniqueName="[Mottatt Periode].[Regnskapsuke]" caption="Uke/År mottatt (regnskap)" attribute="1" time="1" defaultMemberUniqueName="[Mottatt Periode].[Regnskapsuke].[Alle]" allUniqueName="[Mottatt Periode].[Regnskapsuke].[Alle]" dimensionUniqueName="[Mottatt Periode]" displayFolder="" count="0" unbalancedGroup="0"/>
    <cacheHierarchy uniqueName="[Mottatt Periode].[Regnskapsuke Nr]" caption="Uke mottatt (regnskap)" attribute="1" time="1" defaultMemberUniqueName="[Mottatt Periode].[Regnskapsuke Nr].[Alle]" allUniqueName="[Mottatt Periode].[Regnskapsuke Nr].[Alle]" dimensionUniqueName="[Mottatt Periode]" displayFolder="" count="0" unbalancedGroup="0"/>
    <cacheHierarchy uniqueName="[Mottatt Periode].[Regnskapsår]" caption="År mottatt (regnskap)" attribute="1" time="1" defaultMemberUniqueName="[Mottatt Periode].[Regnskapsår].[Alle]" allUniqueName="[Mottatt Periode].[Regnskapsår].[Alle]" dimensionUniqueName="[Mottatt Periode]" displayFolder="" count="0" unbalancedGroup="0"/>
    <cacheHierarchy uniqueName="[Mottatt Periode Kalkuleringer].[Mottatt Periode Kalkuleringer]" caption="Periode Mottatt kalkulering" attribute="1" keyAttribute="1" defaultMemberUniqueName="[Mottatt Periode Kalkuleringer].[Mottatt Periode Kalkuleringer].&amp;[Denne periode]" allUniqueName="[Mottatt Periode Kalkuleringer].[Mottatt Periode Kalkuleringer].[All]" dimensionUniqueName="[Mottatt Periode Kalkuleringer]" displayFolder="" count="0" unbalancedGroup="0"/>
    <cacheHierarchy uniqueName="[Mottatt Periode Nova].[Dato]" caption="Dato" attribute="1" time="1" defaultMemberUniqueName="[Mottatt Periode Nova].[Dato].[Alle]" allUniqueName="[Mottatt Periode Nova].[Dato].[Alle]" dimensionUniqueName="[Mottatt Periode Nova]" displayFolder="" count="0" unbalancedGroup="0"/>
    <cacheHierarchy uniqueName="[Mottatt Periode Nova].[Dato mnd]" caption="Dato mnd" attribute="1" time="1" defaultMemberUniqueName="[Mottatt Periode Nova].[Dato mnd].[Alle]" allUniqueName="[Mottatt Periode Nova].[Dato mnd].[Alle]" dimensionUniqueName="[Mottatt Periode Nova]" displayFolder="" count="0" unbalancedGroup="0"/>
    <cacheHierarchy uniqueName="[Mottatt Periode Nova].[Måned Nova]" caption="Måned Nova" attribute="1" time="1" defaultMemberUniqueName="[Mottatt Periode Nova].[Måned Nova].[Alle]" allUniqueName="[Mottatt Periode Nova].[Måned Nova].[Alle]" dimensionUniqueName="[Mottatt Periode Nova]" displayFolder="" count="0" unbalancedGroup="0"/>
    <cacheHierarchy uniqueName="[Mottatt Periode Nova].[Måned År]" caption="Måned År" attribute="1" time="1" defaultMemberUniqueName="[Mottatt Periode Nova].[Måned År].[Alle]" allUniqueName="[Mottatt Periode Nova].[Måned År].[Alle]" dimensionUniqueName="[Mottatt Periode Nova]" displayFolder="" count="0" unbalancedGroup="0"/>
    <cacheHierarchy uniqueName="[Mottatt Periode Nova].[Uke mottatt]" caption="Uke mottatt" attribute="1" time="1" defaultMemberUniqueName="[Mottatt Periode Nova].[Uke mottatt].[Alle]" allUniqueName="[Mottatt Periode Nova].[Uke mottatt].[Alle]" dimensionUniqueName="[Mottatt Periode Nova]" displayFolder="" count="0" unbalancedGroup="0"/>
    <cacheHierarchy uniqueName="[Mottatt Periode Nova].[Uke År]" caption="Uke År" attribute="1" time="1" defaultMemberUniqueName="[Mottatt Periode Nova].[Uke År].[Alle]" allUniqueName="[Mottatt Periode Nova].[Uke År].[Alle]" dimensionUniqueName="[Mottatt Periode Nova]" displayFolder="" count="0" unbalancedGroup="0"/>
    <cacheHierarchy uniqueName="[Mottatt Periode Nova].[År - Måned - Dag Nova]" caption="År - Måned - Dag Nova" time="1" defaultMemberUniqueName="[Mottatt Periode Nova].[År - Måned - Dag Nova].[All]" allUniqueName="[Mottatt Periode Nova].[År - Måned - Dag Nova].[All]" dimensionUniqueName="[Mottatt Periode Nova]" displayFolder="" count="0" unbalancedGroup="0"/>
    <cacheHierarchy uniqueName="[Mottatt Periode Nova].[År - Uke - Dag Nova]" caption="År - Uke - Dag Nova" time="1" defaultMemberUniqueName="[Mottatt Periode Nova].[År - Uke - Dag Nova].[All]" allUniqueName="[Mottatt Periode Nova].[År - Uke - Dag Nova].[All]" dimensionUniqueName="[Mottatt Periode Nova]" displayFolder="" count="0" unbalancedGroup="0"/>
    <cacheHierarchy uniqueName="[Mottatt Periode Nova].[År mnd]" caption="År mnd" attribute="1" time="1" defaultMemberUniqueName="[Mottatt Periode Nova].[År mnd].[Alle]" allUniqueName="[Mottatt Periode Nova].[År mnd].[Alle]" dimensionUniqueName="[Mottatt Periode Nova]" displayFolder="" count="0" unbalancedGroup="0"/>
    <cacheHierarchy uniqueName="[Mottatt Periode Nova].[År uke]" caption="År uke" attribute="1" time="1" defaultMemberUniqueName="[Mottatt Periode Nova].[År uke].[Alle]" allUniqueName="[Mottatt Periode Nova].[År uke].[Alle]" dimensionUniqueName="[Mottatt Periode Nova]" displayFolder="" count="0" unbalancedGroup="0"/>
    <cacheHierarchy uniqueName="[Produsent Egenskap].[Produsent Egenskap]" caption="Produsent Egenskap" defaultMemberUniqueName="[Produsent Egenskap].[Produsent Egenskap].[All]" allUniqueName="[Produsent Egenskap].[Produsent Egenskap].[All]" dimensionUniqueName="[Produsent Egenskap]" displayFolder="" count="0" unbalancedGroup="0"/>
    <cacheHierarchy uniqueName="[Produsent Egenskap].[Produsent Egenskap Kategori]" caption="Produsent Egenskap Kategori" attribute="1" defaultMemberUniqueName="[Produsent Egenskap].[Produsent Egenskap Kategori].[All]" allUniqueName="[Produsent Egenskap].[Produsent Egenskap Kategori].[All]" dimensionUniqueName="[Produsent Egenskap]" displayFolder="" count="0" unbalancedGroup="0"/>
    <cacheHierarchy uniqueName="[Produsent Egenskap].[Produsent Egenskap Type]" caption="Produsent Egenskap Type" attribute="1" keyAttribute="1" defaultMemberUniqueName="[Produsent Egenskap].[Produsent Egenskap Type].[All]" allUniqueName="[Produsent Egenskap].[Produsent Egenskap Type].[All]" dimensionUniqueName="[Produsent Egenskap]" displayFolder="" count="0" unbalancedGroup="0"/>
    <cacheHierarchy uniqueName="[ProfitCenter].[AxaptaAvdnr]" caption="AxaptaAvdnr" attribute="1" defaultMemberUniqueName="[ProfitCenter].[AxaptaAvdnr].[All]" allUniqueName="[ProfitCenter].[AxaptaAvdnr].[All]" dimensionUniqueName="[ProfitCenter]" displayFolder="" count="0" unbalancedGroup="0"/>
    <cacheHierarchy uniqueName="[ProfitCenter].[Fabrikk]" caption="Fabrikk" attribute="1" defaultMemberUniqueName="[ProfitCenter].[Fabrikk].[All]" allUniqueName="[ProfitCenter].[Fabrikk].[All]" dimensionUniqueName="[ProfitCenter]" displayFolder="" count="0" unbalancedGroup="0"/>
    <cacheHierarchy uniqueName="[ProfitCenter].[FabrikkKode]" caption="FabrikkKode" attribute="1" defaultMemberUniqueName="[ProfitCenter].[FabrikkKode].[All]" allUniqueName="[ProfitCenter].[FabrikkKode].[All]" dimensionUniqueName="[ProfitCenter]" displayFolder="" count="0" unbalancedGroup="0"/>
    <cacheHierarchy uniqueName="[ProfitCenter].[ProfitCenter]" caption="ProfitCenter" attribute="1" defaultMemberUniqueName="[ProfitCenter].[ProfitCenter].[All]" allUniqueName="[ProfitCenter].[ProfitCenter].[All]" dimensionUniqueName="[ProfitCenter]" displayFolder="" count="0" unbalancedGroup="0"/>
    <cacheHierarchy uniqueName="[ProfitCenter].[ProfitCenterKode]" caption="ProfitCenterKode" attribute="1" defaultMemberUniqueName="[ProfitCenter].[ProfitCenterKode].[All]" allUniqueName="[ProfitCenter].[ProfitCenterKode].[All]" dimensionUniqueName="[ProfitCenter]" displayFolder="" count="0" unbalancedGroup="0"/>
    <cacheHierarchy uniqueName="[ProfitCenter].[ResOmråde]" caption="ResOmråde" attribute="1" defaultMemberUniqueName="[ProfitCenter].[ResOmråde].[All]" allUniqueName="[ProfitCenter].[ResOmråde].[All]" dimensionUniqueName="[ProfitCenter]" displayFolder="" count="0" unbalancedGroup="0"/>
    <cacheHierarchy uniqueName="[ProfitCenter].[ResOmrådeKode]" caption="ResOmrådeKode" attribute="1" defaultMemberUniqueName="[ProfitCenter].[ResOmrådeKode].[All]" allUniqueName="[ProfitCenter].[ResOmrådeKode].[All]" dimensionUniqueName="[ProfitCenter]" displayFolder="" count="0" unbalancedGroup="0"/>
    <cacheHierarchy uniqueName="[ProfitCenter].[ResOmrådeL1]" caption="ResOmrådeL1" attribute="1" defaultMemberUniqueName="[ProfitCenter].[ResOmrådeL1].[All]" allUniqueName="[ProfitCenter].[ResOmrådeL1].[All]" dimensionUniqueName="[ProfitCenter]" displayFolder="" count="0" unbalancedGroup="0"/>
    <cacheHierarchy uniqueName="[ProfitCenter].[ResOmrådeL1Kode]" caption="ResOmrådeL1Kode" attribute="1" defaultMemberUniqueName="[ProfitCenter].[ResOmrådeL1Kode].[All]" allUniqueName="[ProfitCenter].[ResOmrådeL1Kode].[All]" dimensionUniqueName="[ProfitCenter]" displayFolder="" count="0" unbalancedGroup="0"/>
    <cacheHierarchy uniqueName="[ProfitCenter].[ResOmrådeL2]" caption="ResOmrådeL2" attribute="1" defaultMemberUniqueName="[ProfitCenter].[ResOmrådeL2].[All]" allUniqueName="[ProfitCenter].[ResOmrådeL2].[All]" dimensionUniqueName="[ProfitCenter]" displayFolder="" count="0" unbalancedGroup="0"/>
    <cacheHierarchy uniqueName="[ProfitCenter].[ResOmrådeL2Kode]" caption="ResOmrådeL2Kode" attribute="1" defaultMemberUniqueName="[ProfitCenter].[ResOmrådeL2Kode].[All]" allUniqueName="[ProfitCenter].[ResOmrådeL2Kode].[All]" dimensionUniqueName="[ProfitCenter]" displayFolder="" count="0" unbalancedGroup="0"/>
    <cacheHierarchy uniqueName="[ProfitCenter].[ResOmrådeL3]" caption="ResOmrådeL3" attribute="1" defaultMemberUniqueName="[ProfitCenter].[ResOmrådeL3].[All]" allUniqueName="[ProfitCenter].[ResOmrådeL3].[All]" dimensionUniqueName="[ProfitCenter]" displayFolder="" count="0" unbalancedGroup="0"/>
    <cacheHierarchy uniqueName="[ProfitCenter].[ResOmrådeL3Kode]" caption="ResOmrådeL3Kode" attribute="1" defaultMemberUniqueName="[ProfitCenter].[ResOmrådeL3Kode].[All]" allUniqueName="[ProfitCenter].[ResOmrådeL3Kode].[All]" dimensionUniqueName="[ProfitCenter]" displayFolder="" count="0" unbalancedGroup="0"/>
    <cacheHierarchy uniqueName="[ProfitCenter].[Selskapskode]" caption="Selskapskode" attribute="1" defaultMemberUniqueName="[ProfitCenter].[Selskapskode].[All]" allUniqueName="[ProfitCenter].[Selskapskode].[All]" dimensionUniqueName="[ProfitCenter]" displayFolder="" count="0" unbalancedGroup="0"/>
    <cacheHierarchy uniqueName="[ProfitCenter].[Selskapsnavn]" caption="Selskapsnavn" attribute="1" defaultMemberUniqueName="[ProfitCenter].[Selskapsnavn].[All]" allUniqueName="[ProfitCenter].[Selskapsnavn].[All]" dimensionUniqueName="[ProfitCenter]" displayFolder="" count="0" unbalancedGroup="0"/>
    <cacheHierarchy uniqueName="[Rase].[Rase]" caption="Rase" defaultMemberUniqueName="[Rase].[Rase].[All]" allUniqueName="[Rase].[Rase].[All]" dimensionUniqueName="[Rase]" displayFolder="" count="0" unbalancedGroup="0"/>
    <cacheHierarchy uniqueName="[Rase].[Rase Beskrivelse]" caption="Rase Beskrivelse" attribute="1" defaultMemberUniqueName="[Rase].[Rase Beskrivelse].[All]" allUniqueName="[Rase].[Rase Beskrivelse].[All]" dimensionUniqueName="[Rase]" displayFolder="" count="0" unbalancedGroup="0"/>
    <cacheHierarchy uniqueName="[Rase].[Rase Kode]" caption="Rase" attribute="1" defaultMemberUniqueName="[Rase].[Rase Kode].[All]" allUniqueName="[Rase].[Rase Kode].[All]" dimensionUniqueName="[Rase]" displayFolder="" count="0" unbalancedGroup="0"/>
    <cacheHierarchy uniqueName="[Rase].[Rasegruppe]" caption="Rasegruppe" attribute="1" defaultMemberUniqueName="[Rase].[Rasegruppe].[All]" allUniqueName="[Rase].[Rasegruppe].[All]" dimensionUniqueName="[Rase]" displayFolder="" count="0" unbalancedGroup="0"/>
    <cacheHierarchy uniqueName="[Rase].[Rasegruppe Beskrivelse]" caption="Rasegruppe Beskrivelse" attribute="1" defaultMemberUniqueName="[Rase].[Rasegruppe Beskrivelse].[All]" allUniqueName="[Rase].[Rasegruppe Beskrivelse].[All]" dimensionUniqueName="[Rase]" displayFolder="" count="0" unbalancedGroup="0"/>
    <cacheHierarchy uniqueName="[Referanse1].[Referanse1NrNavn]" caption="Lag og rådgivere" attribute="1" defaultMemberUniqueName="[Referanse1].[Referanse1NrNavn].[All]" allUniqueName="[Referanse1].[Referanse1NrNavn].[All]" dimensionUniqueName="[Referanse1]" displayFolder="" count="0" unbalancedGroup="0"/>
    <cacheHierarchy uniqueName="[Referanse2].[Referanse2NrNavn]" caption="Ringer" attribute="1" defaultMemberUniqueName="[Referanse2].[Referanse2NrNavn].[All]" allUniqueName="[Referanse2].[Referanse2NrNavn].[All]" dimensionUniqueName="[Referanse2]" displayFolder="" count="0" unbalancedGroup="0"/>
    <cacheHierarchy uniqueName="[Rådgivning].[Er kreditt]" caption="Er kredit" attribute="1" defaultMemberUniqueName="[Rådgivning].[Er kreditt].[All]" allUniqueName="[Rådgivning].[Er kreditt].[All]" dimensionUniqueName="[Rådgivning]" displayFolder="" count="0" unbalancedGroup="0"/>
    <cacheHierarchy uniqueName="[Rådgivning].[Er retur]" caption="Er retur" attribute="1" defaultMemberUniqueName="[Rådgivning].[Er retur].[All]" allUniqueName="[Rådgivning].[Er retur].[All]" dimensionUniqueName="[Rådgivning]" displayFolder="" count="0" unbalancedGroup="0"/>
    <cacheHierarchy uniqueName="[Rådgivning].[Fakturadato]" caption="Fakturadato" attribute="1" defaultMemberUniqueName="[Rådgivning].[Fakturadato].[All]" allUniqueName="[Rådgivning].[Fakturadato].[All]" dimensionUniqueName="[Rådgivning]" displayFolder="" count="0" unbalancedGroup="0"/>
    <cacheHierarchy uniqueName="[Rådgivning].[FakturaNr]" caption="FakturaNr" attribute="1" defaultMemberUniqueName="[Rådgivning].[FakturaNr].[All]" allUniqueName="[Rådgivning].[FakturaNr].[All]" dimensionUniqueName="[Rådgivning]" displayFolder="" count="0" unbalancedGroup="0"/>
    <cacheHierarchy uniqueName="[Rådgivning].[Leveringsdato]" caption="Leveringsdato" attribute="1" defaultMemberUniqueName="[Rådgivning].[Leveringsdato].[All]" allUniqueName="[Rådgivning].[Leveringsdato].[All]" dimensionUniqueName="[Rådgivning]" displayFolder="" count="0" unbalancedGroup="0"/>
    <cacheHierarchy uniqueName="[Rådgivning].[Mottatt ordresignatur]" caption="Mottatt ordresignatur" attribute="1" defaultMemberUniqueName="[Rådgivning].[Mottatt ordresignatur].[All]" allUniqueName="[Rådgivning].[Mottatt ordresignatur].[All]" dimensionUniqueName="[Rådgivning]" displayFolder="" count="0" unbalancedGroup="0"/>
    <cacheHierarchy uniqueName="[Rådgivning].[OrdreunderlinjeNr]" caption="OrdreunderlinjeNr" attribute="1" defaultMemberUniqueName="[Rådgivning].[OrdreunderlinjeNr].[All]" allUniqueName="[Rådgivning].[OrdreunderlinjeNr].[All]" dimensionUniqueName="[Rådgivning]" displayFolder="" count="0" unbalancedGroup="0"/>
    <cacheHierarchy uniqueName="[Rådgivning].[SalgsordrelinjeNr]" caption="SalgsordrelinjeNr" attribute="1" defaultMemberUniqueName="[Rådgivning].[SalgsordrelinjeNr].[All]" allUniqueName="[Rådgivning].[SalgsordrelinjeNr].[All]" dimensionUniqueName="[Rådgivning]" displayFolder="" count="0" unbalancedGroup="0"/>
    <cacheHierarchy uniqueName="[Rådgivning].[SalgsordreNr]" caption="SalgsordreNr" attribute="1" defaultMemberUniqueName="[Rådgivning].[SalgsordreNr].[All]" allUniqueName="[Rådgivning].[SalgsordreNr].[All]" dimensionUniqueName="[Rådgivning]" displayFolder="" count="0" unbalancedGroup="0"/>
    <cacheHierarchy uniqueName="[Rådgivning].[Salgsordrestatus]" caption="Salgsordrestatus" attribute="1" defaultMemberUniqueName="[Rådgivning].[Salgsordrestatus].[All]" allUniqueName="[Rådgivning].[Salgsordrestatus].[All]" dimensionUniqueName="[Rådgivning]" displayFolder="" count="0" unbalancedGroup="0"/>
    <cacheHierarchy uniqueName="[Salgsordretype].[Salgsordretype]" caption="Salgsordretype" attribute="1" defaultMemberUniqueName="[Salgsordretype].[Salgsordretype].[All]" allUniqueName="[Salgsordretype].[Salgsordretype].[All]" dimensionUniqueName="[Salgsordretype]" displayFolder="" count="0" unbalancedGroup="0"/>
    <cacheHierarchy uniqueName="[Salgsordretype].[Salgsordretype kode navn]" caption="Salgsordretype kode navn" attribute="1" defaultMemberUniqueName="[Salgsordretype].[Salgsordretype kode navn].[All]" allUniqueName="[Salgsordretype].[Salgsordretype kode navn].[All]" dimensionUniqueName="[Salgsordretype]" displayFolder="" count="0" unbalancedGroup="0"/>
    <cacheHierarchy uniqueName="[Salgsordretype].[Salgsordretypekode]" caption="Salgsordretypekode" attribute="1" defaultMemberUniqueName="[Salgsordretype].[Salgsordretypekode].[All]" allUniqueName="[Salgsordretype].[Salgsordretypekode].[All]" dimensionUniqueName="[Salgsordretype]" displayFolder="" count="0" unbalancedGroup="0"/>
    <cacheHierarchy uniqueName="[Tilfoerselsomraade].[Tilfoerselsomraade]" caption="Tilfoerselsomraade" attribute="1" defaultMemberUniqueName="[Tilfoerselsomraade].[Tilfoerselsomraade].[All]" allUniqueName="[Tilfoerselsomraade].[Tilfoerselsomraade].[All]" dimensionUniqueName="[Tilfoerselsomraade]" displayFolder="" count="0" unbalancedGroup="0"/>
    <cacheHierarchy uniqueName="[Tilfoerselsomraade].[Tilfoerselstype]" caption="Tilfoerselstype" attribute="1" defaultMemberUniqueName="[Tilfoerselsomraade].[Tilfoerselstype].[All]" allUniqueName="[Tilfoerselsomraade].[Tilfoerselstype].[All]" dimensionUniqueName="[Tilfoerselsomraade]" displayFolder="" count="0" unbalancedGroup="0"/>
    <cacheHierarchy uniqueName="[Vare].[Antall Akkumulering]" caption="Antall Akkumulering" attribute="1" defaultMemberUniqueName="[Vare].[Antall Akkumulering].[Alle]" allUniqueName="[Vare].[Antall Akkumulering].[Alle]" dimensionUniqueName="[Vare]" displayFolder="" count="0" unbalancedGroup="0"/>
    <cacheHierarchy uniqueName="[Vare].[Avregning Ligningsoppgave Kode Navn]" caption="Avregning ligningsoppgave" attribute="1" defaultMemberUniqueName="[Vare].[Avregning Ligningsoppgave Kode Navn].[Alle]" allUniqueName="[Vare].[Avregning Ligningsoppgave Kode Navn].[Alle]" dimensionUniqueName="[Vare]" displayFolder="" count="0" unbalancedGroup="0"/>
    <cacheHierarchy uniqueName="[Vare].[Avregning Sammendrag Kode Navn]" caption="Avregning sammendrag" attribute="1" defaultMemberUniqueName="[Vare].[Avregning Sammendrag Kode Navn].[Alle]" allUniqueName="[Vare].[Avregning Sammendrag Kode Navn].[Alle]" dimensionUniqueName="[Vare]" displayFolder="" count="0" unbalancedGroup="0"/>
    <cacheHierarchy uniqueName="[Vare].[Avregning sammendragkode]" caption="Avregning sammendragkode" attribute="1" defaultMemberUniqueName="[Vare].[Avregning sammendragkode].[Alle]" allUniqueName="[Vare].[Avregning sammendragkode].[Alle]" dimensionUniqueName="[Vare]" displayFolder="" count="0" unbalancedGroup="0"/>
    <cacheHierarchy uniqueName="[Vare].[Avregningstype]" caption="Avregningstype" attribute="1" defaultMemberUniqueName="[Vare].[Avregningstype].[Alle]" allUniqueName="[Vare].[Avregningstype].[Alle]" dimensionUniqueName="[Vare]" displayFolder="" count="0" unbalancedGroup="0"/>
    <cacheHierarchy uniqueName="[Vare].[Avregningstype hierarki]" caption="Avregningstype hierarki" defaultMemberUniqueName="[Vare].[Avregningstype hierarki].[Alle]" allUniqueName="[Vare].[Avregningstype hierarki].[Alle]" dimensionUniqueName="[Vare]" displayFolder="" count="5" unbalanced="0" unbalancedGroup="0">
      <fieldsUsage count="5">
        <fieldUsage x="-1"/>
        <fieldUsage x="0"/>
        <fieldUsage x="22"/>
        <fieldUsage x="1"/>
        <fieldUsage x="2"/>
      </fieldsUsage>
      <groupLevels count="5">
        <groupLevel uniqueName="[Vare].[Avregningstype hierarki].[(All)]" caption="(All)"/>
        <groupLevel uniqueName="[Vare].[Avregningstype hierarki].[Avregningstype]" caption="Avregningstype"/>
        <groupLevel uniqueName="[Vare].[Avregningstype hierarki].[Avregningstype1]" caption="Avregningstype1" user="1"/>
        <groupLevel uniqueName="[Vare].[Avregningstype hierarki].[Avregningsundertype]" caption="Avregningsundertype">
          <groups count="1">
            <group name="AvregningsundertypeXl_Grp_1" uniqueName="[Vare].[Avregningstype hierarki].[Avregningstype1].[GROUPMEMBER.[AvregningsundertypeXl_Grp_1]].[Vare]].[Avregningstype hierarki]].[Avregningstype]].&amp;[5. Avregning transport]]]" caption="Grupper1" uniqueParent="[Vare].[Avregningstype hierarki].[Avregningstype].&amp;[5. Avregning transport]" id="1">
              <groupMembers count="5">
                <groupMember uniqueName="[Vare].[Avregningstype hierarki].[Avregningsundertype].&amp;[5. Avregning transport]&amp;[Alle 4-beinte]"/>
                <groupMember uniqueName="[Vare].[Avregningstype hierarki].[Avregningsundertype].&amp;[5. Avregning transport]&amp;[Annet]"/>
                <groupMember uniqueName="[Vare].[Avregningstype hierarki].[Avregningsundertype].&amp;[5. Avregning transport]&amp;[Gris]"/>
                <groupMember uniqueName="[Vare].[Avregningstype hierarki].[Avregningsundertype].&amp;[5. Avregning transport]&amp;[Småfe]"/>
                <groupMember uniqueName="[Vare].[Avregningstype hierarki].[Avregningsundertype].&amp;[5. Avregning transport]&amp;[Storfe]"/>
              </groupMembers>
            </group>
          </groups>
        </groupLevel>
        <groupLevel uniqueName="[Vare].[Avregningstype hierarki].[Vare]" caption="Vare"/>
      </groupLevels>
    </cacheHierarchy>
    <cacheHierarchy uniqueName="[Vare].[Avregningsundertype]" caption="Avregningsundertype" attribute="1" defaultMemberUniqueName="[Vare].[Avregningsundertype].[Alle]" allUniqueName="[Vare].[Avregningsundertype].[Alle]" dimensionUniqueName="[Vare]" displayFolder="" count="2" unbalanced="0" unbalancedGroup="0">
      <fieldsUsage count="2">
        <fieldUsage x="-1"/>
        <fieldUsage x="23"/>
      </fieldsUsage>
    </cacheHierarchy>
    <cacheHierarchy uniqueName="[Vare].[Avregningsvare]" caption="Er avregningsvare" attribute="1" defaultMemberUniqueName="[Vare].[Avregningsvare].[Alle]" allUniqueName="[Vare].[Avregningsvare].[Alle]" dimensionUniqueName="[Vare]" displayFolder="" count="0" unbalancedGroup="0"/>
    <cacheHierarchy uniqueName="[Vare].[Elementvare]" caption="Er elementvare" attribute="1" defaultMemberUniqueName="[Vare].[Elementvare].[Alle]" allUniqueName="[Vare].[Elementvare].[Alle]" dimensionUniqueName="[Vare]" displayFolder="" count="0" unbalancedGroup="0"/>
    <cacheHierarchy uniqueName="[Vare].[Endret Dato Kort]" caption="Endret dato" attribute="1" defaultMemberUniqueName="[Vare].[Endret Dato Kort].[Alle]" allUniqueName="[Vare].[Endret Dato Kort].[Alle]" dimensionUniqueName="[Vare]" displayFolder="" count="0" unbalancedGroup="0"/>
    <cacheHierarchy uniqueName="[Vare].[Gyldig Fra]" caption="Gyldig fra dato" attribute="1" defaultMemberUniqueName="[Vare].[Gyldig Fra].[Alle]" allUniqueName="[Vare].[Gyldig Fra].[Alle]" dimensionUniqueName="[Vare]" displayFolder="" count="0" unbalancedGroup="0"/>
    <cacheHierarchy uniqueName="[Vare].[SAPVareGrp1]" caption="SAPVareGrp1" attribute="1" defaultMemberUniqueName="[Vare].[SAPVareGrp1].[Alle]" allUniqueName="[Vare].[SAPVareGrp1].[Alle]" dimensionUniqueName="[Vare]" displayFolder="" count="0" unbalancedGroup="0"/>
    <cacheHierarchy uniqueName="[Vare].[SAPVareGrp1Kode]" caption="SAPVareGrp1Kode" attribute="1" defaultMemberUniqueName="[Vare].[SAPVareGrp1Kode].[Alle]" allUniqueName="[Vare].[SAPVareGrp1Kode].[Alle]" dimensionUniqueName="[Vare]" displayFolder="" count="0" unbalancedGroup="0"/>
    <cacheHierarchy uniqueName="[Vare].[SAPVareGrp2]" caption="SAPVareGrp2" attribute="1" defaultMemberUniqueName="[Vare].[SAPVareGrp2].[Alle]" allUniqueName="[Vare].[SAPVareGrp2].[Alle]" dimensionUniqueName="[Vare]" displayFolder="" count="0" unbalancedGroup="0"/>
    <cacheHierarchy uniqueName="[Vare].[SAPVareGrp2Kode]" caption="SAPVareGrp2Kode" attribute="1" defaultMemberUniqueName="[Vare].[SAPVareGrp2Kode].[Alle]" allUniqueName="[Vare].[SAPVareGrp2Kode].[Alle]" dimensionUniqueName="[Vare]" displayFolder="" count="0" unbalancedGroup="0"/>
    <cacheHierarchy uniqueName="[Vare].[SAPVareGrp3]" caption="SAPVareGrp3" attribute="1" defaultMemberUniqueName="[Vare].[SAPVareGrp3].[Alle]" allUniqueName="[Vare].[SAPVareGrp3].[Alle]" dimensionUniqueName="[Vare]" displayFolder="" count="0" unbalancedGroup="0"/>
    <cacheHierarchy uniqueName="[Vare].[SAPVareGrp3Kode]" caption="SAPVareGrp3Kode" attribute="1" defaultMemberUniqueName="[Vare].[SAPVareGrp3Kode].[Alle]" allUniqueName="[Vare].[SAPVareGrp3Kode].[Alle]" dimensionUniqueName="[Vare]" displayFolder="" count="0" unbalancedGroup="0"/>
    <cacheHierarchy uniqueName="[Vare].[SAPVareGrp4]" caption="SAPVareGrp4" attribute="1" defaultMemberUniqueName="[Vare].[SAPVareGrp4].[Alle]" allUniqueName="[Vare].[SAPVareGrp4].[Alle]" dimensionUniqueName="[Vare]" displayFolder="" count="0" unbalancedGroup="0"/>
    <cacheHierarchy uniqueName="[Vare].[SAPVareGrp4Kode]" caption="SAPVareGrp4Kode" attribute="1" defaultMemberUniqueName="[Vare].[SAPVareGrp4Kode].[Alle]" allUniqueName="[Vare].[SAPVareGrp4Kode].[Alle]" dimensionUniqueName="[Vare]" displayFolder="" count="0" unbalancedGroup="0"/>
    <cacheHierarchy uniqueName="[Vare].[SLF vare]" caption="Er SLF-vare" attribute="1" defaultMemberUniqueName="[Vare].[SLF vare].[Alle]" allUniqueName="[Vare].[SLF vare].[Alle]" dimensionUniqueName="[Vare]" displayFolder="" count="0" unbalancedGroup="0"/>
    <cacheHierarchy uniqueName="[Vare].[SLF vare nr]" caption="SLF vare nr" attribute="1" defaultMemberUniqueName="[Vare].[SLF vare nr].[Alle]" allUniqueName="[Vare].[SLF vare nr].[Alle]" dimensionUniqueName="[Vare]" displayFolder="" count="0" unbalancedGroup="0"/>
    <cacheHierarchy uniqueName="[Vare].[Vare nr]" caption="Varenr" attribute="1" defaultMemberUniqueName="[Vare].[Vare nr].[Alle]" allUniqueName="[Vare].[Vare nr].[Alle]" dimensionUniqueName="[Vare]" displayFolder="" count="0" unbalancedGroup="0"/>
    <cacheHierarchy uniqueName="[Vare].[Vare Nr Vare Navn]" caption="Vare" attribute="1" defaultMemberUniqueName="[Vare].[Vare Nr Vare Navn].[Alle]" allUniqueName="[Vare].[Vare Nr Vare Navn].[Alle]" dimensionUniqueName="[Vare]" displayFolder="" count="2" unbalanced="0" unbalancedGroup="0">
      <fieldsUsage count="2">
        <fieldUsage x="-1"/>
        <fieldUsage x="25"/>
      </fieldsUsage>
    </cacheHierarchy>
    <cacheHierarchy uniqueName="[Vare].[Varehovedkategori Kode Navn]" caption="Varehovedkategori" attribute="1" defaultMemberUniqueName="[Vare].[Varehovedkategori Kode Navn].[Alle]" allUniqueName="[Vare].[Varehovedkategori Kode Navn].[Alle]" dimensionUniqueName="[Vare]" displayFolder="" count="0" unbalancedGroup="0"/>
    <cacheHierarchy uniqueName="[Vare].[Varehovedkategorikode]" caption="Varehovedkategorikode" attribute="1" defaultMemberUniqueName="[Vare].[Varehovedkategorikode].[Alle]" allUniqueName="[Vare].[Varehovedkategorikode].[Alle]" dimensionUniqueName="[Vare]" displayFolder="" count="0" unbalancedGroup="0"/>
    <cacheHierarchy uniqueName="[Vare].[Varekaregori Kode Navn]" caption="Varekategori" attribute="1" defaultMemberUniqueName="[Vare].[Varekaregori Kode Navn].[Alle]" allUniqueName="[Vare].[Varekaregori Kode Navn].[Alle]" dimensionUniqueName="[Vare]" displayFolder="" count="0" unbalancedGroup="0"/>
    <cacheHierarchy uniqueName="[Vare].[Varekategori hierarki]" caption="Varekategori hierarki" defaultMemberUniqueName="[Vare].[Varekategori hierarki].[Alle]" allUniqueName="[Vare].[Varekategori hierarki].[Alle]" dimensionUniqueName="[Vare]" displayFolder="" count="0" unbalancedGroup="0"/>
    <cacheHierarchy uniqueName="[Vare].[Varekategorikode]" caption="Varekategorikode" attribute="1" defaultMemberUniqueName="[Vare].[Varekategorikode].[Alle]" allUniqueName="[Vare].[Varekategorikode].[Alle]" dimensionUniqueName="[Vare]" displayFolder="" count="0" unbalancedGroup="0"/>
    <cacheHierarchy uniqueName="[Vare].[VareNrSAP]" caption="VareNrSAP" attribute="1" defaultMemberUniqueName="[Vare].[VareNrSAP].[Alle]" allUniqueName="[Vare].[VareNrSAP].[Alle]" dimensionUniqueName="[Vare]" displayFolder="" count="0" unbalancedGroup="0"/>
    <cacheHierarchy uniqueName="[Vare].[Vareunderkategori Kode Navn]" caption="Vareunderkategori" attribute="1" defaultMemberUniqueName="[Vare].[Vareunderkategori Kode Navn].[Alle]" allUniqueName="[Vare].[Vareunderkategori Kode Navn].[Alle]" dimensionUniqueName="[Vare]" displayFolder="" count="0" unbalancedGroup="0"/>
    <cacheHierarchy uniqueName="[Vare].[Vareunderkategorikode]" caption="Vareunderkategorikode" attribute="1" defaultMemberUniqueName="[Vare].[Vareunderkategorikode].[Alle]" allUniqueName="[Vare].[Vareunderkategorikode].[Alle]" dimensionUniqueName="[Vare]" displayFolder="" count="0" unbalancedGroup="0"/>
    <cacheHierarchy uniqueName="[Vare].[Varevariant]" caption="Varevariant" attribute="1" defaultMemberUniqueName="[Vare].[Varevariant].[Alle]" allUniqueName="[Vare].[Varevariant].[Alle]" dimensionUniqueName="[Vare]" displayFolder="" count="0" unbalancedGroup="0"/>
    <cacheHierarchy uniqueName="[Vare].[Varevariant Portal]" caption="Varevariant Portal" attribute="1" defaultMemberUniqueName="[Vare].[Varevariant Portal].[Alle]" allUniqueName="[Vare].[Varevariant Portal].[Alle]" dimensionUniqueName="[Vare]" displayFolder="" count="0" unbalancedGroup="0"/>
    <cacheHierarchy uniqueName="[Vare].[Varevariantkode]" caption="Varevariantkode" attribute="1" defaultMemberUniqueName="[Vare].[Varevariantkode].[Alle]" allUniqueName="[Vare].[Varevariantkode].[Alle]" dimensionUniqueName="[Vare]" displayFolder="" count="2" unbalanced="0" unbalancedGroup="0">
      <fieldsUsage count="2">
        <fieldUsage x="-1"/>
        <fieldUsage x="16"/>
      </fieldsUsage>
    </cacheHierarchy>
    <cacheHierarchy uniqueName="[Vare].[Vekt Akkumulering]" caption="Vekt Akkumulering" attribute="1" defaultMemberUniqueName="[Vare].[Vekt Akkumulering].[Alle]" allUniqueName="[Vare].[Vekt Akkumulering].[Alle]" dimensionUniqueName="[Vare]" displayFolder="" count="0" unbalancedGroup="0"/>
    <cacheHierarchy uniqueName="[Vektklasse].[Vektklasse]" caption="Vektklasse" attribute="1" defaultMemberUniqueName="[Vektklasse].[Vektklasse].[All]" allUniqueName="[Vektklasse].[Vektklasse].[All]" dimensionUniqueName="[Vektklasse]" displayFolder="" count="0" unbalancedGroup="0"/>
    <cacheHierarchy uniqueName="[Økonomisk Periode].[Dato]" caption="Dato" attribute="1" time="1" defaultMemberUniqueName="[Økonomisk Periode].[Dato].[Alle]" allUniqueName="[Økonomisk Periode].[Dato].[Alle]" dimensionUniqueName="[Økonomisk Periode]" displayFolder="" count="0" unbalancedGroup="0"/>
    <cacheHierarchy uniqueName="[Økonomisk Periode].[Måned]" caption="Måned" attribute="1" time="1" defaultMemberUniqueName="[Økonomisk Periode].[Måned].[Alle]" allUniqueName="[Økonomisk Periode].[Måned].[Alle]" dimensionUniqueName="[Økonomisk Periode]" displayFolder="" count="0" unbalancedGroup="0"/>
    <cacheHierarchy uniqueName="[Økonomisk Periode].[Regnskaps Uke Navn Aar]" caption="Uke/år avregnet" attribute="1" time="1" defaultMemberUniqueName="[Økonomisk Periode].[Regnskaps Uke Navn Aar].[Alle]" allUniqueName="[Økonomisk Periode].[Regnskaps Uke Navn Aar].[Alle]" dimensionUniqueName="[Økonomisk Periode]" displayFolder="" count="0" unbalancedGroup="0"/>
    <cacheHierarchy uniqueName="[Økonomisk Periode].[Regnskaps År - Måned]" caption="Periode avregnet" time="1" defaultMemberUniqueName="[Økonomisk Periode].[Regnskaps År - Måned].[Alle]" allUniqueName="[Økonomisk Periode].[Regnskaps År - Måned].[Alle]" dimensionUniqueName="[Økonomisk Periode]" displayFolder="" count="0" unbalancedGroup="0"/>
    <cacheHierarchy uniqueName="[Økonomisk Periode].[Regnskapskvartal]" caption="Kvartal/år avregnet" attribute="1" time="1" defaultMemberUniqueName="[Økonomisk Periode].[Regnskapskvartal].[Alle]" allUniqueName="[Økonomisk Periode].[Regnskapskvartal].[Alle]" dimensionUniqueName="[Økonomisk Periode]" displayFolder="" count="0" unbalancedGroup="0"/>
    <cacheHierarchy uniqueName="[Økonomisk Periode].[Regnskapsmåned]" caption="Måned/år avregnet" attribute="1" time="1" defaultMemberUniqueName="[Økonomisk Periode].[Regnskapsmåned].[Alle]" allUniqueName="[Økonomisk Periode].[Regnskapsmåned].[Alle]" dimensionUniqueName="[Økonomisk Periode]" displayFolder="" count="0" unbalancedGroup="0"/>
    <cacheHierarchy uniqueName="[Økonomisk Periode].[Regnskapsmaaned Nr]" caption="Måned avregnet" attribute="1" time="1" defaultMemberUniqueName="[Økonomisk Periode].[Regnskapsmaaned Nr].[Alle]" allUniqueName="[Økonomisk Periode].[Regnskapsmaaned Nr].[Alle]" dimensionUniqueName="[Økonomisk Periode]" displayFolder="" count="0" unbalancedGroup="0"/>
    <cacheHierarchy uniqueName="[Økonomisk Periode].[Regnskapsuke Nr]" caption="Uke avregnet" attribute="1" time="1" defaultMemberUniqueName="[Økonomisk Periode].[Regnskapsuke Nr].[Alle]" allUniqueName="[Økonomisk Periode].[Regnskapsuke Nr].[Alle]" dimensionUniqueName="[Økonomisk Periode]" displayFolder="" count="0" unbalancedGroup="0"/>
    <cacheHierarchy uniqueName="[Økonomisk Periode].[Regnskapsår]" caption="År avregnet" attribute="1" time="1" defaultMemberUniqueName="[Økonomisk Periode].[Regnskapsår].[Alle]" allUniqueName="[Økonomisk Periode].[Regnskapsår].[Alle]" dimensionUniqueName="[Økonomisk Periode]" displayFolder="" count="0" unbalancedGroup="0"/>
    <cacheHierarchy uniqueName="[Økonomisk Periode Kalkuleringer].[Økonomisk Periode Kalkuleringer]" caption="Periode Avregnet kalkulering" attribute="1" keyAttribute="1" defaultMemberUniqueName="[Økonomisk Periode Kalkuleringer].[Økonomisk Periode Kalkuleringer].&amp;[Denne periode]" allUniqueName="[Økonomisk Periode Kalkuleringer].[Økonomisk Periode Kalkuleringer].[All]" dimensionUniqueName="[Økonomisk Periode Kalkuleringer]" displayFolder="" count="0" unbalancedGroup="0"/>
    <cacheHierarchy uniqueName="[Økonomisk Periode Nova].[Dato]" caption="Dato" attribute="1" time="1" defaultMemberUniqueName="[Økonomisk Periode Nova].[Dato].[Alle]" allUniqueName="[Økonomisk Periode Nova].[Dato].[Alle]" dimensionUniqueName="[Økonomisk Periode Nova]" displayFolder="" count="0" unbalancedGroup="0"/>
    <cacheHierarchy uniqueName="[Økonomisk Periode Nova].[Måned]" caption="Måned" attribute="1" time="1" defaultMemberUniqueName="[Økonomisk Periode Nova].[Måned].[Alle]" allUniqueName="[Økonomisk Periode Nova].[Måned].[Alle]" dimensionUniqueName="[Økonomisk Periode Nova]" displayFolder="" count="0" unbalancedGroup="0"/>
    <cacheHierarchy uniqueName="[Økonomisk Periode Nova].[Uke År]" caption="Uke År" attribute="1" time="1" defaultMemberUniqueName="[Økonomisk Periode Nova].[Uke År].[Alle]" allUniqueName="[Økonomisk Periode Nova].[Uke År].[Alle]" dimensionUniqueName="[Økonomisk Periode Nova]" displayFolder="" count="0" unbalancedGroup="0"/>
    <cacheHierarchy uniqueName="[Økonomisk Periode Nova].[År - Måned - Dag]" caption="År - Måned - Dag" time="1" defaultMemberUniqueName="[Økonomisk Periode Nova].[År - Måned - Dag].[All]" allUniqueName="[Økonomisk Periode Nova].[År - Måned - Dag].[All]" dimensionUniqueName="[Økonomisk Periode Nova]" displayFolder="" count="0" unbalancedGroup="0"/>
    <cacheHierarchy uniqueName="[Økonomisk Periode Nova].[År - Uke - Dag]" caption="År - Uke - Dag" time="1" defaultMemberUniqueName="[Økonomisk Periode Nova].[År - Uke - Dag].[All]" allUniqueName="[Økonomisk Periode Nova].[År - Uke - Dag].[All]" dimensionUniqueName="[Økonomisk Periode Nova]" displayFolder="" count="0" unbalancedGroup="0"/>
    <cacheHierarchy uniqueName="[Økonomisk Periode Nova].[År mnd]" caption="År mnd" attribute="1" time="1" defaultMemberUniqueName="[Økonomisk Periode Nova].[År mnd].[Alle]" allUniqueName="[Økonomisk Periode Nova].[År mnd].[Alle]" dimensionUniqueName="[Økonomisk Periode Nova]" displayFolder="" count="0" unbalancedGroup="0"/>
    <cacheHierarchy uniqueName="[Økonomisk Periode Nova].[År uke]" caption="År uke" attribute="1" time="1" defaultMemberUniqueName="[Økonomisk Periode Nova].[År uke].[Alle]" allUniqueName="[Økonomisk Periode Nova].[År uke].[Alle]" dimensionUniqueName="[Økonomisk Periode Nova]" displayFolder="" count="0" unbalancedGroup="0"/>
    <cacheHierarchy uniqueName="[Anmerkningstype].[PK_Anmerkningstype_Dim]" caption="PK_Anmerkningstype_Dim" attribute="1" keyAttribute="1" defaultMemberUniqueName="[Anmerkningstype].[PK_Anmerkningstype_Dim].[Alle]" allUniqueName="[Anmerkningstype].[PK_Anmerkningstype_Dim].[Alle]" dimensionUniqueName="[Anmerkningstype]" displayFolder="" count="0" unbalancedGroup="0" hidden="1"/>
    <cacheHierarchy uniqueName="[Avdeling].[Fabrikk gyldig fra]" caption="Fabrikk gyldig fra" attribute="1" defaultMemberUniqueName="[Avdeling].[Fabrikk gyldig fra].[Alle]" allUniqueName="[Avdeling].[Fabrikk gyldig fra].[Alle]" dimensionUniqueName="[Avdeling]" displayFolder="" count="0" unbalancedGroup="0" hidden="1"/>
    <cacheHierarchy uniqueName="[Avdeling].[Fabrikk gyldig til]" caption="Fabrikk gyldig til" attribute="1" defaultMemberUniqueName="[Avdeling].[Fabrikk gyldig til].[Alle]" allUniqueName="[Avdeling].[Fabrikk gyldig til].[Alle]" dimensionUniqueName="[Avdeling]" displayFolder="" count="0" unbalancedGroup="0" hidden="1"/>
    <cacheHierarchy uniqueName="[Avdeling].[Fabrikkbeskrivelse]" caption="Fabrikkbeskrivelse" attribute="1" defaultMemberUniqueName="[Avdeling].[Fabrikkbeskrivelse].[Alle]" allUniqueName="[Avdeling].[Fabrikkbeskrivelse].[Alle]" dimensionUniqueName="[Avdeling]" displayFolder="" count="0" unbalancedGroup="0" hidden="1"/>
    <cacheHierarchy uniqueName="[Avdeling].[PK Avdeling Dim]" caption="PK Avdeling Dim" attribute="1" keyAttribute="1" defaultMemberUniqueName="[Avdeling].[PK Avdeling Dim].[Alle]" allUniqueName="[Avdeling].[PK Avdeling Dim].[Alle]" dimensionUniqueName="[Avdeling]" displayFolder="" count="0" unbalancedGroup="0" hidden="1"/>
    <cacheHierarchy uniqueName="[Avdeling].[Registrert Av]" caption="Registrert Av" attribute="1" defaultMemberUniqueName="[Avdeling].[Registrert Av].[Alle]" allUniqueName="[Avdeling].[Registrert Av].[Alle]" dimensionUniqueName="[Avdeling]" displayFolder="" count="0" unbalancedGroup="0" hidden="1"/>
    <cacheHierarchy uniqueName="[Avdeling].[Registrert Dato]" caption="Registrert Dato" attribute="1" defaultMemberUniqueName="[Avdeling].[Registrert Dato].[Alle]" allUniqueName="[Avdeling].[Registrert Dato].[Alle]" dimensionUniqueName="[Avdeling]" displayFolder="" count="0" unbalancedGroup="0" hidden="1"/>
    <cacheHierarchy uniqueName="[Avregning].[FK Leverandoer Dim]" caption="FK Leverandoer Dim" attribute="1" defaultMemberUniqueName="[Avregning].[FK Leverandoer Dim].[Alle]" allUniqueName="[Avregning].[FK Leverandoer Dim].[Alle]" dimensionUniqueName="[Avregning]" displayFolder="" count="0" unbalancedGroup="0" hidden="1"/>
    <cacheHierarchy uniqueName="[Avregning].[PK Avregning Fak]" caption="PK Avregning Fak" attribute="1" keyAttribute="1" defaultMemberUniqueName="[Avregning].[PK Avregning Fak].[Alle]" allUniqueName="[Avregning].[PK Avregning Fak].[Alle]" dimensionUniqueName="[Avregning]" displayFolder="" count="0" unbalancedGroup="0" hidden="1"/>
    <cacheHierarchy uniqueName="[Datakilde].[PK_System_Dim]" caption="PK_System_Dim" attribute="1" keyAttribute="1" defaultMemberUniqueName="[Datakilde].[PK_System_Dim].[Alle]" allUniqueName="[Datakilde].[PK_System_Dim].[Alle]" dimensionUniqueName="[Datakilde]" displayFolder="" count="0" unbalancedGroup="0" hidden="1"/>
    <cacheHierarchy uniqueName="[Kunde].[FK Medlemskrets Dim]" caption="FK Medlemskrets Dim" attribute="1" defaultMemberUniqueName="[Kunde].[FK Medlemskrets Dim].[Alle]" allUniqueName="[Kunde].[FK Medlemskrets Dim].[Alle]" dimensionUniqueName="[Kunde]" displayFolder="" count="0" unbalancedGroup="0" hidden="1"/>
    <cacheHierarchy uniqueName="[Kunde].[FK Medlemssenter Dim]" caption="FK Medlemssenter Dim" attribute="1" defaultMemberUniqueName="[Kunde].[FK Medlemssenter Dim].[Alle]" allUniqueName="[Kunde].[FK Medlemssenter Dim].[Alle]" dimensionUniqueName="[Kunde]" displayFolder="" count="0" unbalancedGroup="0" hidden="1"/>
    <cacheHierarchy uniqueName="[Kunde].[Fylkes Nr]" caption="Fylkes Nr" attribute="1" defaultMemberUniqueName="[Kunde].[Fylkes Nr].[Alle]" allUniqueName="[Kunde].[Fylkes Nr].[Alle]" dimensionUniqueName="[Kunde]" displayFolder="" count="0" unbalancedGroup="0" hidden="1"/>
    <cacheHierarchy uniqueName="[Kunde].[Kommune nr]" caption="Kommune nr" attribute="1" defaultMemberUniqueName="[Kunde].[Kommune nr].[Alle]" allUniqueName="[Kunde].[Kommune nr].[Alle]" dimensionUniqueName="[Kunde]" displayFolder="" count="0" unbalancedGroup="0" hidden="1"/>
    <cacheHierarchy uniqueName="[Kunde].[PK Kunde Dim]" caption="PK Kunde Dim" attribute="1" keyAttribute="1" defaultMemberUniqueName="[Kunde].[PK Kunde Dim].[Alle]" allUniqueName="[Kunde].[PK Kunde Dim].[Alle]" dimensionUniqueName="[Kunde]" displayFolder="" count="0" unbalancedGroup="0" hidden="1"/>
    <cacheHierarchy uniqueName="[Kunde].[Registrert av]" caption="Registrert av" attribute="1" defaultMemberUniqueName="[Kunde].[Registrert av].[Alle]" allUniqueName="[Kunde].[Registrert av].[Alle]" dimensionUniqueName="[Kunde]" displayFolder="" count="0" unbalancedGroup="0" hidden="1"/>
    <cacheHierarchy uniqueName="[Kunde].[Registrert dato]" caption="Registrert dato" attribute="1" defaultMemberUniqueName="[Kunde].[Registrert dato].[Alle]" allUniqueName="[Kunde].[Registrert dato].[Alle]" dimensionUniqueName="[Kunde]" displayFolder="" count="0" unbalancedGroup="0" hidden="1"/>
    <cacheHierarchy uniqueName="[Leverandør].[FK Medlemskrets Dim]" caption="FK Medlemskrets Dim" attribute="1" defaultMemberUniqueName="[Leverandør].[FK Medlemskrets Dim].[Alle]" allUniqueName="[Leverandør].[FK Medlemskrets Dim].[Alle]" dimensionUniqueName="[Leverandør]" displayFolder="" count="0" unbalancedGroup="0" hidden="1"/>
    <cacheHierarchy uniqueName="[Leverandør].[FK Medlemssenter Dim]" caption="FK Medlemssenter Dim" attribute="1" defaultMemberUniqueName="[Leverandør].[FK Medlemssenter Dim].[Alle]" allUniqueName="[Leverandør].[FK Medlemssenter Dim].[Alle]" dimensionUniqueName="[Leverandør]" displayFolder="" count="0" unbalancedGroup="0" hidden="1"/>
    <cacheHierarchy uniqueName="[Leverandør].[PK Leverandoer Dim]" caption="PK Leverandoer Dim" attribute="1" keyAttribute="1" defaultMemberUniqueName="[Leverandør].[PK Leverandoer Dim].[Alle]" allUniqueName="[Leverandør].[PK Leverandoer Dim].[Alle]" dimensionUniqueName="[Leverandør]" displayFolder="" count="0" unbalancedGroup="0" hidden="1"/>
    <cacheHierarchy uniqueName="[Leverandør].[Registrert av]" caption="Registrert av" attribute="1" defaultMemberUniqueName="[Leverandør].[Registrert av].[Alle]" allUniqueName="[Leverandør].[Registrert av].[Alle]" dimensionUniqueName="[Leverandør]" displayFolder="" count="0" unbalancedGroup="0" hidden="1"/>
    <cacheHierarchy uniqueName="[Leverandør].[Registrert dato]" caption="Registrert dato" attribute="1" defaultMemberUniqueName="[Leverandør].[Registrert dato].[Alle]" allUniqueName="[Leverandør].[Registrert dato].[Alle]" dimensionUniqueName="[Leverandør]" displayFolder="" count="0" unbalancedGroup="0" hidden="1"/>
    <cacheHierarchy uniqueName="[Livdyrsalg].[FK_Medlemskrets_Dim]" caption="FK_Medlemskrets_Dim" attribute="1" defaultMemberUniqueName="[Livdyrsalg].[FK_Medlemskrets_Dim].[All]" allUniqueName="[Livdyrsalg].[FK_Medlemskrets_Dim].[All]" dimensionUniqueName="[Livdyrsalg]" displayFolder="" count="0" unbalancedGroup="0" hidden="1"/>
    <cacheHierarchy uniqueName="[Livdyrsalg].[FK_Medlemssenter_Dim]" caption="FK_Medlemssenter_Dim" attribute="1" defaultMemberUniqueName="[Livdyrsalg].[FK_Medlemssenter_Dim].[All]" allUniqueName="[Livdyrsalg].[FK_Medlemssenter_Dim].[All]" dimensionUniqueName="[Livdyrsalg]" displayFolder="" count="0" unbalancedGroup="0" hidden="1"/>
    <cacheHierarchy uniqueName="[Livdyrsalg].[PK_Livdyrsalg_Fak]" caption="PK_Livdyrsalg_Fak" attribute="1" keyAttribute="1" defaultMemberUniqueName="[Livdyrsalg].[PK_Livdyrsalg_Fak].[All]" allUniqueName="[Livdyrsalg].[PK_Livdyrsalg_Fak].[All]" dimensionUniqueName="[Livdyrsalg]" displayFolder="" count="0" unbalancedGroup="0" hidden="1"/>
    <cacheHierarchy uniqueName="[Medlemskrets].[PK Medlemskrets Dim]" caption="PK Medlemskrets Dim" attribute="1" keyAttribute="1" defaultMemberUniqueName="[Medlemskrets].[PK Medlemskrets Dim].[Alle]" allUniqueName="[Medlemskrets].[PK Medlemskrets Dim].[Alle]" dimensionUniqueName="[Medlemskrets]" displayFolder="" count="0" unbalancedGroup="0" hidden="1"/>
    <cacheHierarchy uniqueName="[Medlemssenter].[PK Medlemssenter Dim]" caption="PK Medlemssenter Dim" attribute="1" keyAttribute="1" defaultMemberUniqueName="[Medlemssenter].[PK Medlemssenter Dim].[All]" allUniqueName="[Medlemssenter].[PK Medlemssenter Dim].[All]" dimensionUniqueName="[Medlemssenter]" displayFolder="" count="0" unbalancedGroup="0" hidden="1"/>
    <cacheHierarchy uniqueName="[MinSide Kjøttprosent].[PK Min Side Kjoettprosent Dim]" caption="PK Min Side Kjoettprosent Dim" attribute="1" keyAttribute="1" defaultMemberUniqueName="[MinSide Kjøttprosent].[PK Min Side Kjoettprosent Dim].[All]" allUniqueName="[MinSide Kjøttprosent].[PK Min Side Kjoettprosent Dim].[All]" dimensionUniqueName="[MinSide Kjøttprosent]" displayFolder="" count="0" unbalancedGroup="0" hidden="1"/>
    <cacheHierarchy uniqueName="[MinSide Vektklasse].[PK Min Side Vektklasse Dim]" caption="PK Min Side Vektklasse Dim" attribute="1" keyAttribute="1" defaultMemberUniqueName="[MinSide Vektklasse].[PK Min Side Vektklasse Dim].[All]" allUniqueName="[MinSide Vektklasse].[PK Min Side Vektklasse Dim].[All]" dimensionUniqueName="[MinSide Vektklasse]" displayFolder="" count="0" unbalancedGroup="0" hidden="1"/>
    <cacheHierarchy uniqueName="[Mottatt Periode].[Periode Id]" caption="Periode Id" attribute="1" time="1" defaultMemberUniqueName="[Mottatt Periode].[Periode Id].[Alle]" allUniqueName="[Mottatt Periode].[Periode Id].[Alle]" dimensionUniqueName="[Mottatt Periode]" displayFolder="" count="0" unbalancedGroup="0" hidden="1"/>
    <cacheHierarchy uniqueName="[Mottatt Periode].[PK Periode Dim]" caption="PK Periode Dim" attribute="1" time="1" keyAttribute="1" defaultMemberUniqueName="[Mottatt Periode].[PK Periode Dim].[Alle]" allUniqueName="[Mottatt Periode].[PK Periode Dim].[Alle]" dimensionUniqueName="[Mottatt Periode]" displayFolder="" count="0" memberValueDatatype="3" unbalancedGroup="0" hidden="1"/>
    <cacheHierarchy uniqueName="[Mottatt Periode Nova].[Periode Id]" caption="Periode Id" attribute="1" time="1" defaultMemberUniqueName="[Mottatt Periode Nova].[Periode Id].[Alle]" allUniqueName="[Mottatt Periode Nova].[Periode Id].[Alle]" dimensionUniqueName="[Mottatt Periode Nova]" displayFolder="" count="0" unbalancedGroup="0" hidden="1"/>
    <cacheHierarchy uniqueName="[Mottatt Periode Nova].[PK Periode Dim]" caption="PK Periode Dim" attribute="1" time="1" keyAttribute="1" defaultMemberUniqueName="[Mottatt Periode Nova].[PK Periode Dim].[Alle]" allUniqueName="[Mottatt Periode Nova].[PK Periode Dim].[Alle]" dimensionUniqueName="[Mottatt Periode Nova]" displayFolder="" count="0" memberValueDatatype="3" unbalancedGroup="0" hidden="1"/>
    <cacheHierarchy uniqueName="[ProfitCenter].[PK Profit Center Dim]" caption="PK Profit Center Dim" attribute="1" keyAttribute="1" defaultMemberUniqueName="[ProfitCenter].[PK Profit Center Dim].[All]" allUniqueName="[ProfitCenter].[PK Profit Center Dim].[All]" dimensionUniqueName="[ProfitCenter]" displayFolder="" count="0" unbalancedGroup="0" hidden="1"/>
    <cacheHierarchy uniqueName="[Rase].[PK Rase Dim]" caption="PK Rase Dim" attribute="1" keyAttribute="1" defaultMemberUniqueName="[Rase].[PK Rase Dim].[All]" allUniqueName="[Rase].[PK Rase Dim].[All]" dimensionUniqueName="[Rase]" displayFolder="" count="0" unbalancedGroup="0" hidden="1"/>
    <cacheHierarchy uniqueName="[Referanse1].[Referanse1Navn]" caption="Referanse1Navn" attribute="1" keyAttribute="1" defaultMemberUniqueName="[Referanse1].[Referanse1Navn].[All]" allUniqueName="[Referanse1].[Referanse1Navn].[All]" dimensionUniqueName="[Referanse1]" displayFolder="" count="0" unbalancedGroup="0" hidden="1"/>
    <cacheHierarchy uniqueName="[Referanse2].[Referanse2Navn]" caption="Referanse2Navn" attribute="1" keyAttribute="1" defaultMemberUniqueName="[Referanse2].[Referanse2Navn].[All]" allUniqueName="[Referanse2].[Referanse2Navn].[All]" dimensionUniqueName="[Referanse2]" displayFolder="" count="0" unbalancedGroup="0" hidden="1"/>
    <cacheHierarchy uniqueName="[Rådgivning].[PK_Salg_Raadgivning_Fak]" caption="PK_Salg_Raadgivning_Fak" attribute="1" keyAttribute="1" defaultMemberUniqueName="[Rådgivning].[PK_Salg_Raadgivning_Fak].[All]" allUniqueName="[Rådgivning].[PK_Salg_Raadgivning_Fak].[All]" dimensionUniqueName="[Rådgivning]" displayFolder="" count="0" unbalancedGroup="0" hidden="1"/>
    <cacheHierarchy uniqueName="[Salgsordretype].[PK_Salgsordretype_Dim]" caption="PK_Salgsordretype_Dim" attribute="1" keyAttribute="1" defaultMemberUniqueName="[Salgsordretype].[PK_Salgsordretype_Dim].[All]" allUniqueName="[Salgsordretype].[PK_Salgsordretype_Dim].[All]" dimensionUniqueName="[Salgsordretype]" displayFolder="" count="0" unbalancedGroup="0" hidden="1"/>
    <cacheHierarchy uniqueName="[Tilfoerselsomraade].[PK Tilfoerselsomraade Dim]" caption="PK Tilfoerselsomraade Dim" attribute="1" keyAttribute="1" defaultMemberUniqueName="[Tilfoerselsomraade].[PK Tilfoerselsomraade Dim].[All]" allUniqueName="[Tilfoerselsomraade].[PK Tilfoerselsomraade Dim].[All]" dimensionUniqueName="[Tilfoerselsomraade]" displayFolder="" count="0" unbalancedGroup="0" hidden="1"/>
    <cacheHierarchy uniqueName="[Vare].[Avregningstype1]" caption="Avregningstype1" attribute="1" defaultMemberUniqueName="[Vare].[Avregningstype1].[Alle]" allUniqueName="[Vare].[Avregningstype1].[Alle]" dimensionUniqueName="[Vare]" displayFolder="" count="0" unbalancedGroup="0" hidden="1"/>
    <cacheHierarchy uniqueName="[Vare].[Avregningsvarevariantkode]" caption="Avregningsvarevariantkode" attribute="1" defaultMemberUniqueName="[Vare].[Avregningsvarevariantkode].[Alle]" allUniqueName="[Vare].[Avregningsvarevariantkode].[Alle]" dimensionUniqueName="[Vare]" displayFolder="" count="2" unbalanced="0" unbalancedGroup="0" hidden="1">
      <fieldsUsage count="2">
        <fieldUsage x="-1"/>
        <fieldUsage x="6"/>
      </fieldsUsage>
    </cacheHierarchy>
    <cacheHierarchy uniqueName="[Vare].[PK Vare Dim]" caption="PK Vare Dim" attribute="1" keyAttribute="1" defaultMemberUniqueName="[Vare].[PK Vare Dim].[Alle]" allUniqueName="[Vare].[PK Vare Dim].[Alle]" dimensionUniqueName="[Vare]" displayFolder="" count="0" unbalancedGroup="0" hidden="1"/>
    <cacheHierarchy uniqueName="[Vare].[Varehovedkategori]" caption="Varehovedkategori" attribute="1" defaultMemberUniqueName="[Vare].[Varehovedkategori].[Alle]" allUniqueName="[Vare].[Varehovedkategori].[Alle]" dimensionUniqueName="[Vare]" displayFolder="" count="0" unbalancedGroup="0" hidden="1"/>
    <cacheHierarchy uniqueName="[Vare].[Varekategori]" caption="Varekategori" attribute="1" defaultMemberUniqueName="[Vare].[Varekategori].[Alle]" allUniqueName="[Vare].[Varekategori].[Alle]" dimensionUniqueName="[Vare]" displayFolder="" count="0" unbalancedGroup="0" hidden="1"/>
    <cacheHierarchy uniqueName="[Vare].[Vareunderkategori]" caption="Vareunderkategori" attribute="1" defaultMemberUniqueName="[Vare].[Vareunderkategori].[Alle]" allUniqueName="[Vare].[Vareunderkategori].[Alle]" dimensionUniqueName="[Vare]" displayFolder="" count="0" unbalancedGroup="0" hidden="1"/>
    <cacheHierarchy uniqueName="[Vektklasse].[PK Vektklasse Dim]" caption="PK Vektklasse Dim" attribute="1" keyAttribute="1" defaultMemberUniqueName="[Vektklasse].[PK Vektklasse Dim].[All]" allUniqueName="[Vektklasse].[PK Vektklasse Dim].[All]" dimensionUniqueName="[Vektklasse]" displayFolder="" count="0" unbalancedGroup="0" hidden="1"/>
    <cacheHierarchy uniqueName="[Økonomisk Periode].[Oekonomisk Periode Id]" caption="Oekonomisk Periode Id" attribute="1" time="1" defaultMemberUniqueName="[Økonomisk Periode].[Oekonomisk Periode Id].[Alle]" allUniqueName="[Økonomisk Periode].[Oekonomisk Periode Id].[Alle]" dimensionUniqueName="[Økonomisk Periode]" displayFolder="" count="0" unbalancedGroup="0" hidden="1"/>
    <cacheHierarchy uniqueName="[Økonomisk Periode].[PK Oekonomisk Periode Dim]" caption="PK Oekonomisk Periode Dim" attribute="1" time="1" keyAttribute="1" defaultMemberUniqueName="[Økonomisk Periode].[PK Oekonomisk Periode Dim].[Alle]" allUniqueName="[Økonomisk Periode].[PK Oekonomisk Periode Dim].[Alle]" dimensionUniqueName="[Økonomisk Periode]" displayFolder="" count="0" memberValueDatatype="3" unbalancedGroup="0" hidden="1"/>
    <cacheHierarchy uniqueName="[Økonomisk Periode].[Regnskapsuke]" caption="Ukenr avregnet" attribute="1" time="1" defaultMemberUniqueName="[Økonomisk Periode].[Regnskapsuke].[Alle]" allUniqueName="[Økonomisk Periode].[Regnskapsuke].[Alle]" dimensionUniqueName="[Økonomisk Periode]" displayFolder="" count="0" unbalancedGroup="0" hidden="1"/>
    <cacheHierarchy uniqueName="[Økonomisk Periode Nova].[Oekonomisk Periode Id]" caption="Oekonomisk Periode Id" attribute="1" time="1" defaultMemberUniqueName="[Økonomisk Periode Nova].[Oekonomisk Periode Id].[Alle]" allUniqueName="[Økonomisk Periode Nova].[Oekonomisk Periode Id].[Alle]" dimensionUniqueName="[Økonomisk Periode Nova]" displayFolder="" count="0" unbalancedGroup="0" hidden="1"/>
    <cacheHierarchy uniqueName="[Økonomisk Periode Nova].[PK Oekonomisk Periode Dim]" caption="PK Oekonomisk Periode Dim" attribute="1" time="1" keyAttribute="1" defaultMemberUniqueName="[Økonomisk Periode Nova].[PK Oekonomisk Periode Dim].[Alle]" allUniqueName="[Økonomisk Periode Nova].[PK Oekonomisk Periode Dim].[Alle]" dimensionUniqueName="[Økonomisk Periode Nova]" displayFolder="" count="0" memberValueDatatype="3" unbalancedGroup="0" hidden="1"/>
    <cacheHierarchy uniqueName="[Measures].[Antall]" caption="Antall" measure="1" displayFolder="" measureGroup="Avregning" count="0"/>
    <cacheHierarchy uniqueName="[Measures].[Vekt]" caption="Vekt" measure="1" displayFolder="" measureGroup="Avregning" count="0"/>
    <cacheHierarchy uniqueName="[Measures].[Beløp]" caption="Beløp" measure="1" displayFolder="" measureGroup="Avregning" count="0" oneField="1">
      <fieldsUsage count="1">
        <fieldUsage x="21"/>
      </fieldsUsage>
    </cacheHierarchy>
    <cacheHierarchy uniqueName="[Measures].[Antall rader]" caption="Antall avregningslinjer" measure="1" displayFolder="" measureGroup="Avregning" count="0"/>
    <cacheHierarchy uniqueName="[Measures].[Fettverdi]" caption="Fettverdi" measure="1" displayFolder="" measureGroup="Avregning" count="0"/>
    <cacheHierarchy uniqueName="[Measures].[Kjøttprosent]" caption="Kjøttprosent" measure="1" displayFolder="" measureGroup="Avregning" count="0"/>
    <cacheHierarchy uniqueName="[Measures].[Klasseverdi]" caption="Klasseverdi" measure="1" displayFolder="" measureGroup="Avregning" count="0"/>
    <cacheHierarchy uniqueName="[Measures].[Avregningsammendrag Antall]" caption="Avregningsammendrag Antall" measure="1" displayFolder="" measureGroup="Avregning" count="0"/>
    <cacheHierarchy uniqueName="[Measures].[Avregningsammendrag Vekt]" caption="Avregningsammendrag Vekt" measure="1" displayFolder="" measureGroup="Avregning" count="0"/>
    <cacheHierarchy uniqueName="[Measures].[Kjoereseddel Nr]" caption="Antall kjøresedler" measure="1" displayFolder="" measureGroup="Avregning" count="0"/>
    <cacheHierarchy uniqueName="[Measures].[Individ Alder Dager]" caption="Individ Alder Dager" measure="1" displayFolder="" measureGroup="Avregning" count="0"/>
    <cacheHierarchy uniqueName="[Measures].[Foedselsvekt]" caption="Fødselsvekt sum" measure="1" displayFolder="" measureGroup="Avregning" count="0"/>
    <cacheHierarchy uniqueName="[Measures].[Sum Tillegg Individ Spesifikt]" caption="Sum Tillegg Individ Spesifikt" measure="1" displayFolder="" measureGroup="Avregning" count="0"/>
    <cacheHierarchy uniqueName="[Measures].[Beløp fakturert]" caption="Beløp fakturert" measure="1" displayFolder="" measureGroup="Livdyrsalg" count="0"/>
    <cacheHierarchy uniqueName="[Measures].[Vekt fakturert]" caption="Vekt fakturert" measure="1" displayFolder="" measureGroup="Livdyrsalg" count="0"/>
    <cacheHierarchy uniqueName="[Measures].[Antall fakturert]" caption="Antall fakturert" measure="1" displayFolder="" measureGroup="Livdyrsalg" count="0"/>
    <cacheHierarchy uniqueName="[Measures].[Beløp fakturert rådgivning]" caption="Beløp fakturert rådgivning" measure="1" displayFolder="" measureGroup="Rådgivningsalg" count="0"/>
    <cacheHierarchy uniqueName="[Measures].[Antall fakturert rådgivning]" caption="Antall fakturert rådgivning" measure="1" displayFolder="" measureGroup="Rådgivningsalg" count="0"/>
    <cacheHierarchy uniqueName="[Measures].[Antall Individ]" caption="Antall individ med anmerkning" measure="1" displayFolder="" measureGroup="Anmerkning" count="0"/>
    <cacheHierarchy uniqueName="[Measures].[Antall Anmerkning]" caption="Antall anmerkning" measure="1" displayFolder="" measureGroup="Anmerkning" count="0"/>
    <cacheHierarchy uniqueName="[Measures].[Antall individ med sykdomsanmerkning]" caption="Antall individ med sykdomsanmerkning" measure="1" displayFolder="" measureGroup="Anmerkning" count="0"/>
    <cacheHierarchy uniqueName="[Measures].[Antall Kassert]" caption="Antall kassert" measure="1" displayFolder="" measureGroup="Anmerkning" count="0"/>
    <cacheHierarchy uniqueName="[Measures].[Teller]" caption="Teller" measure="1" displayFolder="" measureGroup="Produsent Egenskap" count="0"/>
    <cacheHierarchy uniqueName="[Measures].[Dato1 KE]" caption="Dato1 KE" measure="1" displayFolder="" measureGroup="Kunde Egenskap" count="0"/>
    <cacheHierarchy uniqueName="[Measures].[Dato2 KE]" caption="Dato2 KE" measure="1" displayFolder="" measureGroup="Kunde Egenskap" count="0"/>
    <cacheHierarchy uniqueName="[Measures].[Dato3 KE]" caption="Dato3 KE" measure="1" displayFolder="" measureGroup="Kunde Egenskap" count="0"/>
    <cacheHierarchy uniqueName="[Measures].[Teller KE]" caption="Teller KE" measure="1" displayFolder="" measureGroup="Kunde Egenskap" count="0"/>
    <cacheHierarchy uniqueName="[Measures].[Budsjett Vekt]" caption="Budsjett Vekt" measure="1" displayFolder="" measureGroup="Tilførselsbudsjett" count="0"/>
    <cacheHierarchy uniqueName="[Measures].[Budsjett Antall]" caption="Budsjett Antall" measure="1" displayFolder="" measureGroup="Tilførselsbudsjett" count="0"/>
    <cacheHierarchy uniqueName="[Measures].[Dato1]" caption="Dato1" measure="1" displayFolder="Produsent Egenskap" measureGroup="Produsent Egenskap" count="0"/>
    <cacheHierarchy uniqueName="[Measures].[Dato2]" caption="Dato2" measure="1" displayFolder="Produsent Egenskap" measureGroup="Produsent Egenskap" count="0"/>
    <cacheHierarchy uniqueName="[Measures].[Dato3]" caption="Dato3" measure="1" displayFolder="Produsent Egenskap" measureGroup="Produsent Egenskap" count="0"/>
    <cacheHierarchy uniqueName="[Measures].[Beløp % av forelder]" caption="Beløp % av overordnet" measure="1" displayFolder="" measureGroup="Avregning" count="0"/>
    <cacheHierarchy uniqueName="[Measures].[Vekt % av forelder]" caption="Vekt % av overordnet" measure="1" displayFolder="" measureGroup="Avregning" count="0"/>
    <cacheHierarchy uniqueName="[Measures].[Gj snitt Kjøtt%]" caption="Gj snitt Kjøtt%" measure="1" displayFolder="" measureGroup="Avregning" count="0"/>
    <cacheHierarchy uniqueName="[Measures].[Gj snitt Klasseverdi]" caption="Gj snitt Klasseverdi" measure="1" displayFolder="" measureGroup="Avregning" count="0"/>
    <cacheHierarchy uniqueName="[Measures].[Gj snitt Fettverdi]" caption="Gj snitt Fettverdi" measure="1" displayFolder="" measureGroup="Avregning" count="0"/>
    <cacheHierarchy uniqueName="[Measures].[Gj snitt Individ alder]" caption="Gj snitt Individ alder" measure="1" displayFolder="" measureGroup="Avregning" count="0"/>
    <cacheHierarchy uniqueName="[Measures].[Gj snitt Tilvekst]" caption="Gj snitt Tilvekst" measure="1" displayFolder="" measureGroup="Avregning" count="0"/>
    <cacheHierarchy uniqueName="[Measures].[Gj snitt beløp]" caption="Gj snitt beløp" measure="1" displayFolder="" measureGroup="Avregning" count="0"/>
    <cacheHierarchy uniqueName="[Measures].[Gj snitt vekt]" caption="Gj snitt vekt" measure="1" displayFolder="" measureGroup="Avregning" count="0"/>
    <cacheHierarchy uniqueName="[Measures].[DP i år.Antall Anmerkning]" caption="DP i år.Antall Anmerkning" measure="1" displayFolder="DP i år" measureGroup="Anmerkning" count="0"/>
    <cacheHierarchy uniqueName="[Measures].[H i år.Antall Anmerkning]" caption="H i år.Antall Anmerkning" measure="1" displayFolder="H i år" measureGroup="Anmerkning" count="0"/>
    <cacheHierarchy uniqueName="[Measures].[DP i år.Antall Individ]" caption="DP i år.Antall Individ" measure="1" displayFolder="DP i år" measureGroup="Anmerkning" count="0"/>
    <cacheHierarchy uniqueName="[Measures].[H i år.Antall Individ]" caption="H i år.Antall Individ" measure="1" displayFolder="H i år" measureGroup="Anmerkning" count="0"/>
    <cacheHierarchy uniqueName="[Measures].[DP i år.Antall Kassert]" caption="DP i år.Antall Kassert" measure="1" displayFolder="DP i år" measureGroup="Anmerkning" count="0"/>
    <cacheHierarchy uniqueName="[Measures].[H i år.Antall Kassert]" caption="H i år.Antall Kassert" measure="1" displayFolder="H i år" measureGroup="Anmerkning" count="0"/>
    <cacheHierarchy uniqueName="[Measures].[DP i år.Antall individ med sykdomsanmerkning]" caption="DP i år.Antall individ med sykdomsanmerkning" measure="1" displayFolder="DP i år" measureGroup="Anmerkning" count="0"/>
    <cacheHierarchy uniqueName="[Measures].[H i år.Antall individ med sykdomsanmerkning]" caption="H i år.Antall individ med sykdomsanmerkning" measure="1" displayFolder="H i år" measureGroup="Anmerkning" count="0"/>
    <cacheHierarchy uniqueName="[Measures].[Antall Anmerkning % av avregnet]" caption="Andel individ med anmerkning" measure="1" displayFolder="" measureGroup="Anmerkning" count="0"/>
    <cacheHierarchy uniqueName="[Measures].[Antall Anmerkning % av Foreldre]" caption="Andel av anmerkninger" measure="1" displayFolder="" measureGroup="Anmerkning" count="0"/>
    <cacheHierarchy uniqueName="[Measures].[DP i år.Antall]" caption="DP i år.Antall" measure="1" displayFolder="DP i år" measureGroup="Avregning" count="0"/>
    <cacheHierarchy uniqueName="[Measures].[H i år.Antall]" caption="H i år.Antall" measure="1" displayFolder="H i år" measureGroup="Avregning" count="0"/>
    <cacheHierarchy uniqueName="[Measures].[DP i år.Vekt]" caption="DP i år.Vekt" measure="1" displayFolder="DP i år" measureGroup="Avregning" count="0"/>
    <cacheHierarchy uniqueName="[Measures].[H i år.Vekt]" caption="H i år.Vekt" measure="1" displayFolder="H i år" measureGroup="Avregning" count="0"/>
    <cacheHierarchy uniqueName="[Measures].[DP i år.Beløp]" caption="DP i år.Beløp" measure="1" displayFolder="DP i år" measureGroup="Avregning" count="0"/>
    <cacheHierarchy uniqueName="[Measures].[H i år.Beløp]" caption="H i år.Beløp" measure="1" displayFolder="H i år" measureGroup="Avregning" count="0"/>
    <cacheHierarchy uniqueName="[Measures].[DP i år.Antall fakturert]" caption="DP i år.Antall fakturert" measure="1" displayFolder="DP i år" measureGroup="Livdyrsalg" count="0"/>
    <cacheHierarchy uniqueName="[Measures].[H i år.Antall fakturert]" caption="H i år.Antall fakturert" measure="1" displayFolder="H i år" measureGroup="Livdyrsalg" count="0"/>
    <cacheHierarchy uniqueName="[Measures].[DP i år.Vekt fakturert]" caption="DP i år.Vekt fakturert" measure="1" displayFolder="DP i år" measureGroup="Livdyrsalg" count="0"/>
    <cacheHierarchy uniqueName="[Measures].[H i år.Vekt fakturert]" caption="H i år.Vekt fakturert" measure="1" displayFolder="H i år" measureGroup="Livdyrsalg" count="0"/>
    <cacheHierarchy uniqueName="[Measures].[DP i år.Beløp fakturert]" caption="DP i år.Beløp fakturert" measure="1" displayFolder="DP i år" measureGroup="Livdyrsalg" count="0"/>
    <cacheHierarchy uniqueName="[Measures].[H i år.Beløp fakturert]" caption="H i år.Beløp fakturert" measure="1" displayFolder="H i år" measureGroup="Livdyrsalg" count="0"/>
    <cacheHierarchy uniqueName="[Measures].[DP i år.Antall fakturert rådgivning]" caption="DP i år.Antall fakturert rådgivning" measure="1" displayFolder="DP i år" measureGroup="Rådgivningsalg" count="0"/>
    <cacheHierarchy uniqueName="[Measures].[H i år.Antall fakturert rådgivning]" caption="H i år.Antall fakturert rådgivning" measure="1" displayFolder="H i år" measureGroup="Rådgivningsalg" count="0"/>
    <cacheHierarchy uniqueName="[Measures].[DP i år.Beløp fakturert rådgivning]" caption="DP i år.Beløp fakturert rådgivning" measure="1" displayFolder="DP i år" measureGroup="Rådgivningsalg" count="0"/>
    <cacheHierarchy uniqueName="[Measures].[H i år.Beløp fakturert rådgivning]" caption="H i år.Beløp fakturert rådgivning" measure="1" displayFolder="H i år" measureGroup="Rådgivningsalg" count="0"/>
    <cacheHierarchy uniqueName="[Measures].[Antall fakturert mot avregnet]" caption="Antall fakturert mot avregnet" measure="1" displayFolder="" measureGroup="Livdyrsalg" count="0"/>
    <cacheHierarchy uniqueName="[Measures].[Antall fakturert % mot avregnet]" caption="Antall fakturert % mot avregnet" measure="1" displayFolder="" measureGroup="Livdyrsalg" count="0"/>
    <cacheHierarchy uniqueName="[Measures].[DP i år.Budsjett antall]" caption="DP i år.Budsjett antall" measure="1" displayFolder="DP i år" measureGroup="Tilførselsbudsjett" count="0"/>
    <cacheHierarchy uniqueName="[Measures].[H i år.Budsjett antall]" caption="H i år.Budsjett antall" measure="1" displayFolder="H i år" measureGroup="Tilførselsbudsjett" count="0"/>
    <cacheHierarchy uniqueName="[Measures].[DP i år.Budsjett vekt]" caption="DP i år.Budsjett vekt" measure="1" displayFolder="DP i år" measureGroup="Tilførselsbudsjett" count="0"/>
    <cacheHierarchy uniqueName="[Measures].[H i år.Budsjett vekt]" caption="H i år.Budsjett vekt" measure="1" displayFolder="H i år" measureGroup="Tilførselsbudsjett" count="0"/>
    <cacheHierarchy uniqueName="[Measures].[DP i år.Gj snitt vekt]" caption="DP i år.Gj snitt vekt" measure="1" displayFolder="DP i år" measureGroup="Tilførselsbudsjett" count="0"/>
    <cacheHierarchy uniqueName="[Measures].[Produsent Tilfoerselsomraade Count]" caption="Produsent Tilfoerselsomraade Count" measure="1" displayFolder="" measureGroup="Produsent Tilfoerselsomraade" count="0" hidden="1"/>
    <cacheHierarchy uniqueName="[Measures].[Dato 1]" caption="Dato 1" measure="1" displayFolder="" measureGroup="Produsent Egenskap" count="0" hidden="1"/>
    <cacheHierarchy uniqueName="[Measures].[Dato 2]" caption="Dato 2" measure="1" displayFolder="" measureGroup="Produsent Egenskap" count="0" hidden="1"/>
    <cacheHierarchy uniqueName="[Measures].[Dato 3]" caption="Dato 3" measure="1" displayFolder="" measureGroup="Produsent Egenskap" count="0" hidden="1"/>
    <cacheHierarchy uniqueName="[Tilførsel]" caption="Tilførsel" set="1" parentSet="261" displayFolder="" count="0" unbalanced="0" unbalancedGroup="0"/>
    <cacheHierarchy uniqueName="[SLF]" caption="SLF" set="1" parentSet="259" displayFolder="" count="0" unbalanced="0" unbalancedGroup="0"/>
  </cacheHierarchies>
  <kpis count="0"/>
  <dimensions count="30">
    <dimension name="Anmerkningstype" uniqueName="[Anmerkningstype]" caption="Anmerkningstype"/>
    <dimension name="Avdeling" uniqueName="[Avdeling]" caption="Avdeling"/>
    <dimension name="Avregning" uniqueName="[Avregning]" caption="Avregning"/>
    <dimension name="Datakilde" uniqueName="[Datakilde]" caption="Datakilde"/>
    <dimension name="Datasett" uniqueName="[Datasett]" caption="Datasett"/>
    <dimension name="Hønas alder" uniqueName="[Hønas alder]" caption="Hønas alder"/>
    <dimension name="Kunde" uniqueName="[Kunde]" caption="Kunde"/>
    <dimension name="Leverandør" uniqueName="[Leverandør]" caption="Produsent"/>
    <dimension name="Livdyrsalg" uniqueName="[Livdyrsalg]" caption="Livdyrsalg"/>
    <dimension measure="1" name="Measures" uniqueName="[Measures]" caption="Measures"/>
    <dimension name="Medlemskrets" uniqueName="[Medlemskrets]" caption="Medlemsdemokrati"/>
    <dimension name="Medlemssenter" uniqueName="[Medlemssenter]" caption="Medlemssenter"/>
    <dimension name="MinSide Kjøttprosent" uniqueName="[MinSide Kjøttprosent]" caption="MinSide Kjøttprosent"/>
    <dimension name="MinSide Vektklasse" uniqueName="[MinSide Vektklasse]" caption="MinSide Vektklasse"/>
    <dimension name="Mottatt Periode" uniqueName="[Mottatt Periode]" caption="Periode Mottatt"/>
    <dimension name="Mottatt Periode Kalkuleringer" uniqueName="[Mottatt Periode Kalkuleringer]" caption="Periode Mottatt kalkulering"/>
    <dimension name="Mottatt Periode Nova" uniqueName="[Mottatt Periode Nova]" caption="Periode mottatt Nova"/>
    <dimension name="Produsent Egenskap" uniqueName="[Produsent Egenskap]" caption="Produsent Egenskap"/>
    <dimension name="ProfitCenter" uniqueName="[ProfitCenter]" caption="ProfitCenter"/>
    <dimension name="Rase" uniqueName="[Rase]" caption="Rase"/>
    <dimension name="Referanse1" uniqueName="[Referanse1]" caption="Referanse1"/>
    <dimension name="Referanse2" uniqueName="[Referanse2]" caption="Referanse2"/>
    <dimension name="Rådgivning" uniqueName="[Rådgivning]" caption="Rådgivning"/>
    <dimension name="Salgsordretype" uniqueName="[Salgsordretype]" caption="Salgsordretype"/>
    <dimension name="Tilfoerselsomraade" uniqueName="[Tilfoerselsomraade]" caption="Tilfoerselsomraade"/>
    <dimension name="Vare" uniqueName="[Vare]" caption="Vare"/>
    <dimension name="Vektklasse" uniqueName="[Vektklasse]" caption="Vektklasse"/>
    <dimension name="Økonomisk Periode" uniqueName="[Økonomisk Periode]" caption="Periode Avregnet"/>
    <dimension name="Økonomisk Periode Kalkuleringer" uniqueName="[Økonomisk Periode Kalkuleringer]" caption="Periode Avregnet kalkulering"/>
    <dimension name="Økonomisk Periode Nova" uniqueName="[Økonomisk Periode Nova]" caption="Økonomisk Periode Nova"/>
  </dimensions>
  <measureGroups count="8">
    <measureGroup name="Anmerkning" caption="Anmerkning"/>
    <measureGroup name="Avregning" caption="Avregning"/>
    <measureGroup name="Kunde Egenskap" caption="Kunde Egenskap"/>
    <measureGroup name="Livdyrsalg" caption="Livdyrsalg"/>
    <measureGroup name="Produsent Egenskap" caption="Produsentegenskap"/>
    <measureGroup name="Produsent Tilfoerselsomraade" caption="Produsent Tilfoerselsomraade"/>
    <measureGroup name="Rådgivningsalg" caption="Rådgivningsalg"/>
    <measureGroup name="Tilførselsbudsjett" caption="Tilførselsbudsjett"/>
  </measureGroups>
  <maps count="87">
    <map measureGroup="0" dimension="0"/>
    <map measureGroup="0" dimension="1"/>
    <map measureGroup="0" dimension="2"/>
    <map measureGroup="0" dimension="3"/>
    <map measureGroup="0" dimension="4"/>
    <map measureGroup="0" dimension="7"/>
    <map measureGroup="0" dimension="10"/>
    <map measureGroup="0" dimension="11"/>
    <map measureGroup="0" dimension="14"/>
    <map measureGroup="0" dimension="16"/>
    <map measureGroup="0" dimension="17"/>
    <map measureGroup="0" dimension="20"/>
    <map measureGroup="0" dimension="21"/>
    <map measureGroup="0" dimension="25"/>
    <map measureGroup="0" dimension="27"/>
    <map measureGroup="0" dimension="29"/>
    <map measureGroup="1" dimension="1"/>
    <map measureGroup="1" dimension="2"/>
    <map measureGroup="1" dimension="3"/>
    <map measureGroup="1" dimension="4"/>
    <map measureGroup="1" dimension="5"/>
    <map measureGroup="1" dimension="6"/>
    <map measureGroup="1" dimension="7"/>
    <map measureGroup="1" dimension="10"/>
    <map measureGroup="1" dimension="11"/>
    <map measureGroup="1" dimension="12"/>
    <map measureGroup="1" dimension="13"/>
    <map measureGroup="1" dimension="14"/>
    <map measureGroup="1" dimension="16"/>
    <map measureGroup="1" dimension="17"/>
    <map measureGroup="1" dimension="18"/>
    <map measureGroup="1" dimension="19"/>
    <map measureGroup="1" dimension="20"/>
    <map measureGroup="1" dimension="21"/>
    <map measureGroup="1" dimension="25"/>
    <map measureGroup="1" dimension="26"/>
    <map measureGroup="1" dimension="27"/>
    <map measureGroup="1" dimension="29"/>
    <map measureGroup="2" dimension="6"/>
    <map measureGroup="2" dimension="17"/>
    <map measureGroup="2" dimension="20"/>
    <map measureGroup="2" dimension="21"/>
    <map measureGroup="3" dimension="1"/>
    <map measureGroup="3" dimension="3"/>
    <map measureGroup="3" dimension="4"/>
    <map measureGroup="3" dimension="6"/>
    <map measureGroup="3" dimension="7"/>
    <map measureGroup="3" dimension="8"/>
    <map measureGroup="3" dimension="10"/>
    <map measureGroup="3" dimension="11"/>
    <map measureGroup="3" dimension="14"/>
    <map measureGroup="3" dimension="16"/>
    <map measureGroup="3" dimension="17"/>
    <map measureGroup="3" dimension="20"/>
    <map measureGroup="3" dimension="21"/>
    <map measureGroup="3" dimension="23"/>
    <map measureGroup="3" dimension="25"/>
    <map measureGroup="3" dimension="27"/>
    <map measureGroup="3" dimension="29"/>
    <map measureGroup="4" dimension="7"/>
    <map measureGroup="4" dimension="10"/>
    <map measureGroup="4" dimension="11"/>
    <map measureGroup="4" dimension="17"/>
    <map measureGroup="4" dimension="20"/>
    <map measureGroup="4" dimension="21"/>
    <map measureGroup="5" dimension="24"/>
    <map measureGroup="6" dimension="1"/>
    <map measureGroup="6" dimension="3"/>
    <map measureGroup="6" dimension="4"/>
    <map measureGroup="6" dimension="6"/>
    <map measureGroup="6" dimension="7"/>
    <map measureGroup="6" dimension="14"/>
    <map measureGroup="6" dimension="16"/>
    <map measureGroup="6" dimension="17"/>
    <map measureGroup="6" dimension="20"/>
    <map measureGroup="6" dimension="21"/>
    <map measureGroup="6" dimension="22"/>
    <map measureGroup="6" dimension="23"/>
    <map measureGroup="6" dimension="25"/>
    <map measureGroup="6" dimension="27"/>
    <map measureGroup="6" dimension="29"/>
    <map measureGroup="7" dimension="7"/>
    <map measureGroup="7" dimension="10"/>
    <map measureGroup="7" dimension="11"/>
    <map measureGroup="7" dimension="14"/>
    <map measureGroup="7" dimension="16"/>
    <map measureGroup="7" dimension="25"/>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095121F-9029-EA4C-9D82-3C70992BB1E1}" name="Pivottabell1" cacheId="7" dataPosition="0" applyNumberFormats="0" applyBorderFormats="0" applyFontFormats="0" applyPatternFormats="0" applyAlignmentFormats="0" applyWidthHeightFormats="1" dataCaption="Verdier" updatedVersion="6" minRefreshableVersion="3" showCalcMbrs="0" subtotalHiddenItems="1" itemPrintTitles="1" createdVersion="3" indent="0" compact="0" compactData="0" multipleFieldFilters="0" rowHeaderCaption="Periode" fieldListSortAscending="1">
  <location ref="A7:E26" firstHeaderRow="1" firstDataRow="3" firstDataCol="2" rowPageCount="4" colPageCount="1"/>
  <pivotFields count="25">
    <pivotField axis="axisCol" compact="0" allDrilled="1" outline="0" showAll="0" dataSourceSort="1" defaultSubtotal="0">
      <items count="1">
        <item c="1" x="0" d="1"/>
      </items>
      <extLst>
        <ext xmlns:x14="http://schemas.microsoft.com/office/spreadsheetml/2009/9/main" uri="{2946ED86-A175-432a-8AC1-64E0C546D7DE}">
          <x14:pivotField fillDownLabels="1"/>
        </ext>
      </extLst>
    </pivotField>
    <pivotField axis="axisCol" compact="0" outline="0" showAll="0" defaultSubtotal="0">
      <items count="6">
        <item s="1" x="1"/>
        <item s="1" x="2"/>
        <item s="1" x="3"/>
        <item s="1" x="4"/>
        <item s="1" x="5"/>
        <item s="1" c="1" x="0"/>
      </items>
      <extLst>
        <ext xmlns:x14="http://schemas.microsoft.com/office/spreadsheetml/2009/9/main" uri="{2946ED86-A175-432a-8AC1-64E0C546D7DE}">
          <x14:pivotField fillDownLabels="1"/>
        </ext>
      </extLst>
    </pivotField>
    <pivotField axis="axisCol" compact="0" outline="0" showAll="0" dataSourceSort="1" defaultSubtotal="0">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allDrilled="1" outline="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howAll="0" dataSourceSort="1" defaultSubtotal="0">
      <extLst>
        <ext xmlns:x14="http://schemas.microsoft.com/office/spreadsheetml/2009/9/main" uri="{2946ED86-A175-432a-8AC1-64E0C546D7DE}">
          <x14:pivotField fillDownLabels="1"/>
        </ext>
      </extLst>
    </pivotField>
    <pivotField axis="axisPage" compact="0" outline="0" showAll="0" dataSourceSort="1" defaultSubtotal="0">
      <extLst>
        <ext xmlns:x14="http://schemas.microsoft.com/office/spreadsheetml/2009/9/main" uri="{2946ED86-A175-432a-8AC1-64E0C546D7DE}">
          <x14:pivotField fillDownLabels="1"/>
        </ext>
      </extLst>
    </pivotField>
    <pivotField axis="axisPage" compact="0" outline="0" showAll="0" dataSourceSort="1" defaultSubtotal="0">
      <extLst>
        <ext xmlns:x14="http://schemas.microsoft.com/office/spreadsheetml/2009/9/main" uri="{2946ED86-A175-432a-8AC1-64E0C546D7DE}">
          <x14:pivotField fillDownLabels="1"/>
        </ext>
      </extLst>
    </pivotField>
    <pivotField axis="axisPage" compact="0" outline="0" showAll="0" dataSourceSort="1" defaultSubtotal="0">
      <extLst>
        <ext xmlns:x14="http://schemas.microsoft.com/office/spreadsheetml/2009/9/main" uri="{2946ED86-A175-432a-8AC1-64E0C546D7DE}">
          <x14:pivotField fillDownLabels="1"/>
        </ext>
      </extLst>
    </pivotField>
    <pivotField axis="axisPage" compact="0" outline="0" showAll="0" dataSourceSort="1" defaultSubtotal="0">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axis="axisPage" compact="0" allDrilled="1" outline="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howAll="0" dataSourceSort="1" defaultSubtotal="0">
      <extLst>
        <ext xmlns:x14="http://schemas.microsoft.com/office/spreadsheetml/2009/9/main" uri="{2946ED86-A175-432a-8AC1-64E0C546D7DE}">
          <x14:pivotField fillDownLabels="1"/>
        </ext>
      </extLst>
    </pivotField>
    <pivotField axis="axisPage" compact="0" outline="0" showAll="0" dataSourceSort="1" defaultSubtotal="0">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axis="axisPage" compact="0" allDrilled="1" outline="0" showAll="0" dataSourceSort="1" defaultSubtotal="0" defaultAttributeDrillState="1">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axis="axisRow" compact="0" allDrilled="1" outline="0" showAll="0" dataSourceSort="1" defaultSubtotal="0" defaultAttributeDrillState="1">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axis="axisCol" compact="0" outline="0" showAll="0" hideNewItems="1" defaultSubtotal="0">
      <items count="2">
        <item n="Slakt" c="1" x="1"/>
        <item n="Livdyr" c="1" x="0"/>
      </items>
      <extLst>
        <ext xmlns:x14="http://schemas.microsoft.com/office/spreadsheetml/2009/9/main" uri="{2946ED86-A175-432a-8AC1-64E0C546D7DE}">
          <x14:pivotField fillDownLabels="1"/>
        </ext>
      </extLst>
    </pivotField>
    <pivotField axis="axisRow" compact="0" allDrilled="1" outline="0" showAll="0" dataSourceSort="1" defaultSubtotal="0" defaultAttributeDrillState="1">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s>
  <rowFields count="2">
    <field x="24"/>
    <field x="22"/>
  </rowFields>
  <rowItems count="17">
    <i>
      <x/>
      <x v="6"/>
    </i>
    <i>
      <x v="1"/>
      <x/>
    </i>
    <i>
      <x v="2"/>
      <x v="8"/>
    </i>
    <i>
      <x v="3"/>
      <x v="9"/>
    </i>
    <i>
      <x v="4"/>
      <x v="7"/>
    </i>
    <i>
      <x v="5"/>
      <x v="11"/>
    </i>
    <i>
      <x v="6"/>
      <x v="14"/>
    </i>
    <i>
      <x v="7"/>
      <x v="5"/>
    </i>
    <i>
      <x v="8"/>
      <x v="13"/>
    </i>
    <i>
      <x v="9"/>
      <x v="15"/>
    </i>
    <i>
      <x v="10"/>
      <x v="1"/>
    </i>
    <i>
      <x v="11"/>
      <x v="4"/>
    </i>
    <i>
      <x v="12"/>
      <x v="3"/>
    </i>
    <i>
      <x v="13"/>
      <x v="12"/>
    </i>
    <i>
      <x v="14"/>
      <x v="2"/>
    </i>
    <i>
      <x v="15"/>
      <x v="10"/>
    </i>
    <i t="grand">
      <x/>
    </i>
  </rowItems>
  <colFields count="2">
    <field x="0"/>
    <field x="23"/>
  </colFields>
  <colItems count="3">
    <i>
      <x/>
      <x/>
    </i>
    <i r="1">
      <x v="1"/>
    </i>
    <i t="grand">
      <x/>
    </i>
  </colItems>
  <pageFields count="4">
    <pageField fld="16" hier="268" name="[Vare].[Varevariantkode].&amp;[00]" cap="00"/>
    <pageField fld="7" hier="177" name="[Mottatt Periode].[Regnskaps År - Måned - Dag].[Regnskapsår].&amp;[2018]" cap="2018"/>
    <pageField fld="17" hier="140" name="[Leverandør].[Produsentgeografi].[Fylke].&amp;[04]" cap="Hedmark"/>
    <pageField fld="20" hier="117" name="[Leverandør].[Leverandoer Gruppe].&amp;[Dyretransportører]" cap="Dyretransportører"/>
  </pageFields>
  <dataFields count="1">
    <dataField fld="21" baseField="0" baseItem="0" numFmtId="3"/>
  </dataFields>
  <pivotHierarchies count="420">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1">
        <mp field="19"/>
      </mps>
      <members count="2" level="1">
        <member name="[Leverandør].[Produsentgeografi].[Fylke].&amp;[04]"/>
        <member name="[Leverandør].[Produsentgeografi].[Fylke].&amp;[05]"/>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4">
        <mp field="12"/>
        <mp field="13"/>
        <mp field="14"/>
        <mp field="15"/>
      </mps>
      <members count="1" level="1">
        <member name="[Mottatt Periode].[Regnskaps År - Måned - Dag].[Regnskapsår].&amp;[2018]"/>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3">
        <mp field="3"/>
        <mp field="4"/>
        <mp field="5"/>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37" level="1">
        <member name="[Vare].[Varevariantkode].&amp;[00]"/>
        <member name="[Vare].[Varevariantkode].&amp;[01]"/>
        <member name="[Vare].[Varevariantkode].&amp;[02]"/>
        <member name="[Vare].[Varevariantkode].&amp;[03]"/>
        <member name="[Vare].[Varevariantkode].&amp;[04]"/>
        <member name="[Vare].[Varevariantkode].&amp;[06]"/>
        <member name="[Vare].[Varevariantkode].&amp;[07]"/>
        <member name="[Vare].[Varevariantkode].&amp;[08]"/>
        <member name="[Vare].[Varevariantkode].&amp;[10]"/>
        <member name="[Vare].[Varevariantkode].&amp;[11]"/>
        <member name="[Vare].[Varevariantkode].&amp;[12]"/>
        <member name="[Vare].[Varevariantkode].&amp;[13]"/>
        <member name="[Vare].[Varevariantkode].&amp;[21]"/>
        <member name="[Vare].[Varevariantkode].&amp;[23]"/>
        <member name="[Vare].[Varevariantkode].&amp;[24]"/>
        <member name="[Vare].[Varevariantkode].&amp;[30]"/>
        <member name="[Vare].[Varevariantkode].&amp;[31]"/>
        <member name="[Vare].[Varevariantkode].&amp;[32]"/>
        <member name="[Vare].[Varevariantkode].&amp;[40]"/>
        <member name="[Vare].[Varevariantkode].&amp;[41]"/>
        <member name="[Vare].[Varevariantkode].&amp;[42]"/>
        <member name="[Vare].[Varevariantkode].&amp;[43]"/>
        <member name="[Vare].[Varevariantkode].&amp;[44]"/>
        <member name="[Vare].[Varevariantkode].&amp;[51]"/>
        <member name="[Vare].[Varevariantkode].&amp;[52]"/>
        <member name="[Vare].[Varevariantkode].&amp;[61]"/>
        <member name="[Vare].[Varevariantkode].&amp;[62]"/>
        <member name="[Vare].[Varevariantkode].&amp;[63]"/>
        <member name="[Vare].[Varevariantkode].&amp;[64]"/>
        <member name="[Vare].[Varevariantkode].&amp;[71]"/>
        <member name="[Vare].[Varevariantkode].&amp;[72]"/>
        <member name="[Vare].[Varevariantkode].&amp;[87]"/>
        <member name="[Vare].[Varevariantkode].&amp;[88]"/>
        <member name="[Vare].[Varevariantkode].&amp;[90]"/>
        <member name="[Vare].[Varevariantkode].&amp;[96]"/>
        <member name="[Vare].[Varevariantkode].&amp;[97]"/>
        <member name="[Vare].[Varevariantkode].&amp;[Ukjent]"/>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showInFieldList="0"/>
    <pivotHierarchy multipleItemSelectionAllowed="1">
      <members count="15" level="1">
        <member name="[Vare].[Avregningsvarevariantkode].&amp;[1]"/>
        <member name="[Vare].[Avregningsvarevariantkode].&amp;[21]"/>
        <member name="[Vare].[Avregningsvarevariantkode].&amp;[23]"/>
        <member name="[Vare].[Avregningsvarevariantkode].&amp;[24]"/>
        <member name="[Vare].[Avregningsvarevariantkode].&amp;[3]"/>
        <member name="[Vare].[Avregningsvarevariantkode].&amp;[31]"/>
        <member name="[Vare].[Avregningsvarevariantkode].&amp;[4]"/>
        <member name="[Vare].[Avregningsvarevariantkode].&amp;[41]"/>
        <member name="[Vare].[Avregningsvarevariantkode].&amp;[43]"/>
        <member name="[Vare].[Avregningsvarevariantkode].&amp;[44]"/>
        <member name="[Vare].[Avregningsvarevariantkode].&amp;[51]"/>
        <member name="[Vare].[Avregningsvarevariantkode].&amp;[61]"/>
        <member name="[Vare].[Avregningsvarevariantkode].&amp;[63]"/>
        <member name="[Vare].[Avregningsvarevariantkode].&amp;[64]"/>
        <member name="[Vare].[Avregningsvarevariantkode].&amp;[71]"/>
      </members>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pivotHierarchy/>
  </pivotHierarchies>
  <pivotTableStyleInfo name="PivotStyleMedium11" showRowHeaders="1" showColHeaders="1" showRowStripes="1" showColStripes="0" showLastColumn="1"/>
  <rowHierarchiesUsage count="2">
    <rowHierarchyUsage hierarchyUsage="113"/>
    <rowHierarchyUsage hierarchyUsage="118"/>
  </rowHierarchiesUsage>
  <colHierarchiesUsage count="1">
    <colHierarchyUsage hierarchyUsage="240"/>
  </colHierarchiesUsage>
  <extLst>
    <ext xmlns:x14="http://schemas.microsoft.com/office/spreadsheetml/2009/9/main" uri="{962EF5D1-5CA2-4c93-8EF4-DBF5C05439D2}">
      <x14:pivotTableDefinition xmlns:xm="http://schemas.microsoft.com/office/excel/2006/main" fillDownLabelsDefault="1" visualTotalsForSets="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2C6E707-B5E9-AB4C-88C9-492B69FB31E8}" name="Pivottabell1" cacheId="6" dataPosition="0" applyNumberFormats="0" applyBorderFormats="0" applyFontFormats="0" applyPatternFormats="0" applyAlignmentFormats="0" applyWidthHeightFormats="1" dataCaption="Verdier" updatedVersion="6" minRefreshableVersion="3" showCalcMbrs="0" subtotalHiddenItems="1" colGrandTotals="0" itemPrintTitles="1" createdVersion="3" indent="0" compact="0" compactData="0" multipleFieldFilters="0" rowHeaderCaption="Periode" fieldListSortAscending="1">
  <location ref="A6:G423" firstHeaderRow="1" firstDataRow="3" firstDataCol="1" rowPageCount="4" colPageCount="1"/>
  <pivotFields count="25">
    <pivotField axis="axisPage" compact="0" allDrilled="1" outline="0" showAll="0" dataSourceSort="1" defaultSubtotal="0">
      <items count="1">
        <item c="1" x="0"/>
      </items>
    </pivotField>
    <pivotField axis="axisPage" compact="0" outline="0" showAll="0" dataSourceSort="1" defaultSubtotal="0">
      <items count="9">
        <item c="1" x="0"/>
        <item c="1" x="1"/>
        <item s="1" c="1" x="2"/>
        <item c="1" x="3"/>
        <item c="1" x="4"/>
        <item c="1" x="5"/>
        <item s="1" c="1" x="6"/>
        <item s="1" c="1" x="7"/>
        <item c="1" x="8"/>
      </items>
    </pivotField>
    <pivotField axis="axisPage" compact="0" outline="0" showAll="0" dataSourceSort="1" defaultSubtotal="0">
      <items count="73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s>
    </pivotField>
    <pivotField compact="0" outline="0" showAll="0" dataSourceSort="1" defaultSubtotal="0" showPropTip="1"/>
    <pivotField compact="0" outline="0" showAll="0" dataSourceSort="1" defaultSubtotal="0" showPropTip="1"/>
    <pivotField compact="0" outline="0" showAll="0" dataSourceSort="1" defaultSubtotal="0" showPropTip="1"/>
    <pivotField compact="0" allDrilled="1" outline="0" showAll="0" dataSourceSort="1" defaultSubtotal="0" defaultAttributeDrillState="1"/>
    <pivotField dataField="1" compact="0" outline="0" showAll="0"/>
    <pivotField axis="axisPage" compact="0" allDrilled="1" outline="0" showAll="0" dataSourceSort="1" defaultSubtotal="0"/>
    <pivotField axis="axisPage" compact="0" outline="0" showAll="0" dataSourceSort="1" defaultSubtotal="0"/>
    <pivotField axis="axisPage" compact="0" outline="0" showAll="0" dataSourceSort="1" defaultSubtotal="0"/>
    <pivotField axis="axisPage" compact="0" outline="0" showAll="0" dataSourceSort="1" defaultSubtotal="0"/>
    <pivotField axis="axisPage" compact="0" outline="0" showAll="0" dataSourceSort="1" defaultSubtotal="0"/>
    <pivotField compact="0" outline="0" showAll="0" dataSourceSort="1" defaultSubtotal="0" showPropTip="1"/>
    <pivotField compact="0" outline="0" showAll="0" dataSourceSort="1" defaultSubtotal="0" showPropTip="1"/>
    <pivotField compact="0" outline="0" showAll="0" dataSourceSort="1" defaultSubtotal="0" showPropTip="1"/>
    <pivotField compact="0" outline="0" showAll="0" dataSourceSort="1" defaultSubtotal="0" showPropTip="1"/>
    <pivotField axis="axisPage" compact="0" allDrilled="1" outline="0" showAll="0" dataSourceSort="1" defaultAttributeDrillState="1">
      <items count="1">
        <item t="default"/>
      </items>
    </pivotField>
    <pivotField axis="axisPage" compact="0" allDrilled="1" outline="0" showAll="0" dataSourceSort="1">
      <items count="1">
        <item t="default"/>
      </items>
    </pivotField>
    <pivotField axis="axisPage" compact="0" outline="0" showAll="0" dataSourceSort="1">
      <items count="1">
        <item t="default"/>
      </items>
    </pivotField>
    <pivotField compact="0" outline="0" showAll="0" dataSourceSort="1" showPropTip="1"/>
    <pivotField axis="axisRow" compact="0" allDrilled="1" outline="0" showAll="0" dataSourceSort="1" defaultAttributeDrillState="1">
      <items count="41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t="default"/>
      </items>
    </pivotField>
    <pivotField axis="axisCol" compact="0" allDrilled="1" outline="0" showAll="0" dataSourceSort="1" defaultAttributeDrillState="1">
      <items count="4">
        <item x="0"/>
        <item x="1"/>
        <item x="2"/>
        <item t="default"/>
      </items>
    </pivotField>
    <pivotField compact="0" outline="0" showAll="0" dataSourceSort="1" showPropTip="1"/>
    <pivotField dataField="1" compact="0" outline="0" showAll="0"/>
  </pivotFields>
  <rowFields count="1">
    <field x="21"/>
  </rowFields>
  <rowItems count="41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t="grand">
      <x/>
    </i>
  </rowItems>
  <colFields count="2">
    <field x="-2"/>
    <field x="22"/>
  </colFields>
  <colItems count="6">
    <i>
      <x/>
      <x/>
    </i>
    <i r="1">
      <x v="1"/>
    </i>
    <i r="1">
      <x v="2"/>
    </i>
    <i i="1">
      <x v="1"/>
      <x/>
    </i>
    <i r="1" i="1">
      <x v="1"/>
    </i>
    <i r="1" i="1">
      <x v="2"/>
    </i>
  </colItems>
  <pageFields count="4">
    <pageField fld="17" hier="225" name="[Vare].[Varevariantkode].&amp;[00]" cap="00"/>
    <pageField fld="0" hier="206" name="[Vare].[Avregningstype hierarki].[Avregningsundertype].&amp;[1. Slakt, ull og egg]&amp;[Gris]" cap="Gris"/>
    <pageField fld="8" hier="167" name="[Mottatt Periode].[Regnskaps År - Måned - Dag].[Regnskapsår].&amp;[2018]" cap="2018"/>
    <pageField fld="18" hier="132" name="[Leverandør].[Produsentgeografi].[Alle]" cap="Alle"/>
  </pageFields>
  <dataFields count="2">
    <dataField fld="7" baseField="0" baseItem="3404856" numFmtId="3"/>
    <dataField fld="24" baseField="0" baseItem="0"/>
  </dataFields>
  <pivotHierarchies count="345">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1">
        <mp field="20"/>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4">
        <mp field="13"/>
        <mp field="14"/>
        <mp field="15"/>
        <mp field="16"/>
      </mps>
      <members count="1" level="1">
        <member name="[Mottatt Periode].[Regnskaps År - Måned - Dag].[Regnskapsår].&amp;[2018]"/>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3">
        <mp field="3"/>
        <mp field="4"/>
        <mp field="5"/>
      </mps>
    </pivotHierarchy>
    <pivotHierarchy>
      <mps count="1">
        <mp field="23"/>
      </mp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37" level="1">
        <member name="[Vare].[Varevariantkode].&amp;[00]"/>
        <member name="[Vare].[Varevariantkode].&amp;[01]"/>
        <member name="[Vare].[Varevariantkode].&amp;[02]"/>
        <member name="[Vare].[Varevariantkode].&amp;[03]"/>
        <member name="[Vare].[Varevariantkode].&amp;[04]"/>
        <member name="[Vare].[Varevariantkode].&amp;[06]"/>
        <member name="[Vare].[Varevariantkode].&amp;[07]"/>
        <member name="[Vare].[Varevariantkode].&amp;[08]"/>
        <member name="[Vare].[Varevariantkode].&amp;[10]"/>
        <member name="[Vare].[Varevariantkode].&amp;[11]"/>
        <member name="[Vare].[Varevariantkode].&amp;[12]"/>
        <member name="[Vare].[Varevariantkode].&amp;[13]"/>
        <member name="[Vare].[Varevariantkode].&amp;[21]"/>
        <member name="[Vare].[Varevariantkode].&amp;[23]"/>
        <member name="[Vare].[Varevariantkode].&amp;[24]"/>
        <member name="[Vare].[Varevariantkode].&amp;[30]"/>
        <member name="[Vare].[Varevariantkode].&amp;[31]"/>
        <member name="[Vare].[Varevariantkode].&amp;[32]"/>
        <member name="[Vare].[Varevariantkode].&amp;[40]"/>
        <member name="[Vare].[Varevariantkode].&amp;[41]"/>
        <member name="[Vare].[Varevariantkode].&amp;[42]"/>
        <member name="[Vare].[Varevariantkode].&amp;[43]"/>
        <member name="[Vare].[Varevariantkode].&amp;[44]"/>
        <member name="[Vare].[Varevariantkode].&amp;[51]"/>
        <member name="[Vare].[Varevariantkode].&amp;[52]"/>
        <member name="[Vare].[Varevariantkode].&amp;[61]"/>
        <member name="[Vare].[Varevariantkode].&amp;[62]"/>
        <member name="[Vare].[Varevariantkode].&amp;[63]"/>
        <member name="[Vare].[Varevariantkode].&amp;[64]"/>
        <member name="[Vare].[Varevariantkode].&amp;[71]"/>
        <member name="[Vare].[Varevariantkode].&amp;[72]"/>
        <member name="[Vare].[Varevariantkode].&amp;[87]"/>
        <member name="[Vare].[Varevariantkode].&amp;[88]"/>
        <member name="[Vare].[Varevariantkode].&amp;[90]"/>
        <member name="[Vare].[Varevariantkode].&amp;[96]"/>
        <member name="[Vare].[Varevariantkode].&amp;[97]"/>
        <member name="[Vare].[Varevariantkode].&amp;[Ukjent]"/>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15" level="1">
        <member name="[Vare].[Avregningsvarevariantkode].&amp;[1]"/>
        <member name="[Vare].[Avregningsvarevariantkode].&amp;[21]"/>
        <member name="[Vare].[Avregningsvarevariantkode].&amp;[23]"/>
        <member name="[Vare].[Avregningsvarevariantkode].&amp;[24]"/>
        <member name="[Vare].[Avregningsvarevariantkode].&amp;[3]"/>
        <member name="[Vare].[Avregningsvarevariantkode].&amp;[31]"/>
        <member name="[Vare].[Avregningsvarevariantkode].&amp;[4]"/>
        <member name="[Vare].[Avregningsvarevariantkode].&amp;[41]"/>
        <member name="[Vare].[Avregningsvarevariantkode].&amp;[43]"/>
        <member name="[Vare].[Avregningsvarevariantkode].&amp;[44]"/>
        <member name="[Vare].[Avregningsvarevariantkode].&amp;[51]"/>
        <member name="[Vare].[Avregningsvarevariantkode].&amp;[61]"/>
        <member name="[Vare].[Avregningsvarevariantkode].&amp;[63]"/>
        <member name="[Vare].[Avregningsvarevariantkode].&amp;[64]"/>
        <member name="[Vare].[Avregningsvarevariantkode].&amp;[71]"/>
      </members>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pivotHierarchy/>
  </pivotHierarchies>
  <pivotTableStyleInfo name="PivotStyleMedium11" showRowHeaders="1" showColHeaders="1" showRowStripes="1" showColStripes="0" showLastColumn="1"/>
  <rowHierarchiesUsage count="1">
    <rowHierarchyUsage hierarchyUsage="107"/>
  </rowHierarchiesUsage>
  <colHierarchiesUsage count="2">
    <colHierarchyUsage hierarchyUsage="-2"/>
    <colHierarchyUsage hierarchyUsage="207"/>
  </colHierarchiesUsage>
  <extLst>
    <ext xmlns:x14="http://schemas.microsoft.com/office/spreadsheetml/2009/9/main" uri="{962EF5D1-5CA2-4c93-8EF4-DBF5C05439D2}">
      <x14:pivotTableDefinition xmlns:xm="http://schemas.microsoft.com/office/excel/2006/main" visualTotalsForSets="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76A4DF1-846A-3545-B4CD-95BD12C91CA8}" name="Pivottabell1" cacheId="8" dataPosition="0" applyNumberFormats="0" applyBorderFormats="0" applyFontFormats="0" applyPatternFormats="0" applyAlignmentFormats="0" applyWidthHeightFormats="1" dataCaption="Verdier" updatedVersion="6" minRefreshableVersion="3" showCalcMbrs="0" subtotalHiddenItems="1" itemPrintTitles="1" createdVersion="3" indent="0" compact="0" compactData="0" multipleFieldFilters="0" rowHeaderCaption="Periode" fieldListSortAscending="1">
  <location ref="A8:C50" firstHeaderRow="1" firstDataRow="1" firstDataCol="2" rowPageCount="6" colPageCount="1"/>
  <pivotFields count="29">
    <pivotField axis="axisPage" compact="0" allDrilled="1" outline="0" showAll="0" dataSourceSort="1" defaultSubtotal="0">
      <items count="1">
        <item c="1" x="0"/>
      </items>
      <extLst>
        <ext xmlns:x14="http://schemas.microsoft.com/office/spreadsheetml/2009/9/main" uri="{2946ED86-A175-432a-8AC1-64E0C546D7DE}">
          <x14:pivotField fillDownLabels="1"/>
        </ext>
      </extLst>
    </pivotField>
    <pivotField axis="axisPage" compact="0" outline="0" showAll="0" defaultSubtotal="0">
      <items count="7">
        <item c="1" x="2"/>
        <item c="1" x="3"/>
        <item c="1" x="4"/>
        <item c="1" x="5"/>
        <item c="1" x="6"/>
        <item c="1" x="0"/>
        <item c="1" x="1"/>
      </items>
      <extLst>
        <ext xmlns:x14="http://schemas.microsoft.com/office/spreadsheetml/2009/9/main" uri="{2946ED86-A175-432a-8AC1-64E0C546D7DE}">
          <x14:pivotField fillDownLabels="1"/>
        </ext>
      </extLst>
    </pivotField>
    <pivotField axis="axisPage" compact="0" outline="0" showAll="0" dataSourceSort="1" defaultSubtotal="0">
      <items count="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s>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allDrilled="1" outline="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howAll="0" dataSourceSort="1" defaultSubtotal="0">
      <extLst>
        <ext xmlns:x14="http://schemas.microsoft.com/office/spreadsheetml/2009/9/main" uri="{2946ED86-A175-432a-8AC1-64E0C546D7DE}">
          <x14:pivotField fillDownLabels="1"/>
        </ext>
      </extLst>
    </pivotField>
    <pivotField axis="axisPage" compact="0" outline="0" showAll="0" dataSourceSort="1" defaultSubtotal="0">
      <extLst>
        <ext xmlns:x14="http://schemas.microsoft.com/office/spreadsheetml/2009/9/main" uri="{2946ED86-A175-432a-8AC1-64E0C546D7DE}">
          <x14:pivotField fillDownLabels="1"/>
        </ext>
      </extLst>
    </pivotField>
    <pivotField axis="axisPage" compact="0" outline="0" showAll="0" dataSourceSort="1" defaultSubtotal="0">
      <extLst>
        <ext xmlns:x14="http://schemas.microsoft.com/office/spreadsheetml/2009/9/main" uri="{2946ED86-A175-432a-8AC1-64E0C546D7DE}">
          <x14:pivotField fillDownLabels="1"/>
        </ext>
      </extLst>
    </pivotField>
    <pivotField axis="axisPage" compact="0" outline="0" showAll="0" dataSourceSort="1" defaultSubtotal="0">
      <extLst>
        <ext xmlns:x14="http://schemas.microsoft.com/office/spreadsheetml/2009/9/main" uri="{2946ED86-A175-432a-8AC1-64E0C546D7DE}">
          <x14:pivotField fillDownLabels="1"/>
        </ext>
      </extLst>
    </pivotField>
    <pivotField axis="axisPage" compact="0" outline="0" showAll="0" dataSourceSort="1" defaultSubtotal="0">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axis="axisPage" compact="0" allDrilled="1" outline="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howAll="0" dataSourceSort="1" defaultSubtotal="0">
      <extLst>
        <ext xmlns:x14="http://schemas.microsoft.com/office/spreadsheetml/2009/9/main" uri="{2946ED86-A175-432a-8AC1-64E0C546D7DE}">
          <x14:pivotField fillDownLabels="1"/>
        </ext>
      </extLst>
    </pivotField>
    <pivotField axis="axisPage" compact="0" outline="0" showAll="0" dataSourceSort="1" defaultSubtotal="0">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axis="axisPage" compact="0" allDrilled="1" outline="0" showAll="0" dataSourceSort="1" defaultSubtotal="0" defaultAttributeDrillState="1">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axis="axisPage" compact="0" outline="0" showAll="0" hideNewItems="1" defaultSubtotal="0">
      <items count="2">
        <item n="Slakt" s="1" c="1" x="1"/>
        <item n="Livdyr" c="1" x="0"/>
      </items>
      <extLst>
        <ext xmlns:x14="http://schemas.microsoft.com/office/spreadsheetml/2009/9/main" uri="{2946ED86-A175-432a-8AC1-64E0C546D7DE}">
          <x14:pivotField fillDownLabels="1"/>
        </ext>
      </extLst>
    </pivotField>
    <pivotField axis="axisRow" compact="0" allDrilled="1" outline="0" showAll="0" dataSourceSort="1" defaultAttributeDrillState="1">
      <items count="6">
        <item x="0"/>
        <item x="1"/>
        <item x="2"/>
        <item x="3"/>
        <item x="4"/>
        <item t="default"/>
      </items>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axis="axisRow" compact="0" allDrilled="1" outline="0" showAll="0" dataSourceSort="1" defaultAttributeDrillState="1">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t="default"/>
      </items>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compact="0" outline="0" showAll="0" dataSourceSort="1" defaultSubtotal="0" showPropTip="1">
      <extLst>
        <ext xmlns:x14="http://schemas.microsoft.com/office/spreadsheetml/2009/9/main" uri="{2946ED86-A175-432a-8AC1-64E0C546D7DE}">
          <x14:pivotField fillDownLabels="1"/>
        </ext>
      </extLst>
    </pivotField>
    <pivotField axis="axisPage" compact="0" allDrilled="1" outline="0" showAll="0" dataSourceSort="1" defaultAttributeDrillState="1">
      <items count="1">
        <item t="default"/>
      </items>
      <extLst>
        <ext xmlns:x14="http://schemas.microsoft.com/office/spreadsheetml/2009/9/main" uri="{2946ED86-A175-432a-8AC1-64E0C546D7DE}">
          <x14:pivotField fillDownLabels="1"/>
        </ext>
      </extLst>
    </pivotField>
  </pivotFields>
  <rowFields count="2">
    <field x="23"/>
    <field x="25"/>
  </rowFields>
  <rowItems count="42">
    <i>
      <x/>
      <x/>
    </i>
    <i r="1">
      <x v="22"/>
    </i>
    <i r="1">
      <x v="23"/>
    </i>
    <i r="1">
      <x v="24"/>
    </i>
    <i r="1">
      <x v="25"/>
    </i>
    <i r="1">
      <x v="26"/>
    </i>
    <i r="1">
      <x v="27"/>
    </i>
    <i r="1">
      <x v="28"/>
    </i>
    <i r="1">
      <x v="29"/>
    </i>
    <i r="1">
      <x v="30"/>
    </i>
    <i r="1">
      <x v="31"/>
    </i>
    <i r="1">
      <x v="32"/>
    </i>
    <i r="1">
      <x v="33"/>
    </i>
    <i r="1">
      <x v="34"/>
    </i>
    <i r="1">
      <x v="35"/>
    </i>
    <i t="default">
      <x/>
    </i>
    <i>
      <x v="1"/>
      <x v="10"/>
    </i>
    <i t="default">
      <x v="1"/>
    </i>
    <i>
      <x v="2"/>
      <x v="1"/>
    </i>
    <i r="1">
      <x v="2"/>
    </i>
    <i r="1">
      <x v="11"/>
    </i>
    <i r="1">
      <x v="12"/>
    </i>
    <i r="1">
      <x v="13"/>
    </i>
    <i t="default">
      <x v="2"/>
    </i>
    <i>
      <x v="3"/>
      <x v="8"/>
    </i>
    <i r="1">
      <x v="9"/>
    </i>
    <i r="1">
      <x v="18"/>
    </i>
    <i r="1">
      <x v="19"/>
    </i>
    <i r="1">
      <x v="20"/>
    </i>
    <i r="1">
      <x v="21"/>
    </i>
    <i t="default">
      <x v="3"/>
    </i>
    <i>
      <x v="4"/>
      <x v="3"/>
    </i>
    <i r="1">
      <x v="4"/>
    </i>
    <i r="1">
      <x v="5"/>
    </i>
    <i r="1">
      <x v="6"/>
    </i>
    <i r="1">
      <x v="7"/>
    </i>
    <i r="1">
      <x v="14"/>
    </i>
    <i r="1">
      <x v="15"/>
    </i>
    <i r="1">
      <x v="16"/>
    </i>
    <i r="1">
      <x v="17"/>
    </i>
    <i t="default">
      <x v="4"/>
    </i>
    <i t="grand">
      <x/>
    </i>
  </rowItems>
  <colItems count="1">
    <i/>
  </colItems>
  <pageFields count="6">
    <pageField fld="16" hier="268" name="[Vare].[Varevariantkode].[Alle]" cap="Alle"/>
    <pageField fld="17" hier="140" name="[Leverandør].[Produsentgeografi].[Fylke].&amp;[04]" cap="Hedmark"/>
    <pageField fld="20" hier="117" name="[Leverandør].[Leverandoer Gruppe].&amp;[Dyretransportører]" cap="Dyretransportører"/>
    <pageField fld="7" hier="177" name="[Mottatt Periode].[Regnskaps År - Måned - Dag].[Regnskapsår].&amp;[2018]" cap="2018"/>
    <pageField fld="0" hier="240" name="[Vare].[Avregningstype hierarki].[Avregningstype1].[GROUPMEMBER.[AvregningsundertypeXl_Grp_1]].[Vare]].[Avregningstype hierarki]].[Avregningstype]].&amp;[5. Avregning transport]]]" cap="Slakt"/>
    <pageField fld="28" hier="118" name="[Leverandør].[Leverandoernr Navn Hoved].[Alle]" cap="Alle"/>
  </pageFields>
  <dataFields count="1">
    <dataField fld="21" baseField="25" baseItem="19" numFmtId="3"/>
  </dataFields>
  <pivotHierarchies count="420">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1">
        <mp field="19"/>
      </mps>
      <members count="2" level="1">
        <member name="[Leverandør].[Produsentgeografi].[Fylke].&amp;[04]"/>
        <member name="[Leverandør].[Produsentgeografi].[Fylke].&amp;[05]"/>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4">
        <mp field="12"/>
        <mp field="13"/>
        <mp field="14"/>
        <mp field="15"/>
      </mps>
      <members count="1" level="1">
        <member name="[Mottatt Periode].[Regnskaps År - Måned - Dag].[Regnskapsår].&amp;[2018]"/>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ps count="3">
        <mp field="3"/>
        <mp field="4"/>
        <mp field="5"/>
      </mps>
    </pivotHierarchy>
    <pivotHierarchy>
      <mps count="1">
        <mp field="24"/>
      </mps>
    </pivotHierarchy>
    <pivotHierarchy/>
    <pivotHierarchy/>
    <pivotHierarchy/>
    <pivotHierarchy/>
    <pivotHierarchy/>
    <pivotHierarchy/>
    <pivotHierarchy/>
    <pivotHierarchy/>
    <pivotHierarchy/>
    <pivotHierarchy/>
    <pivotHierarchy/>
    <pivotHierarchy/>
    <pivotHierarchy/>
    <pivotHierarchy/>
    <pivotHierarchy/>
    <pivotHierarchy>
      <mps count="2">
        <mp field="26"/>
        <mp field="27"/>
      </mps>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showInFieldList="0"/>
    <pivotHierarchy multipleItemSelectionAllowed="1">
      <members count="15" level="1">
        <member name="[Vare].[Avregningsvarevariantkode].&amp;[1]"/>
        <member name="[Vare].[Avregningsvarevariantkode].&amp;[21]"/>
        <member name="[Vare].[Avregningsvarevariantkode].&amp;[23]"/>
        <member name="[Vare].[Avregningsvarevariantkode].&amp;[24]"/>
        <member name="[Vare].[Avregningsvarevariantkode].&amp;[3]"/>
        <member name="[Vare].[Avregningsvarevariantkode].&amp;[31]"/>
        <member name="[Vare].[Avregningsvarevariantkode].&amp;[4]"/>
        <member name="[Vare].[Avregningsvarevariantkode].&amp;[41]"/>
        <member name="[Vare].[Avregningsvarevariantkode].&amp;[43]"/>
        <member name="[Vare].[Avregningsvarevariantkode].&amp;[44]"/>
        <member name="[Vare].[Avregningsvarevariantkode].&amp;[51]"/>
        <member name="[Vare].[Avregningsvarevariantkode].&amp;[61]"/>
        <member name="[Vare].[Avregningsvarevariantkode].&amp;[63]"/>
        <member name="[Vare].[Avregningsvarevariantkode].&amp;[64]"/>
        <member name="[Vare].[Avregningsvarevariantkode].&amp;[71]"/>
      </members>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pivotHierarchy/>
  </pivotHierarchies>
  <pivotTableStyleInfo name="PivotStyleMedium11" showRowHeaders="1" showColHeaders="1" showRowStripes="1" showColStripes="0" showLastColumn="1"/>
  <rowHierarchiesUsage count="2">
    <rowHierarchyUsage hierarchyUsage="241"/>
    <rowHierarchyUsage hierarchyUsage="257"/>
  </rowHierarchiesUsage>
  <extLst>
    <ext xmlns:x14="http://schemas.microsoft.com/office/spreadsheetml/2009/9/main" uri="{962EF5D1-5CA2-4c93-8EF4-DBF5C05439D2}">
      <x14:pivotTableDefinition xmlns:xm="http://schemas.microsoft.com/office/excel/2006/main" fillDownLabelsDefault="1" visualTotalsForSets="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814F6-DC31-3045-9DE5-8510618676B3}">
  <dimension ref="A1:J9"/>
  <sheetViews>
    <sheetView tabSelected="1" workbookViewId="0">
      <selection activeCell="C19" sqref="C19"/>
    </sheetView>
  </sheetViews>
  <sheetFormatPr baseColWidth="10" defaultRowHeight="15"/>
  <sheetData>
    <row r="1" spans="1:10" ht="28">
      <c r="A1" s="359"/>
      <c r="B1" s="359" t="s">
        <v>1719</v>
      </c>
      <c r="C1" s="535"/>
      <c r="D1" s="535"/>
    </row>
    <row r="3" spans="1:10" ht="19">
      <c r="A3" s="741"/>
      <c r="B3" s="742" t="s">
        <v>1720</v>
      </c>
      <c r="C3" s="742"/>
      <c r="D3" s="742"/>
      <c r="E3" s="743"/>
      <c r="F3" s="743"/>
      <c r="G3" s="743"/>
      <c r="H3" s="743"/>
      <c r="I3" s="743"/>
      <c r="J3" s="743"/>
    </row>
    <row r="4" spans="1:10" ht="19">
      <c r="A4" s="741"/>
      <c r="B4" s="742" t="s">
        <v>1721</v>
      </c>
      <c r="C4" s="742"/>
      <c r="D4" s="742"/>
      <c r="E4" s="743"/>
      <c r="F4" s="743"/>
      <c r="G4" s="743"/>
      <c r="H4" s="743"/>
      <c r="I4" s="743"/>
      <c r="J4" s="743"/>
    </row>
    <row r="5" spans="1:10" ht="19">
      <c r="A5" s="741"/>
      <c r="B5" s="742" t="s">
        <v>1722</v>
      </c>
      <c r="C5" s="742"/>
      <c r="D5" s="742"/>
      <c r="E5" s="743"/>
      <c r="F5" s="743"/>
      <c r="G5" s="743"/>
      <c r="H5" s="743"/>
      <c r="I5" s="743"/>
      <c r="J5" s="743"/>
    </row>
    <row r="6" spans="1:10" ht="19">
      <c r="A6" s="741"/>
      <c r="B6" s="742" t="s">
        <v>1723</v>
      </c>
      <c r="C6" s="742"/>
      <c r="D6" s="742"/>
      <c r="E6" s="743"/>
      <c r="F6" s="743"/>
      <c r="G6" s="743"/>
      <c r="H6" s="743"/>
      <c r="I6" s="743"/>
      <c r="J6" s="743"/>
    </row>
    <row r="7" spans="1:10" ht="19">
      <c r="A7" s="741"/>
      <c r="B7" s="742" t="s">
        <v>1724</v>
      </c>
      <c r="C7" s="742"/>
      <c r="D7" s="742"/>
      <c r="E7" s="743"/>
      <c r="F7" s="744"/>
      <c r="G7" s="743" t="s">
        <v>398</v>
      </c>
      <c r="H7" s="743"/>
      <c r="I7" s="743"/>
      <c r="J7" s="743"/>
    </row>
    <row r="8" spans="1:10" ht="19">
      <c r="B8" s="743"/>
      <c r="C8" s="743"/>
      <c r="D8" s="743"/>
      <c r="E8" s="743"/>
      <c r="F8" s="743"/>
      <c r="G8" s="743"/>
      <c r="H8" s="743"/>
      <c r="I8" s="743"/>
      <c r="J8" s="743"/>
    </row>
    <row r="9" spans="1:10" ht="19">
      <c r="B9" s="743"/>
      <c r="C9" s="743"/>
      <c r="D9" s="743"/>
      <c r="E9" s="743"/>
      <c r="F9" s="743"/>
      <c r="G9" s="743"/>
      <c r="H9" s="743"/>
      <c r="I9" s="743"/>
      <c r="J9" s="74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48E52-577C-F243-ADB1-A26F49B327EA}">
  <dimension ref="A2:W248"/>
  <sheetViews>
    <sheetView topLeftCell="A6" zoomScale="125" zoomScaleNormal="110" workbookViewId="0">
      <selection activeCell="H34" sqref="H34"/>
    </sheetView>
  </sheetViews>
  <sheetFormatPr baseColWidth="10" defaultRowHeight="15"/>
  <cols>
    <col min="1" max="1" width="15.5" customWidth="1"/>
    <col min="2" max="2" width="16.33203125" customWidth="1"/>
    <col min="3" max="3" width="25.5" customWidth="1"/>
    <col min="4" max="4" width="23.83203125" customWidth="1"/>
    <col min="5" max="5" width="21" customWidth="1"/>
    <col min="6" max="6" width="21.1640625" customWidth="1"/>
    <col min="7" max="7" width="17.83203125" customWidth="1"/>
    <col min="8" max="8" width="26.1640625" customWidth="1"/>
    <col min="9" max="9" width="26.5" customWidth="1"/>
    <col min="10" max="10" width="9.83203125" customWidth="1"/>
    <col min="11" max="11" width="11.1640625" customWidth="1"/>
    <col min="12" max="12" width="11.5" customWidth="1"/>
    <col min="13" max="13" width="15.33203125" customWidth="1"/>
    <col min="14" max="14" width="13.1640625" customWidth="1"/>
    <col min="15" max="15" width="15.33203125" customWidth="1"/>
  </cols>
  <sheetData>
    <row r="2" spans="1:23" ht="16">
      <c r="A2" s="369" t="s">
        <v>445</v>
      </c>
      <c r="B2" s="385"/>
      <c r="C2" s="385"/>
      <c r="D2" s="385"/>
    </row>
    <row r="3" spans="1:23">
      <c r="A3" s="384" t="s">
        <v>133</v>
      </c>
      <c r="B3" s="81"/>
      <c r="C3" s="97"/>
      <c r="D3" s="97"/>
      <c r="E3" s="102"/>
      <c r="G3" s="2"/>
      <c r="H3" s="2"/>
      <c r="I3" s="2"/>
      <c r="J3" s="2"/>
      <c r="K3" s="2"/>
    </row>
    <row r="4" spans="1:23">
      <c r="A4" s="240" t="s">
        <v>376</v>
      </c>
      <c r="B4" s="241"/>
      <c r="C4" s="243"/>
      <c r="D4" s="243"/>
      <c r="E4" s="102"/>
      <c r="F4" s="99"/>
      <c r="G4" s="140"/>
      <c r="H4" s="140"/>
      <c r="I4" s="140"/>
      <c r="J4" s="140"/>
      <c r="K4" s="140"/>
      <c r="L4" s="99"/>
      <c r="M4" s="99"/>
    </row>
    <row r="5" spans="1:23">
      <c r="A5" s="244" t="s">
        <v>25</v>
      </c>
      <c r="B5" s="234">
        <f>'V5 Ark 4,Sonepriser'!B75</f>
        <v>7704.4457967517237</v>
      </c>
      <c r="C5" s="243"/>
      <c r="D5" s="243"/>
      <c r="E5" s="102"/>
      <c r="F5" s="288"/>
      <c r="G5" s="99"/>
      <c r="H5" s="99"/>
      <c r="I5" s="99"/>
      <c r="J5" s="99"/>
      <c r="K5" s="99"/>
      <c r="L5" s="99"/>
      <c r="M5" s="99"/>
    </row>
    <row r="6" spans="1:23" ht="16">
      <c r="A6" s="86" t="s">
        <v>162</v>
      </c>
      <c r="B6" s="86">
        <v>120</v>
      </c>
      <c r="C6" s="243"/>
      <c r="D6" s="243"/>
      <c r="E6" s="102"/>
      <c r="F6" s="289"/>
      <c r="G6" s="99"/>
      <c r="H6" s="99"/>
      <c r="I6" s="99"/>
      <c r="J6" s="99"/>
      <c r="K6" s="99"/>
      <c r="L6" s="99"/>
      <c r="M6" s="99"/>
      <c r="S6" s="7"/>
      <c r="T6" s="7"/>
      <c r="U6" s="7"/>
    </row>
    <row r="7" spans="1:23" ht="16">
      <c r="A7" s="86" t="s">
        <v>356</v>
      </c>
      <c r="B7" s="245">
        <v>0.87</v>
      </c>
      <c r="C7" s="243"/>
      <c r="D7" s="243"/>
      <c r="E7" s="102"/>
      <c r="F7" s="102"/>
      <c r="G7" s="99"/>
      <c r="H7" s="99"/>
      <c r="I7" s="99"/>
      <c r="J7" s="99"/>
      <c r="K7" s="99"/>
      <c r="L7" s="99"/>
      <c r="M7" s="99"/>
      <c r="S7" s="8"/>
      <c r="T7" s="8"/>
      <c r="U7" s="7"/>
    </row>
    <row r="8" spans="1:23" ht="16">
      <c r="A8" s="244" t="s">
        <v>326</v>
      </c>
      <c r="B8" s="229">
        <f>B6*B7</f>
        <v>104.4</v>
      </c>
      <c r="C8" s="243"/>
      <c r="D8" s="243"/>
      <c r="E8" s="102"/>
      <c r="F8" s="99"/>
      <c r="G8" s="99"/>
      <c r="H8" s="99"/>
      <c r="I8" s="99"/>
      <c r="J8" s="99"/>
      <c r="K8" s="99"/>
      <c r="L8" s="99"/>
      <c r="M8" s="99"/>
      <c r="S8" s="7"/>
      <c r="T8" s="7"/>
      <c r="U8" s="7"/>
    </row>
    <row r="9" spans="1:23" ht="16">
      <c r="A9" s="309" t="s">
        <v>354</v>
      </c>
      <c r="B9" s="325">
        <f>B5/B8</f>
        <v>73.797373532104629</v>
      </c>
      <c r="C9" s="242"/>
      <c r="D9" s="242"/>
      <c r="E9" s="81"/>
      <c r="F9" s="99"/>
      <c r="G9" s="102"/>
      <c r="H9" s="102"/>
      <c r="I9" s="102"/>
      <c r="J9" s="102"/>
      <c r="K9" s="102"/>
      <c r="L9" s="102"/>
      <c r="M9" s="102"/>
      <c r="N9" s="81"/>
      <c r="S9" s="7"/>
      <c r="T9" s="7"/>
      <c r="U9" s="7"/>
    </row>
    <row r="10" spans="1:23" ht="16">
      <c r="A10" s="225" t="s">
        <v>355</v>
      </c>
      <c r="B10" s="225" t="s">
        <v>326</v>
      </c>
      <c r="C10" s="225" t="s">
        <v>374</v>
      </c>
      <c r="D10" s="225" t="s">
        <v>375</v>
      </c>
      <c r="E10" s="81"/>
      <c r="F10" s="102"/>
      <c r="G10" s="99"/>
      <c r="H10" s="99"/>
      <c r="I10" s="99"/>
      <c r="J10" s="99"/>
      <c r="K10" s="99"/>
      <c r="L10" s="99"/>
      <c r="M10" s="99"/>
      <c r="N10" s="81"/>
      <c r="S10" s="7"/>
      <c r="T10" s="7"/>
      <c r="U10" s="7"/>
    </row>
    <row r="11" spans="1:23" ht="16">
      <c r="A11" s="216">
        <v>0.1</v>
      </c>
      <c r="B11" s="86">
        <v>12</v>
      </c>
      <c r="C11" s="239">
        <f>B5/B11</f>
        <v>642.03714972931027</v>
      </c>
      <c r="D11" s="92">
        <f t="shared" ref="D11:D21" si="0">$B$9*B11</f>
        <v>885.56848238525549</v>
      </c>
      <c r="E11" s="81"/>
      <c r="F11" s="103"/>
      <c r="G11" s="102"/>
      <c r="H11" s="100"/>
      <c r="I11" s="102"/>
      <c r="J11" s="102"/>
      <c r="K11" s="102"/>
      <c r="L11" s="102"/>
      <c r="M11" s="102"/>
      <c r="S11" s="7"/>
      <c r="T11" s="8"/>
      <c r="U11" s="8"/>
      <c r="V11" s="13"/>
      <c r="W11" s="13"/>
    </row>
    <row r="12" spans="1:23">
      <c r="A12" s="216">
        <v>0.2</v>
      </c>
      <c r="B12" s="86">
        <v>24</v>
      </c>
      <c r="C12" s="239">
        <f>B5/B12</f>
        <v>321.01857486465514</v>
      </c>
      <c r="D12" s="92">
        <f t="shared" si="0"/>
        <v>1771.136964770511</v>
      </c>
      <c r="E12" s="81"/>
      <c r="F12" s="104"/>
      <c r="G12" s="104"/>
      <c r="H12" s="104"/>
      <c r="I12" s="104"/>
      <c r="J12" s="100"/>
      <c r="K12" s="100"/>
      <c r="L12" s="104"/>
      <c r="M12" s="100"/>
      <c r="O12" s="13"/>
    </row>
    <row r="13" spans="1:23">
      <c r="A13" s="216">
        <v>0.3</v>
      </c>
      <c r="B13" s="86">
        <v>36</v>
      </c>
      <c r="C13" s="239">
        <f>B5/B13</f>
        <v>214.01238324310344</v>
      </c>
      <c r="D13" s="92">
        <f t="shared" si="0"/>
        <v>2656.7054471557667</v>
      </c>
      <c r="E13" s="81"/>
      <c r="F13" s="102"/>
      <c r="G13" s="226"/>
      <c r="H13" s="227"/>
      <c r="I13" s="290"/>
      <c r="J13" s="261"/>
      <c r="K13" s="261"/>
      <c r="L13" s="226"/>
      <c r="M13" s="102"/>
    </row>
    <row r="14" spans="1:23">
      <c r="A14" s="216">
        <v>0.4</v>
      </c>
      <c r="B14" s="86">
        <v>48</v>
      </c>
      <c r="C14" s="239">
        <f>B5/B14</f>
        <v>160.50928743232757</v>
      </c>
      <c r="D14" s="92">
        <f t="shared" si="0"/>
        <v>3542.273929541022</v>
      </c>
      <c r="E14" s="81"/>
      <c r="F14" s="102"/>
      <c r="G14" s="226"/>
      <c r="H14" s="261"/>
      <c r="I14" s="291"/>
      <c r="J14" s="261"/>
      <c r="K14" s="261"/>
      <c r="L14" s="226"/>
      <c r="M14" s="102"/>
    </row>
    <row r="15" spans="1:23">
      <c r="A15" s="216">
        <v>0.5</v>
      </c>
      <c r="B15" s="86">
        <f>60</f>
        <v>60</v>
      </c>
      <c r="C15" s="239">
        <f>B5/B15</f>
        <v>128.40742994586205</v>
      </c>
      <c r="D15" s="92">
        <f t="shared" si="0"/>
        <v>4427.8424119262781</v>
      </c>
      <c r="E15" s="81"/>
      <c r="F15" s="102"/>
      <c r="G15" s="226"/>
      <c r="H15" s="261"/>
      <c r="I15" s="291"/>
      <c r="J15" s="261"/>
      <c r="K15" s="261"/>
      <c r="L15" s="226"/>
      <c r="M15" s="102"/>
    </row>
    <row r="16" spans="1:23">
      <c r="A16" s="216">
        <v>0.6</v>
      </c>
      <c r="B16" s="86">
        <v>72</v>
      </c>
      <c r="C16" s="239">
        <f>B5/B16</f>
        <v>107.00619162155172</v>
      </c>
      <c r="D16" s="92">
        <f t="shared" si="0"/>
        <v>5313.4108943115334</v>
      </c>
      <c r="E16" s="81"/>
      <c r="F16" s="102"/>
      <c r="G16" s="226"/>
      <c r="H16" s="261"/>
      <c r="I16" s="291"/>
      <c r="J16" s="261"/>
      <c r="K16" s="261"/>
      <c r="L16" s="226"/>
      <c r="M16" s="102"/>
    </row>
    <row r="17" spans="1:14">
      <c r="A17" s="216">
        <v>0.7</v>
      </c>
      <c r="B17" s="86">
        <v>84</v>
      </c>
      <c r="C17" s="239">
        <f>B5/B17</f>
        <v>91.719592818472904</v>
      </c>
      <c r="D17" s="92">
        <f t="shared" si="0"/>
        <v>6198.9793766967887</v>
      </c>
      <c r="E17" s="81"/>
      <c r="F17" s="102"/>
      <c r="G17" s="226"/>
      <c r="H17" s="261"/>
      <c r="I17" s="291"/>
      <c r="J17" s="261"/>
      <c r="K17" s="261"/>
      <c r="L17" s="226"/>
      <c r="M17" s="102"/>
    </row>
    <row r="18" spans="1:14">
      <c r="A18" s="216">
        <v>0.8</v>
      </c>
      <c r="B18" s="86">
        <v>96</v>
      </c>
      <c r="C18" s="239">
        <f>B5/B18</f>
        <v>80.254643716163784</v>
      </c>
      <c r="D18" s="92">
        <f t="shared" si="0"/>
        <v>7084.5478590820439</v>
      </c>
      <c r="E18" s="81"/>
      <c r="F18" s="102"/>
      <c r="G18" s="226"/>
      <c r="H18" s="261"/>
      <c r="I18" s="291"/>
      <c r="J18" s="261"/>
      <c r="K18" s="261"/>
      <c r="L18" s="226"/>
      <c r="M18" s="102"/>
    </row>
    <row r="19" spans="1:14">
      <c r="A19" s="246">
        <v>0.87</v>
      </c>
      <c r="B19" s="247">
        <v>104.4</v>
      </c>
      <c r="C19" s="251">
        <f>B5/B19</f>
        <v>73.797373532104629</v>
      </c>
      <c r="D19" s="248">
        <f t="shared" si="0"/>
        <v>7704.4457967517237</v>
      </c>
      <c r="E19" s="81"/>
      <c r="F19" s="102"/>
      <c r="G19" s="382" t="s">
        <v>444</v>
      </c>
      <c r="H19" s="329"/>
      <c r="I19" s="291"/>
      <c r="J19" s="261"/>
      <c r="K19" s="261"/>
      <c r="L19" s="226"/>
      <c r="M19" s="102"/>
    </row>
    <row r="20" spans="1:14">
      <c r="A20" s="216">
        <v>0.9</v>
      </c>
      <c r="B20" s="86">
        <v>108</v>
      </c>
      <c r="C20" s="239">
        <f>B5/B20</f>
        <v>71.337461081034476</v>
      </c>
      <c r="D20" s="92">
        <f t="shared" si="0"/>
        <v>7970.1163414673001</v>
      </c>
      <c r="E20" s="81"/>
      <c r="F20" s="102"/>
      <c r="G20" s="226"/>
      <c r="H20" s="261"/>
      <c r="I20" s="291"/>
      <c r="J20" s="261"/>
      <c r="K20" s="261"/>
      <c r="L20" s="226"/>
      <c r="M20" s="102"/>
    </row>
    <row r="21" spans="1:14">
      <c r="A21" s="216">
        <v>1</v>
      </c>
      <c r="B21" s="86">
        <v>120</v>
      </c>
      <c r="C21" s="239">
        <f>B5/B21</f>
        <v>64.203714972931024</v>
      </c>
      <c r="D21" s="92">
        <f t="shared" si="0"/>
        <v>8855.6848238525563</v>
      </c>
      <c r="G21" s="324" t="s">
        <v>406</v>
      </c>
      <c r="H21" s="283"/>
      <c r="I21" s="203"/>
      <c r="J21" s="261"/>
      <c r="K21" s="261"/>
      <c r="L21" s="226"/>
      <c r="M21" s="102"/>
    </row>
    <row r="22" spans="1:14">
      <c r="A22" s="241" t="s">
        <v>301</v>
      </c>
      <c r="B22" s="241"/>
      <c r="C22" s="241"/>
      <c r="D22" s="242"/>
      <c r="G22" s="308" t="s">
        <v>377</v>
      </c>
      <c r="H22" s="252"/>
      <c r="I22" s="203"/>
      <c r="J22" s="261"/>
      <c r="K22" s="261"/>
      <c r="L22" s="226"/>
      <c r="M22" s="102"/>
    </row>
    <row r="23" spans="1:14">
      <c r="A23" s="241"/>
      <c r="B23" s="241"/>
      <c r="C23" s="241"/>
      <c r="D23" s="242"/>
      <c r="G23" s="244" t="s">
        <v>176</v>
      </c>
      <c r="H23" s="229">
        <f>B27</f>
        <v>23.633269315189338</v>
      </c>
      <c r="I23" s="203"/>
      <c r="J23" s="261"/>
      <c r="K23" s="261"/>
      <c r="L23" s="226"/>
      <c r="M23" s="102"/>
    </row>
    <row r="24" spans="1:14" ht="16">
      <c r="A24" s="369"/>
      <c r="B24" s="369"/>
      <c r="C24" s="386" t="s">
        <v>446</v>
      </c>
      <c r="D24" s="386"/>
      <c r="E24" s="241"/>
      <c r="G24" s="307" t="s">
        <v>178</v>
      </c>
      <c r="H24" s="307">
        <v>304.5</v>
      </c>
      <c r="I24" s="203"/>
      <c r="J24" s="261"/>
      <c r="K24" s="261"/>
      <c r="L24" s="226"/>
      <c r="M24" s="102"/>
    </row>
    <row r="25" spans="1:14">
      <c r="A25" s="383" t="s">
        <v>133</v>
      </c>
      <c r="B25" s="242"/>
      <c r="C25" s="242"/>
      <c r="D25" s="242"/>
      <c r="G25" s="322" t="s">
        <v>353</v>
      </c>
      <c r="H25" s="323">
        <f>H23*H24</f>
        <v>7196.330506475153</v>
      </c>
      <c r="I25" s="203"/>
      <c r="J25" s="261"/>
      <c r="K25" s="261"/>
      <c r="L25" s="226"/>
      <c r="M25" s="102"/>
    </row>
    <row r="26" spans="1:14">
      <c r="A26" s="308" t="s">
        <v>377</v>
      </c>
      <c r="B26" s="252"/>
      <c r="C26" s="243"/>
      <c r="D26" s="249"/>
      <c r="G26" s="73" t="s">
        <v>355</v>
      </c>
      <c r="H26" s="73" t="s">
        <v>326</v>
      </c>
      <c r="I26" s="73" t="s">
        <v>373</v>
      </c>
      <c r="J26" s="261"/>
      <c r="K26" s="261"/>
      <c r="L26" s="226"/>
      <c r="M26" s="102"/>
    </row>
    <row r="27" spans="1:14">
      <c r="A27" s="244" t="s">
        <v>176</v>
      </c>
      <c r="B27" s="229">
        <f>'V5 Ark 4,Sonepriser'!D75</f>
        <v>23.633269315189338</v>
      </c>
      <c r="C27" s="243"/>
      <c r="D27" s="242"/>
      <c r="G27" s="80">
        <v>0.79</v>
      </c>
      <c r="H27" s="72">
        <f t="shared" ref="H27:H31" si="1">$B$6*G27</f>
        <v>94.800000000000011</v>
      </c>
      <c r="I27" s="84">
        <f t="shared" ref="I27:I31" si="2">$B$29/H27</f>
        <v>87.752223617580654</v>
      </c>
      <c r="J27" s="261"/>
      <c r="K27" s="261"/>
      <c r="L27" s="226"/>
      <c r="M27" s="102"/>
    </row>
    <row r="28" spans="1:14">
      <c r="A28" s="307" t="s">
        <v>178</v>
      </c>
      <c r="B28" s="307">
        <v>352</v>
      </c>
      <c r="C28" s="252"/>
      <c r="D28" s="249"/>
      <c r="G28" s="80">
        <v>0.8</v>
      </c>
      <c r="H28" s="72">
        <f t="shared" si="1"/>
        <v>96</v>
      </c>
      <c r="I28" s="84">
        <f t="shared" si="2"/>
        <v>86.655320822360906</v>
      </c>
      <c r="J28" s="261"/>
      <c r="K28" s="261"/>
      <c r="L28" s="226"/>
      <c r="M28" s="102"/>
    </row>
    <row r="29" spans="1:14">
      <c r="A29" s="322" t="s">
        <v>353</v>
      </c>
      <c r="B29" s="323">
        <f>B27*B28</f>
        <v>8318.9107989466465</v>
      </c>
      <c r="C29" s="252"/>
      <c r="D29" s="249"/>
      <c r="G29" s="337">
        <v>0.81</v>
      </c>
      <c r="H29" s="338">
        <f t="shared" si="1"/>
        <v>97.2</v>
      </c>
      <c r="I29" s="339">
        <f t="shared" si="2"/>
        <v>85.585502046776199</v>
      </c>
      <c r="J29" s="203"/>
      <c r="K29" s="261"/>
      <c r="L29" s="226"/>
      <c r="M29" s="102"/>
    </row>
    <row r="30" spans="1:14">
      <c r="A30" s="73" t="s">
        <v>355</v>
      </c>
      <c r="B30" s="73" t="s">
        <v>326</v>
      </c>
      <c r="C30" s="73" t="s">
        <v>373</v>
      </c>
      <c r="D30" s="249"/>
      <c r="G30" s="80">
        <v>0.82</v>
      </c>
      <c r="H30" s="72">
        <f t="shared" si="1"/>
        <v>98.399999999999991</v>
      </c>
      <c r="I30" s="84">
        <f t="shared" si="2"/>
        <v>84.54177641205942</v>
      </c>
      <c r="J30" s="293"/>
      <c r="K30" s="261"/>
      <c r="L30" s="226"/>
      <c r="M30" s="102"/>
    </row>
    <row r="31" spans="1:14">
      <c r="A31" s="80">
        <v>0.1</v>
      </c>
      <c r="B31" s="72">
        <f>$B$6*A31</f>
        <v>12</v>
      </c>
      <c r="C31" s="84">
        <f>$B$29/B31</f>
        <v>693.24256657888725</v>
      </c>
      <c r="D31" s="249"/>
      <c r="G31" s="80">
        <v>0.83</v>
      </c>
      <c r="H31" s="72">
        <f t="shared" si="1"/>
        <v>99.6</v>
      </c>
      <c r="I31" s="84">
        <f t="shared" si="2"/>
        <v>83.523200792637013</v>
      </c>
      <c r="J31" s="293"/>
      <c r="K31" s="102"/>
      <c r="L31" s="226"/>
      <c r="M31" s="102"/>
    </row>
    <row r="32" spans="1:14">
      <c r="A32" s="80">
        <v>0.2</v>
      </c>
      <c r="B32" s="72">
        <f t="shared" ref="B32:B67" si="3">$B$6*A32</f>
        <v>24</v>
      </c>
      <c r="C32" s="84">
        <f t="shared" ref="C32:C67" si="4">$B$29/B32</f>
        <v>346.62128328944362</v>
      </c>
      <c r="D32" s="249"/>
      <c r="J32" s="293"/>
      <c r="K32" s="102"/>
      <c r="L32" s="226"/>
      <c r="M32" s="102"/>
      <c r="N32" s="81"/>
    </row>
    <row r="33" spans="1:20">
      <c r="A33" s="80">
        <v>0.3</v>
      </c>
      <c r="B33" s="72">
        <f t="shared" si="3"/>
        <v>36</v>
      </c>
      <c r="C33" s="84">
        <f t="shared" si="4"/>
        <v>231.08085552629575</v>
      </c>
      <c r="D33" s="249"/>
      <c r="J33" s="293"/>
      <c r="K33" s="99"/>
      <c r="L33" s="148"/>
      <c r="M33" s="99"/>
    </row>
    <row r="34" spans="1:20">
      <c r="A34" s="80">
        <v>0.4</v>
      </c>
      <c r="B34" s="72">
        <f t="shared" si="3"/>
        <v>48</v>
      </c>
      <c r="C34" s="84">
        <f t="shared" si="4"/>
        <v>173.31064164472181</v>
      </c>
      <c r="D34" s="249"/>
      <c r="J34" s="293"/>
      <c r="K34" s="99"/>
      <c r="L34" s="99"/>
      <c r="M34" s="99"/>
    </row>
    <row r="35" spans="1:20">
      <c r="A35" s="80">
        <v>0.5</v>
      </c>
      <c r="B35" s="72">
        <f t="shared" si="3"/>
        <v>60</v>
      </c>
      <c r="C35" s="84">
        <f t="shared" si="4"/>
        <v>138.64851331577745</v>
      </c>
      <c r="D35" s="249"/>
      <c r="J35" s="293"/>
      <c r="K35" s="140"/>
      <c r="L35" s="148"/>
      <c r="M35" s="99"/>
    </row>
    <row r="36" spans="1:20">
      <c r="A36" s="80">
        <v>0.6</v>
      </c>
      <c r="B36" s="72">
        <f t="shared" si="3"/>
        <v>72</v>
      </c>
      <c r="C36" s="84">
        <f t="shared" si="4"/>
        <v>115.54042776314787</v>
      </c>
      <c r="D36" s="249"/>
      <c r="J36" s="293"/>
      <c r="K36" s="99"/>
      <c r="L36" s="99"/>
      <c r="M36" s="99"/>
    </row>
    <row r="37" spans="1:20">
      <c r="A37" s="80">
        <v>0.7</v>
      </c>
      <c r="B37" s="72">
        <f t="shared" si="3"/>
        <v>84</v>
      </c>
      <c r="C37" s="84">
        <f t="shared" si="4"/>
        <v>99.034652368412452</v>
      </c>
      <c r="D37" s="249"/>
      <c r="G37" s="61"/>
      <c r="H37" s="283"/>
      <c r="I37" s="203"/>
      <c r="J37" s="293"/>
      <c r="K37" s="99"/>
      <c r="L37" s="99"/>
      <c r="M37" s="99"/>
      <c r="R37" s="13"/>
      <c r="T37" s="13"/>
    </row>
    <row r="38" spans="1:20">
      <c r="A38" s="80">
        <v>0.71</v>
      </c>
      <c r="B38" s="72">
        <f t="shared" si="3"/>
        <v>85.199999999999989</v>
      </c>
      <c r="C38" s="84">
        <f t="shared" si="4"/>
        <v>97.63979810970244</v>
      </c>
      <c r="D38" s="249"/>
      <c r="G38" s="326" t="s">
        <v>407</v>
      </c>
      <c r="H38" s="283"/>
      <c r="I38" s="203"/>
      <c r="J38" s="293"/>
      <c r="K38" s="99"/>
      <c r="L38" s="99"/>
      <c r="M38" s="99"/>
      <c r="R38" s="19"/>
    </row>
    <row r="39" spans="1:20">
      <c r="A39" s="80">
        <v>0.72</v>
      </c>
      <c r="B39" s="72">
        <f t="shared" si="3"/>
        <v>86.399999999999991</v>
      </c>
      <c r="C39" s="84">
        <f t="shared" si="4"/>
        <v>96.283689802623229</v>
      </c>
      <c r="D39" s="249"/>
      <c r="G39" s="308" t="s">
        <v>377</v>
      </c>
      <c r="H39" s="243"/>
      <c r="I39" s="103"/>
      <c r="J39" s="293"/>
      <c r="K39" s="140"/>
      <c r="L39" s="99"/>
      <c r="M39" s="99"/>
      <c r="R39" s="19"/>
    </row>
    <row r="40" spans="1:20">
      <c r="A40" s="80">
        <v>0.73</v>
      </c>
      <c r="B40" s="72">
        <f t="shared" si="3"/>
        <v>87.6</v>
      </c>
      <c r="C40" s="84">
        <f t="shared" si="4"/>
        <v>94.96473514779278</v>
      </c>
      <c r="D40" s="250"/>
      <c r="G40" s="244" t="s">
        <v>176</v>
      </c>
      <c r="H40" s="229">
        <f>H23</f>
        <v>23.633269315189338</v>
      </c>
      <c r="I40" s="103"/>
      <c r="J40" s="293"/>
      <c r="K40" s="140"/>
      <c r="L40" s="99"/>
      <c r="M40" s="99"/>
      <c r="R40" s="19"/>
    </row>
    <row r="41" spans="1:20">
      <c r="A41" s="80">
        <v>0.74</v>
      </c>
      <c r="B41" s="72">
        <f t="shared" si="3"/>
        <v>88.8</v>
      </c>
      <c r="C41" s="84">
        <f t="shared" si="4"/>
        <v>93.681427916065843</v>
      </c>
      <c r="D41" s="250"/>
      <c r="G41" s="307" t="s">
        <v>178</v>
      </c>
      <c r="H41" s="307">
        <v>326</v>
      </c>
      <c r="I41" s="103"/>
      <c r="J41" s="293"/>
      <c r="K41" s="99"/>
      <c r="L41" s="99"/>
      <c r="M41" s="99"/>
      <c r="R41" s="19"/>
    </row>
    <row r="42" spans="1:20" ht="16">
      <c r="A42" s="80">
        <v>0.75</v>
      </c>
      <c r="B42" s="72">
        <f t="shared" si="3"/>
        <v>90</v>
      </c>
      <c r="C42" s="84">
        <f t="shared" si="4"/>
        <v>92.4323422105183</v>
      </c>
      <c r="D42" s="250"/>
      <c r="G42" s="322" t="s">
        <v>353</v>
      </c>
      <c r="H42" s="327">
        <f>H40*H41</f>
        <v>7704.4457967517246</v>
      </c>
      <c r="I42" s="103"/>
      <c r="J42" s="293"/>
      <c r="K42" s="140"/>
      <c r="L42" s="99"/>
      <c r="M42" s="99"/>
      <c r="R42" s="19"/>
    </row>
    <row r="43" spans="1:20">
      <c r="A43" s="80">
        <v>0.76</v>
      </c>
      <c r="B43" s="72">
        <f t="shared" si="3"/>
        <v>91.2</v>
      </c>
      <c r="C43" s="84">
        <f t="shared" si="4"/>
        <v>91.216127181432526</v>
      </c>
      <c r="D43" s="250"/>
      <c r="G43" s="73" t="s">
        <v>355</v>
      </c>
      <c r="H43" s="73" t="s">
        <v>326</v>
      </c>
      <c r="I43" s="73" t="s">
        <v>373</v>
      </c>
      <c r="J43" s="228"/>
      <c r="K43" s="140"/>
      <c r="L43" s="99"/>
      <c r="M43" s="99"/>
      <c r="R43" s="19"/>
    </row>
    <row r="44" spans="1:20">
      <c r="A44" s="80">
        <v>0.77</v>
      </c>
      <c r="B44" s="72">
        <f t="shared" si="3"/>
        <v>92.4</v>
      </c>
      <c r="C44" s="84">
        <f t="shared" si="4"/>
        <v>90.031502153102224</v>
      </c>
      <c r="D44" s="61"/>
      <c r="G44" s="80">
        <v>0.85</v>
      </c>
      <c r="H44" s="72">
        <f t="shared" ref="H44:H48" si="5">$B$6*G44</f>
        <v>102</v>
      </c>
      <c r="I44" s="84">
        <f t="shared" ref="I44:I48" si="6">$B$29/H44</f>
        <v>81.557949009280847</v>
      </c>
      <c r="J44" s="103"/>
      <c r="K44" s="140"/>
      <c r="L44" s="99"/>
      <c r="M44" s="99"/>
      <c r="R44" s="19"/>
    </row>
    <row r="45" spans="1:20">
      <c r="A45" s="80">
        <v>0.78</v>
      </c>
      <c r="B45" s="72">
        <f t="shared" si="3"/>
        <v>93.600000000000009</v>
      </c>
      <c r="C45" s="84">
        <f t="shared" si="4"/>
        <v>88.877252125498359</v>
      </c>
      <c r="G45" s="80">
        <v>0.86</v>
      </c>
      <c r="H45" s="72">
        <f t="shared" si="5"/>
        <v>103.2</v>
      </c>
      <c r="I45" s="84">
        <f t="shared" si="6"/>
        <v>80.60960076498688</v>
      </c>
      <c r="J45" s="140"/>
      <c r="K45" s="140"/>
      <c r="L45" s="99"/>
      <c r="M45" s="99"/>
      <c r="R45" s="19"/>
    </row>
    <row r="46" spans="1:20">
      <c r="A46" s="80">
        <v>0.79</v>
      </c>
      <c r="B46" s="72">
        <f t="shared" si="3"/>
        <v>94.800000000000011</v>
      </c>
      <c r="C46" s="84">
        <f t="shared" si="4"/>
        <v>87.752223617580654</v>
      </c>
      <c r="G46" s="337">
        <v>0.87</v>
      </c>
      <c r="H46" s="338">
        <f t="shared" si="5"/>
        <v>104.4</v>
      </c>
      <c r="I46" s="339">
        <f t="shared" si="6"/>
        <v>79.68305362975714</v>
      </c>
      <c r="J46" s="140"/>
      <c r="K46" s="140"/>
      <c r="L46" s="99"/>
      <c r="M46" s="99"/>
      <c r="R46" s="19"/>
    </row>
    <row r="47" spans="1:20">
      <c r="A47" s="80">
        <v>0.8</v>
      </c>
      <c r="B47" s="72">
        <f t="shared" si="3"/>
        <v>96</v>
      </c>
      <c r="C47" s="84">
        <f t="shared" si="4"/>
        <v>86.655320822360906</v>
      </c>
      <c r="G47" s="80">
        <v>0.88</v>
      </c>
      <c r="H47" s="72">
        <f t="shared" si="5"/>
        <v>105.6</v>
      </c>
      <c r="I47" s="84">
        <f t="shared" si="6"/>
        <v>78.77756438396446</v>
      </c>
      <c r="J47" s="140"/>
      <c r="K47" s="140"/>
      <c r="L47" s="99"/>
      <c r="M47" s="99"/>
      <c r="R47" s="19"/>
    </row>
    <row r="48" spans="1:20">
      <c r="A48" s="80">
        <v>0.81</v>
      </c>
      <c r="B48" s="72">
        <f t="shared" si="3"/>
        <v>97.2</v>
      </c>
      <c r="C48" s="84">
        <f t="shared" si="4"/>
        <v>85.585502046776199</v>
      </c>
      <c r="G48" s="80">
        <v>0.89</v>
      </c>
      <c r="H48" s="72">
        <f t="shared" si="5"/>
        <v>106.8</v>
      </c>
      <c r="I48" s="84">
        <f t="shared" si="6"/>
        <v>77.892423211110923</v>
      </c>
      <c r="J48" s="136"/>
      <c r="K48" s="99"/>
      <c r="L48" s="99"/>
      <c r="M48" s="99"/>
      <c r="R48" s="19"/>
    </row>
    <row r="49" spans="1:18" ht="16">
      <c r="A49" s="80">
        <v>0.82</v>
      </c>
      <c r="B49" s="72">
        <f t="shared" si="3"/>
        <v>98.399999999999991</v>
      </c>
      <c r="C49" s="84">
        <f t="shared" si="4"/>
        <v>84.54177641205942</v>
      </c>
      <c r="J49" s="140"/>
      <c r="K49" s="140"/>
      <c r="L49" s="292"/>
      <c r="M49" s="99"/>
      <c r="R49" s="19"/>
    </row>
    <row r="50" spans="1:18">
      <c r="A50" s="80">
        <v>0.83</v>
      </c>
      <c r="B50" s="72">
        <f t="shared" si="3"/>
        <v>99.6</v>
      </c>
      <c r="C50" s="84">
        <f t="shared" si="4"/>
        <v>83.523200792637013</v>
      </c>
      <c r="J50" s="140"/>
      <c r="K50" s="140"/>
      <c r="L50" s="99"/>
      <c r="M50" s="99"/>
      <c r="R50" s="19"/>
    </row>
    <row r="51" spans="1:18" ht="16">
      <c r="A51" s="80">
        <v>0.84</v>
      </c>
      <c r="B51" s="72">
        <f t="shared" si="3"/>
        <v>100.8</v>
      </c>
      <c r="C51" s="84">
        <f t="shared" si="4"/>
        <v>82.528876973677058</v>
      </c>
      <c r="J51" s="140"/>
      <c r="K51" s="140"/>
      <c r="L51" s="292"/>
      <c r="M51" s="99"/>
      <c r="R51" s="19"/>
    </row>
    <row r="52" spans="1:18" ht="16">
      <c r="A52" s="80">
        <v>0.85</v>
      </c>
      <c r="B52" s="72">
        <f t="shared" si="3"/>
        <v>102</v>
      </c>
      <c r="C52" s="84">
        <f t="shared" si="4"/>
        <v>81.557949009280847</v>
      </c>
      <c r="J52" s="140"/>
      <c r="K52" s="140"/>
      <c r="L52" s="292"/>
      <c r="M52" s="99"/>
      <c r="R52" s="19"/>
    </row>
    <row r="53" spans="1:18" ht="16">
      <c r="A53" s="80">
        <v>0.86</v>
      </c>
      <c r="B53" s="72">
        <f t="shared" si="3"/>
        <v>103.2</v>
      </c>
      <c r="C53" s="84">
        <f t="shared" si="4"/>
        <v>80.60960076498688</v>
      </c>
      <c r="G53" s="326" t="s">
        <v>408</v>
      </c>
      <c r="H53" s="283"/>
      <c r="I53" s="203"/>
      <c r="J53" s="140"/>
      <c r="K53" s="140"/>
      <c r="L53" s="292"/>
      <c r="M53" s="99"/>
      <c r="R53" s="19"/>
    </row>
    <row r="54" spans="1:18" ht="16">
      <c r="A54" s="80">
        <v>0.87</v>
      </c>
      <c r="B54" s="72">
        <f t="shared" si="3"/>
        <v>104.4</v>
      </c>
      <c r="C54" s="84">
        <f t="shared" si="4"/>
        <v>79.68305362975714</v>
      </c>
      <c r="G54" s="308" t="s">
        <v>377</v>
      </c>
      <c r="H54" s="243"/>
      <c r="I54" s="103"/>
      <c r="J54" s="140"/>
      <c r="K54" s="140"/>
      <c r="L54" s="292"/>
      <c r="M54" s="99"/>
      <c r="R54" s="19"/>
    </row>
    <row r="55" spans="1:18" ht="16">
      <c r="A55" s="80">
        <v>0.88</v>
      </c>
      <c r="B55" s="72">
        <f t="shared" si="3"/>
        <v>105.6</v>
      </c>
      <c r="C55" s="84">
        <f t="shared" si="4"/>
        <v>78.77756438396446</v>
      </c>
      <c r="G55" s="244" t="s">
        <v>176</v>
      </c>
      <c r="H55" s="229">
        <f>H40</f>
        <v>23.633269315189338</v>
      </c>
      <c r="I55" s="103"/>
      <c r="J55" s="99"/>
      <c r="K55" s="99"/>
      <c r="L55" s="292"/>
      <c r="M55" s="99"/>
      <c r="R55" s="19"/>
    </row>
    <row r="56" spans="1:18" ht="16">
      <c r="A56" s="80">
        <v>0.89</v>
      </c>
      <c r="B56" s="72">
        <f t="shared" si="3"/>
        <v>106.8</v>
      </c>
      <c r="C56" s="84">
        <f t="shared" si="4"/>
        <v>77.892423211110923</v>
      </c>
      <c r="G56" s="307" t="s">
        <v>178</v>
      </c>
      <c r="H56" s="307">
        <v>352</v>
      </c>
      <c r="I56" s="103"/>
      <c r="J56" s="140"/>
      <c r="K56" s="140"/>
      <c r="L56" s="292"/>
      <c r="M56" s="99"/>
    </row>
    <row r="57" spans="1:18" ht="16">
      <c r="A57" s="80">
        <v>0.9</v>
      </c>
      <c r="B57" s="72">
        <f t="shared" si="3"/>
        <v>108</v>
      </c>
      <c r="C57" s="84">
        <f t="shared" si="4"/>
        <v>77.026951842098583</v>
      </c>
      <c r="G57" s="322" t="s">
        <v>353</v>
      </c>
      <c r="H57" s="327">
        <f>H55*H56</f>
        <v>8318.9107989466465</v>
      </c>
      <c r="I57" s="103"/>
      <c r="J57" s="140"/>
      <c r="K57" s="140"/>
      <c r="L57" s="140"/>
      <c r="M57" s="292"/>
    </row>
    <row r="58" spans="1:18" ht="16">
      <c r="A58" s="80">
        <v>0.91</v>
      </c>
      <c r="B58" s="72">
        <f t="shared" si="3"/>
        <v>109.2</v>
      </c>
      <c r="C58" s="84">
        <f t="shared" si="4"/>
        <v>76.180501821855742</v>
      </c>
      <c r="G58" s="73" t="s">
        <v>355</v>
      </c>
      <c r="H58" s="73" t="s">
        <v>326</v>
      </c>
      <c r="I58" s="73" t="s">
        <v>373</v>
      </c>
      <c r="J58" s="99"/>
      <c r="K58" s="99"/>
      <c r="L58" s="99"/>
      <c r="M58" s="292"/>
    </row>
    <row r="59" spans="1:18" ht="16">
      <c r="A59" s="80">
        <v>0.92</v>
      </c>
      <c r="B59" s="72">
        <f t="shared" si="3"/>
        <v>110.4</v>
      </c>
      <c r="C59" s="84">
        <f t="shared" si="4"/>
        <v>75.35245288900947</v>
      </c>
      <c r="G59" s="80">
        <v>0.92</v>
      </c>
      <c r="H59" s="72">
        <f t="shared" ref="H59:H63" si="7">$B$6*G59</f>
        <v>110.4</v>
      </c>
      <c r="I59" s="84">
        <f t="shared" ref="I59:I63" si="8">$B$29/H59</f>
        <v>75.35245288900947</v>
      </c>
      <c r="J59" s="99"/>
      <c r="K59" s="99"/>
      <c r="L59" s="99"/>
      <c r="M59" s="292"/>
    </row>
    <row r="60" spans="1:18" ht="16">
      <c r="A60" s="80">
        <v>0.93</v>
      </c>
      <c r="B60" s="72">
        <f t="shared" si="3"/>
        <v>111.60000000000001</v>
      </c>
      <c r="C60" s="84">
        <f t="shared" si="4"/>
        <v>74.542211460095388</v>
      </c>
      <c r="G60" s="80">
        <v>0.93</v>
      </c>
      <c r="H60" s="72">
        <f t="shared" si="7"/>
        <v>111.60000000000001</v>
      </c>
      <c r="I60" s="84">
        <f t="shared" si="8"/>
        <v>74.542211460095388</v>
      </c>
      <c r="J60" s="99"/>
      <c r="K60" s="99"/>
      <c r="L60" s="99"/>
      <c r="M60" s="292"/>
    </row>
    <row r="61" spans="1:18">
      <c r="A61" s="80">
        <v>0.94</v>
      </c>
      <c r="B61" s="72">
        <f t="shared" si="3"/>
        <v>112.8</v>
      </c>
      <c r="C61" s="84">
        <f t="shared" si="4"/>
        <v>73.749209210519922</v>
      </c>
      <c r="G61" s="337">
        <v>0.94</v>
      </c>
      <c r="H61" s="338">
        <f t="shared" si="7"/>
        <v>112.8</v>
      </c>
      <c r="I61" s="339">
        <f t="shared" si="8"/>
        <v>73.749209210519922</v>
      </c>
      <c r="J61" s="99"/>
      <c r="K61" s="99"/>
      <c r="L61" s="99"/>
      <c r="M61" s="264"/>
    </row>
    <row r="62" spans="1:18">
      <c r="A62" s="80">
        <v>0.95</v>
      </c>
      <c r="B62" s="72">
        <f t="shared" si="3"/>
        <v>114</v>
      </c>
      <c r="C62" s="84">
        <f t="shared" si="4"/>
        <v>72.972901745146018</v>
      </c>
      <c r="G62" s="80">
        <v>0.95</v>
      </c>
      <c r="H62" s="72">
        <f t="shared" si="7"/>
        <v>114</v>
      </c>
      <c r="I62" s="84">
        <f t="shared" si="8"/>
        <v>72.972901745146018</v>
      </c>
      <c r="J62" s="99"/>
      <c r="K62" s="103"/>
      <c r="L62" s="103"/>
      <c r="M62" s="264"/>
      <c r="N62" s="99"/>
      <c r="O62" s="99"/>
    </row>
    <row r="63" spans="1:18">
      <c r="A63" s="80">
        <v>0.96</v>
      </c>
      <c r="B63" s="72">
        <f t="shared" si="3"/>
        <v>115.19999999999999</v>
      </c>
      <c r="C63" s="84">
        <f t="shared" si="4"/>
        <v>72.212767351967429</v>
      </c>
      <c r="G63" s="80">
        <v>0.96</v>
      </c>
      <c r="H63" s="72">
        <f t="shared" si="7"/>
        <v>115.19999999999999</v>
      </c>
      <c r="I63" s="84">
        <f t="shared" si="8"/>
        <v>72.212767351967429</v>
      </c>
      <c r="J63" s="140"/>
      <c r="K63" s="102"/>
      <c r="L63" s="102"/>
      <c r="M63" s="264"/>
      <c r="N63" s="99"/>
      <c r="O63" s="99"/>
    </row>
    <row r="64" spans="1:18">
      <c r="A64" s="80">
        <v>0.97</v>
      </c>
      <c r="B64" s="72">
        <f t="shared" si="3"/>
        <v>116.39999999999999</v>
      </c>
      <c r="C64" s="84">
        <f t="shared" si="4"/>
        <v>71.468305832874975</v>
      </c>
      <c r="F64" s="99"/>
      <c r="G64" s="99"/>
      <c r="H64" s="99"/>
      <c r="I64" s="145"/>
      <c r="J64" s="140"/>
      <c r="K64" s="104"/>
      <c r="L64" s="100"/>
      <c r="M64" s="100"/>
      <c r="N64" s="99"/>
      <c r="O64" s="99"/>
    </row>
    <row r="65" spans="1:18">
      <c r="A65" s="80">
        <v>0.98</v>
      </c>
      <c r="B65" s="72">
        <f t="shared" si="3"/>
        <v>117.6</v>
      </c>
      <c r="C65" s="84">
        <f t="shared" si="4"/>
        <v>70.739037406008904</v>
      </c>
      <c r="I65" s="2"/>
      <c r="J65" s="2"/>
      <c r="K65" s="102"/>
      <c r="L65" s="102"/>
      <c r="M65" s="102"/>
      <c r="N65" s="99"/>
      <c r="O65" s="140"/>
    </row>
    <row r="66" spans="1:18">
      <c r="A66" s="80">
        <v>0.99</v>
      </c>
      <c r="B66" s="72">
        <f t="shared" si="3"/>
        <v>118.8</v>
      </c>
      <c r="C66" s="84">
        <f t="shared" si="4"/>
        <v>70.024501674635076</v>
      </c>
      <c r="I66" s="11"/>
      <c r="J66" s="2"/>
      <c r="K66" s="103"/>
      <c r="L66" s="102"/>
      <c r="M66" s="264"/>
      <c r="N66" s="99"/>
      <c r="O66" s="99"/>
    </row>
    <row r="67" spans="1:18">
      <c r="A67" s="80">
        <v>1</v>
      </c>
      <c r="B67" s="72">
        <f t="shared" si="3"/>
        <v>120</v>
      </c>
      <c r="C67" s="84">
        <f t="shared" si="4"/>
        <v>69.324256657888725</v>
      </c>
      <c r="F67" s="29"/>
      <c r="K67" s="102"/>
      <c r="L67" s="102"/>
      <c r="M67" s="264"/>
      <c r="N67" s="99"/>
      <c r="O67" s="99"/>
    </row>
    <row r="68" spans="1:18">
      <c r="F68" s="100"/>
      <c r="I68" s="11"/>
      <c r="K68" s="99"/>
      <c r="L68" s="99"/>
      <c r="M68" s="99"/>
      <c r="N68" s="99"/>
      <c r="O68" s="140"/>
    </row>
    <row r="69" spans="1:18">
      <c r="E69" s="32"/>
      <c r="F69" s="103"/>
      <c r="K69" s="2"/>
    </row>
    <row r="70" spans="1:18">
      <c r="F70" s="103"/>
      <c r="I70" s="102"/>
      <c r="J70" s="102"/>
      <c r="K70" s="102"/>
      <c r="L70" s="99"/>
    </row>
    <row r="71" spans="1:18">
      <c r="F71" s="103"/>
      <c r="I71" s="102"/>
      <c r="J71" s="261"/>
      <c r="K71" s="102"/>
      <c r="L71" s="99"/>
    </row>
    <row r="72" spans="1:18">
      <c r="F72" s="103"/>
      <c r="I72" s="102"/>
      <c r="J72" s="103"/>
      <c r="K72" s="103"/>
      <c r="L72" s="99"/>
    </row>
    <row r="73" spans="1:18" ht="16">
      <c r="F73" s="103"/>
      <c r="I73" s="102"/>
      <c r="J73" s="265"/>
      <c r="K73" s="265"/>
      <c r="L73" s="147"/>
      <c r="M73" s="7"/>
      <c r="N73" s="7"/>
      <c r="O73" s="7"/>
      <c r="P73" s="7"/>
      <c r="Q73" s="7"/>
      <c r="R73" s="7"/>
    </row>
    <row r="74" spans="1:18" ht="16">
      <c r="F74" s="103"/>
      <c r="I74" s="102"/>
      <c r="J74" s="266"/>
      <c r="K74" s="265"/>
      <c r="L74" s="147"/>
      <c r="M74" s="7"/>
      <c r="N74" s="7"/>
      <c r="O74" s="7"/>
      <c r="P74" s="7"/>
      <c r="Q74" s="7"/>
      <c r="R74" s="7"/>
    </row>
    <row r="75" spans="1:18" ht="16">
      <c r="F75" s="103"/>
      <c r="I75" s="9"/>
      <c r="J75" s="7"/>
      <c r="K75" s="7"/>
      <c r="L75" s="7"/>
      <c r="M75" s="7"/>
      <c r="N75" s="7"/>
      <c r="O75" s="7"/>
      <c r="P75" s="7"/>
      <c r="Q75" s="7"/>
      <c r="R75" s="7"/>
    </row>
    <row r="76" spans="1:18" ht="16">
      <c r="F76" s="103"/>
      <c r="I76" s="7"/>
      <c r="J76" s="7"/>
      <c r="K76" s="7"/>
      <c r="L76" s="7"/>
      <c r="M76" s="7"/>
      <c r="N76" s="7"/>
      <c r="O76" s="7"/>
      <c r="P76" s="7"/>
      <c r="Q76" s="7"/>
      <c r="R76" s="7"/>
    </row>
    <row r="77" spans="1:18" ht="16">
      <c r="E77" s="19"/>
      <c r="F77" s="103"/>
      <c r="I77" s="9"/>
      <c r="J77" s="7"/>
      <c r="K77" s="147"/>
      <c r="L77" s="147"/>
      <c r="M77" s="371"/>
      <c r="N77" s="147"/>
      <c r="O77" s="147"/>
      <c r="P77" s="147"/>
      <c r="Q77" s="9"/>
      <c r="R77" s="7"/>
    </row>
    <row r="78" spans="1:18" ht="16">
      <c r="F78" s="103"/>
      <c r="I78" s="176"/>
      <c r="J78" s="177"/>
      <c r="K78" s="147"/>
      <c r="L78" s="372"/>
      <c r="M78" s="373"/>
      <c r="N78" s="147"/>
      <c r="O78" s="147"/>
      <c r="P78" s="147"/>
      <c r="Q78" s="7"/>
      <c r="R78" s="7"/>
    </row>
    <row r="79" spans="1:18" ht="16">
      <c r="F79" s="103"/>
      <c r="I79" s="178"/>
      <c r="J79" s="176"/>
      <c r="K79" s="374"/>
      <c r="L79" s="375"/>
      <c r="M79" s="376"/>
      <c r="N79" s="100"/>
      <c r="O79" s="377"/>
      <c r="P79" s="99"/>
    </row>
    <row r="80" spans="1:18" ht="16">
      <c r="F80" s="103"/>
      <c r="I80" s="60"/>
      <c r="J80" s="144"/>
      <c r="K80" s="374"/>
      <c r="L80" s="378"/>
      <c r="M80" s="379"/>
      <c r="N80" s="380"/>
      <c r="O80" s="228"/>
      <c r="P80" s="99"/>
    </row>
    <row r="81" spans="6:16" ht="16">
      <c r="F81" s="103"/>
      <c r="I81" s="2"/>
      <c r="J81" s="2"/>
      <c r="K81" s="374"/>
      <c r="L81" s="381"/>
      <c r="M81" s="379"/>
      <c r="N81" s="380"/>
      <c r="O81" s="228"/>
      <c r="P81" s="99"/>
    </row>
    <row r="82" spans="6:16" ht="16">
      <c r="F82" s="103"/>
      <c r="I82" s="2"/>
      <c r="J82" s="2"/>
      <c r="K82" s="374"/>
      <c r="L82" s="381"/>
      <c r="M82" s="379"/>
      <c r="N82" s="380"/>
      <c r="O82" s="228"/>
      <c r="P82" s="99"/>
    </row>
    <row r="83" spans="6:16" ht="16">
      <c r="F83" s="103"/>
      <c r="J83" s="7"/>
      <c r="K83" s="374"/>
      <c r="L83" s="381"/>
      <c r="M83" s="379"/>
      <c r="N83" s="380"/>
      <c r="O83" s="228"/>
      <c r="P83" s="99"/>
    </row>
    <row r="84" spans="6:16" ht="16">
      <c r="F84" s="103"/>
      <c r="J84" s="7"/>
      <c r="K84" s="374"/>
      <c r="L84" s="381"/>
      <c r="M84" s="379"/>
      <c r="N84" s="380"/>
      <c r="O84" s="228"/>
      <c r="P84" s="99"/>
    </row>
    <row r="85" spans="6:16" ht="16">
      <c r="F85" s="103"/>
      <c r="J85" s="7"/>
      <c r="K85" s="374"/>
      <c r="L85" s="381"/>
      <c r="M85" s="379"/>
      <c r="N85" s="380"/>
      <c r="O85" s="228"/>
      <c r="P85" s="99"/>
    </row>
    <row r="86" spans="6:16" ht="16">
      <c r="F86" s="103"/>
      <c r="J86" s="7"/>
      <c r="K86" s="99"/>
      <c r="L86" s="150"/>
      <c r="M86" s="146"/>
      <c r="N86" s="99"/>
      <c r="O86" s="99"/>
      <c r="P86" s="99"/>
    </row>
    <row r="87" spans="6:16" ht="16">
      <c r="J87" s="7"/>
      <c r="K87" s="99"/>
      <c r="L87" s="150"/>
      <c r="M87" s="146"/>
      <c r="N87" s="99"/>
      <c r="O87" s="99"/>
      <c r="P87" s="99"/>
    </row>
    <row r="88" spans="6:16" ht="16">
      <c r="J88" s="7"/>
      <c r="K88" s="99"/>
      <c r="L88" s="150"/>
      <c r="M88" s="147"/>
      <c r="N88" s="99"/>
      <c r="O88" s="99"/>
      <c r="P88" s="99"/>
    </row>
    <row r="89" spans="6:16" ht="16">
      <c r="F89" s="99"/>
      <c r="G89" s="99"/>
      <c r="H89" s="99"/>
      <c r="I89" s="99"/>
      <c r="J89" s="179"/>
      <c r="K89" s="99"/>
      <c r="L89" s="150"/>
      <c r="M89" s="180"/>
      <c r="N89" s="99"/>
      <c r="O89" s="99"/>
      <c r="P89" s="99"/>
    </row>
    <row r="90" spans="6:16">
      <c r="F90" s="145"/>
      <c r="G90" s="140"/>
      <c r="H90" s="140"/>
      <c r="I90" s="99"/>
      <c r="J90" s="99"/>
      <c r="K90" s="140"/>
      <c r="L90" s="99"/>
      <c r="M90" s="99"/>
      <c r="N90" s="99"/>
      <c r="O90" s="99"/>
      <c r="P90" s="99"/>
    </row>
    <row r="91" spans="6:16">
      <c r="F91" s="149"/>
      <c r="G91" s="140"/>
      <c r="H91" s="140"/>
      <c r="I91" s="150"/>
      <c r="J91" s="140"/>
      <c r="K91" s="138"/>
      <c r="L91" s="140"/>
      <c r="M91" s="140"/>
    </row>
    <row r="92" spans="6:16">
      <c r="F92" s="149"/>
      <c r="G92" s="140"/>
      <c r="H92" s="140"/>
      <c r="I92" s="150"/>
      <c r="J92" s="140"/>
      <c r="K92" s="138"/>
      <c r="L92" s="140"/>
      <c r="M92" s="140"/>
    </row>
    <row r="93" spans="6:16">
      <c r="F93" s="149"/>
      <c r="G93" s="140"/>
      <c r="H93" s="140"/>
      <c r="I93" s="150"/>
      <c r="J93" s="140"/>
      <c r="K93" s="138"/>
      <c r="L93" s="140"/>
      <c r="M93" s="140"/>
    </row>
    <row r="94" spans="6:16">
      <c r="F94" s="226"/>
      <c r="G94" s="103"/>
      <c r="H94" s="103"/>
      <c r="I94" s="150"/>
      <c r="J94" s="140"/>
      <c r="K94" s="138"/>
      <c r="L94" s="140"/>
      <c r="M94" s="140"/>
    </row>
    <row r="95" spans="6:16">
      <c r="F95" s="103"/>
      <c r="G95" s="103"/>
      <c r="H95" s="103"/>
      <c r="I95" s="261"/>
      <c r="J95" s="103"/>
      <c r="K95" s="138"/>
      <c r="L95" s="140"/>
      <c r="M95" s="140"/>
    </row>
    <row r="96" spans="6:16">
      <c r="F96" s="227"/>
      <c r="G96" s="103"/>
      <c r="H96" s="103"/>
      <c r="I96" s="150"/>
      <c r="J96" s="140"/>
      <c r="K96" s="138"/>
      <c r="L96" s="140"/>
      <c r="M96" s="140"/>
    </row>
    <row r="97" spans="6:18">
      <c r="F97" s="183"/>
      <c r="G97" s="103"/>
      <c r="H97" s="103"/>
      <c r="I97" s="150"/>
      <c r="J97" s="140"/>
      <c r="K97" s="138"/>
      <c r="L97" s="140"/>
      <c r="M97" s="140"/>
    </row>
    <row r="98" spans="6:18">
      <c r="F98" s="183"/>
      <c r="G98" s="103"/>
      <c r="H98" s="103"/>
      <c r="I98" s="150"/>
      <c r="J98" s="140"/>
      <c r="K98" s="138"/>
      <c r="L98" s="140"/>
      <c r="M98" s="140"/>
    </row>
    <row r="99" spans="6:18">
      <c r="F99" s="183"/>
      <c r="G99" s="103"/>
      <c r="H99" s="103"/>
      <c r="I99" s="150"/>
      <c r="J99" s="140"/>
      <c r="K99" s="138"/>
      <c r="L99" s="140"/>
      <c r="M99" s="140"/>
    </row>
    <row r="100" spans="6:18">
      <c r="F100" s="183"/>
      <c r="G100" s="228"/>
      <c r="H100" s="103"/>
      <c r="I100" s="150"/>
      <c r="J100" s="140"/>
      <c r="K100" s="138"/>
      <c r="L100" s="140"/>
      <c r="M100" s="140"/>
    </row>
    <row r="101" spans="6:18">
      <c r="F101" s="102"/>
      <c r="G101" s="103"/>
      <c r="H101" s="102"/>
      <c r="I101" s="99"/>
      <c r="J101" s="99"/>
      <c r="K101" s="99"/>
      <c r="L101" s="99"/>
      <c r="M101" s="99"/>
    </row>
    <row r="102" spans="6:18">
      <c r="F102" s="118"/>
      <c r="G102" s="184"/>
      <c r="H102" s="81"/>
      <c r="I102" s="97"/>
      <c r="J102" s="97"/>
      <c r="K102" s="60"/>
    </row>
    <row r="103" spans="6:18">
      <c r="F103" s="102"/>
      <c r="G103" s="185"/>
      <c r="H103" s="81"/>
      <c r="I103" s="60"/>
      <c r="J103" s="60"/>
      <c r="K103" s="60"/>
      <c r="P103" s="2"/>
      <c r="Q103" s="2"/>
      <c r="R103" s="2"/>
    </row>
    <row r="104" spans="6:18">
      <c r="F104" s="102"/>
      <c r="G104" s="186"/>
      <c r="H104" s="81"/>
      <c r="Q104" s="13"/>
    </row>
    <row r="105" spans="6:18" ht="16">
      <c r="F105" s="81"/>
      <c r="G105" s="81"/>
      <c r="H105" s="81"/>
      <c r="N105" s="13"/>
      <c r="Q105" s="18"/>
      <c r="R105" s="7"/>
    </row>
    <row r="106" spans="6:18" ht="16">
      <c r="F106" s="81"/>
      <c r="G106" s="81"/>
      <c r="H106" s="81"/>
      <c r="O106" s="7"/>
      <c r="Q106" s="18"/>
      <c r="R106" s="7"/>
    </row>
    <row r="107" spans="6:18" ht="16">
      <c r="F107" s="81"/>
      <c r="G107" s="81"/>
      <c r="H107" s="81"/>
      <c r="N107" s="7"/>
      <c r="O107" s="7"/>
      <c r="Q107" s="18"/>
      <c r="R107" s="7"/>
    </row>
    <row r="108" spans="6:18" ht="16">
      <c r="F108" s="91"/>
      <c r="G108" s="81"/>
      <c r="H108" s="81"/>
      <c r="N108" s="7"/>
      <c r="O108" s="7"/>
      <c r="Q108" s="18"/>
      <c r="R108" s="7"/>
    </row>
    <row r="109" spans="6:18" ht="16">
      <c r="F109" s="81"/>
      <c r="G109" s="81"/>
      <c r="H109" s="81"/>
      <c r="N109" s="7"/>
      <c r="O109" s="7"/>
      <c r="Q109" s="18"/>
      <c r="R109" s="7"/>
    </row>
    <row r="110" spans="6:18" ht="16">
      <c r="F110" s="81"/>
      <c r="G110" s="81"/>
      <c r="H110" s="81"/>
      <c r="I110" s="32"/>
      <c r="N110" s="7"/>
      <c r="O110" s="7"/>
      <c r="Q110" s="18"/>
      <c r="R110" s="7"/>
    </row>
    <row r="111" spans="6:18" ht="16">
      <c r="F111" s="81"/>
      <c r="G111" s="81"/>
      <c r="H111" s="81"/>
      <c r="N111" s="7"/>
      <c r="O111" s="7"/>
      <c r="Q111" s="18"/>
      <c r="R111" s="7"/>
    </row>
    <row r="112" spans="6:18" ht="16">
      <c r="F112" s="81"/>
      <c r="G112" s="81"/>
      <c r="H112" s="81"/>
      <c r="N112" s="7"/>
      <c r="O112" s="7"/>
      <c r="Q112" s="18"/>
      <c r="R112" s="7"/>
    </row>
    <row r="113" spans="6:18" ht="16">
      <c r="F113" s="81"/>
      <c r="G113" s="81"/>
      <c r="H113" s="81"/>
      <c r="N113" s="7"/>
      <c r="O113" s="7"/>
      <c r="Q113" s="18"/>
      <c r="R113" s="7"/>
    </row>
    <row r="114" spans="6:18" ht="16">
      <c r="F114" s="81"/>
      <c r="G114" s="81"/>
      <c r="H114" s="81"/>
      <c r="N114" s="7"/>
      <c r="O114" s="7"/>
      <c r="Q114" s="18"/>
      <c r="R114" s="7"/>
    </row>
    <row r="115" spans="6:18" ht="16">
      <c r="F115" s="81"/>
      <c r="G115" s="81"/>
      <c r="H115" s="81"/>
      <c r="N115" s="7"/>
      <c r="O115" s="7"/>
      <c r="Q115" s="18"/>
      <c r="R115" s="7"/>
    </row>
    <row r="116" spans="6:18" ht="16">
      <c r="F116" s="81"/>
      <c r="G116" s="81"/>
      <c r="H116" s="81"/>
      <c r="N116" s="7"/>
      <c r="O116" s="7"/>
      <c r="Q116" s="18"/>
      <c r="R116" s="7"/>
    </row>
    <row r="117" spans="6:18" ht="16">
      <c r="F117" s="81"/>
      <c r="G117" s="81"/>
      <c r="H117" s="81"/>
      <c r="N117" s="7"/>
      <c r="O117" s="7"/>
      <c r="Q117" s="18"/>
      <c r="R117" s="7"/>
    </row>
    <row r="118" spans="6:18" ht="16">
      <c r="N118" s="7"/>
      <c r="O118" s="7"/>
      <c r="Q118" s="18"/>
      <c r="R118" s="7"/>
    </row>
    <row r="119" spans="6:18" ht="16">
      <c r="F119" s="61"/>
      <c r="G119" s="61"/>
      <c r="N119" s="7"/>
      <c r="O119" s="7"/>
      <c r="Q119" s="18"/>
      <c r="R119" s="7"/>
    </row>
    <row r="120" spans="6:18" ht="16">
      <c r="F120" s="61"/>
      <c r="G120" s="61"/>
      <c r="N120" s="7"/>
      <c r="O120" s="7"/>
      <c r="Q120" s="18"/>
      <c r="R120" s="7"/>
    </row>
    <row r="121" spans="6:18" ht="16">
      <c r="F121" s="61"/>
      <c r="G121" s="61"/>
      <c r="N121" s="7"/>
      <c r="O121" s="7"/>
      <c r="Q121" s="18"/>
      <c r="R121" s="7"/>
    </row>
    <row r="122" spans="6:18" ht="16">
      <c r="F122" s="61"/>
      <c r="G122" s="61"/>
      <c r="N122" s="7"/>
      <c r="O122" s="7"/>
      <c r="Q122" s="18"/>
      <c r="R122" s="7"/>
    </row>
    <row r="123" spans="6:18" ht="16">
      <c r="F123" s="61"/>
      <c r="G123" s="61"/>
      <c r="N123" s="7"/>
      <c r="O123" s="7"/>
    </row>
    <row r="124" spans="6:18">
      <c r="F124" s="99"/>
      <c r="G124" s="99"/>
      <c r="H124" s="99"/>
      <c r="I124" s="99"/>
    </row>
    <row r="125" spans="6:18">
      <c r="F125" s="99"/>
      <c r="G125" s="99"/>
      <c r="H125" s="99"/>
      <c r="I125" s="99"/>
    </row>
    <row r="126" spans="6:18">
      <c r="F126" s="99"/>
      <c r="G126" s="99"/>
      <c r="H126" s="99"/>
      <c r="I126" s="99"/>
    </row>
    <row r="127" spans="6:18">
      <c r="F127" s="99"/>
      <c r="G127" s="99"/>
      <c r="H127" s="99"/>
      <c r="I127" s="99"/>
    </row>
    <row r="128" spans="6:18">
      <c r="F128" s="99"/>
      <c r="G128" s="99"/>
      <c r="H128" s="99"/>
      <c r="I128" s="99"/>
    </row>
    <row r="129" spans="1:9">
      <c r="F129" s="138"/>
      <c r="G129" s="99"/>
      <c r="H129" s="99"/>
      <c r="I129" s="99"/>
    </row>
    <row r="130" spans="1:9">
      <c r="F130" s="99"/>
      <c r="G130" s="99"/>
      <c r="H130" s="99"/>
      <c r="I130" s="99"/>
    </row>
    <row r="131" spans="1:9">
      <c r="F131" s="99"/>
      <c r="G131" s="99"/>
      <c r="H131" s="99"/>
      <c r="I131" s="99"/>
    </row>
    <row r="132" spans="1:9">
      <c r="F132" s="99"/>
      <c r="G132" s="99"/>
      <c r="H132" s="99"/>
      <c r="I132" s="99"/>
    </row>
    <row r="133" spans="1:9">
      <c r="F133" s="99"/>
      <c r="G133" s="99"/>
      <c r="H133" s="99"/>
      <c r="I133" s="99"/>
    </row>
    <row r="134" spans="1:9">
      <c r="F134" s="99"/>
      <c r="G134" s="99"/>
      <c r="H134" s="99"/>
      <c r="I134" s="99"/>
    </row>
    <row r="135" spans="1:9">
      <c r="F135" s="99"/>
      <c r="G135" s="99"/>
      <c r="H135" s="99"/>
      <c r="I135" s="99"/>
    </row>
    <row r="136" spans="1:9">
      <c r="F136" s="99"/>
      <c r="G136" s="99"/>
      <c r="H136" s="99"/>
      <c r="I136" s="99"/>
    </row>
    <row r="137" spans="1:9">
      <c r="F137" s="99"/>
      <c r="G137" s="99"/>
      <c r="H137" s="99"/>
      <c r="I137" s="99"/>
    </row>
    <row r="138" spans="1:9">
      <c r="A138" s="238"/>
      <c r="D138" s="61"/>
      <c r="E138" s="61"/>
      <c r="F138" s="99"/>
      <c r="G138" s="99"/>
      <c r="H138" s="102"/>
      <c r="I138" s="102"/>
    </row>
    <row r="139" spans="1:9">
      <c r="D139" s="61"/>
      <c r="E139" s="61"/>
      <c r="F139" s="99"/>
      <c r="G139" s="99"/>
      <c r="H139" s="102"/>
      <c r="I139" s="102"/>
    </row>
    <row r="140" spans="1:9">
      <c r="A140" s="204"/>
      <c r="B140" s="61"/>
      <c r="C140" s="237"/>
      <c r="D140" s="61"/>
      <c r="E140" s="61"/>
      <c r="F140" s="99"/>
      <c r="G140" s="99"/>
      <c r="H140" s="102"/>
      <c r="I140" s="102"/>
    </row>
    <row r="141" spans="1:9">
      <c r="A141" s="61"/>
      <c r="B141" s="61"/>
      <c r="C141" s="61"/>
      <c r="D141" s="61"/>
      <c r="E141" s="61"/>
      <c r="F141" s="99"/>
      <c r="G141" s="99"/>
      <c r="H141" s="99"/>
      <c r="I141" s="99"/>
    </row>
    <row r="142" spans="1:9" ht="16">
      <c r="A142" s="61"/>
      <c r="B142" s="61"/>
      <c r="C142" s="61"/>
      <c r="D142" s="61"/>
      <c r="E142" s="61"/>
      <c r="F142" s="99"/>
      <c r="G142" s="99"/>
      <c r="H142" s="146"/>
      <c r="I142" s="99"/>
    </row>
    <row r="143" spans="1:9" ht="16">
      <c r="A143" s="61"/>
      <c r="B143" s="61"/>
      <c r="C143" s="61"/>
      <c r="D143" s="61"/>
      <c r="E143" s="61"/>
      <c r="F143" s="99"/>
      <c r="G143" s="99"/>
      <c r="H143" s="146"/>
      <c r="I143" s="99"/>
    </row>
    <row r="144" spans="1:9">
      <c r="A144" s="61"/>
      <c r="B144" s="61"/>
      <c r="C144" s="61"/>
      <c r="D144" s="61"/>
      <c r="E144" s="61"/>
      <c r="F144" s="99"/>
      <c r="G144" s="99"/>
      <c r="H144" s="99"/>
      <c r="I144" s="99"/>
    </row>
    <row r="145" spans="1:13">
      <c r="A145" s="61"/>
      <c r="B145" s="61"/>
      <c r="C145" s="61"/>
      <c r="D145" s="61"/>
      <c r="E145" s="61"/>
      <c r="F145" s="61"/>
      <c r="G145" s="61"/>
      <c r="J145" s="2"/>
      <c r="K145" s="2"/>
    </row>
    <row r="146" spans="1:13">
      <c r="A146" s="61"/>
      <c r="B146" s="61"/>
      <c r="C146" s="61"/>
      <c r="D146" s="61"/>
      <c r="E146" s="61"/>
      <c r="F146" s="61"/>
      <c r="G146" s="61"/>
      <c r="J146" s="2"/>
      <c r="K146" s="2"/>
    </row>
    <row r="147" spans="1:13">
      <c r="A147" s="61"/>
      <c r="B147" s="61"/>
      <c r="C147" s="61"/>
      <c r="D147" s="61"/>
      <c r="E147" s="61"/>
      <c r="F147" s="61"/>
      <c r="G147" s="61"/>
    </row>
    <row r="148" spans="1:13">
      <c r="A148" s="61"/>
      <c r="B148" s="61"/>
      <c r="C148" s="61"/>
      <c r="D148" s="61"/>
      <c r="E148" s="61"/>
      <c r="F148" s="61"/>
      <c r="G148" s="61"/>
    </row>
    <row r="159" spans="1:13">
      <c r="A159" s="2"/>
      <c r="B159" s="2"/>
      <c r="C159" s="2"/>
      <c r="D159" s="2"/>
      <c r="E159" s="2"/>
      <c r="G159" s="2"/>
      <c r="H159" s="2"/>
      <c r="I159" s="2"/>
      <c r="J159" s="2"/>
      <c r="K159" s="2"/>
      <c r="L159" s="2"/>
      <c r="M159" s="2"/>
    </row>
    <row r="160" spans="1:13">
      <c r="A160" s="13"/>
    </row>
    <row r="161" spans="1:16">
      <c r="A161" s="13"/>
      <c r="N161" s="13"/>
      <c r="O161" s="13"/>
      <c r="P161" s="13"/>
    </row>
    <row r="162" spans="1:16">
      <c r="A162" s="13"/>
    </row>
    <row r="163" spans="1:16">
      <c r="A163" s="13"/>
    </row>
    <row r="164" spans="1:16">
      <c r="A164" s="13"/>
    </row>
    <row r="165" spans="1:16">
      <c r="A165" s="13"/>
    </row>
    <row r="166" spans="1:16">
      <c r="A166" s="13"/>
    </row>
    <row r="167" spans="1:16">
      <c r="A167" s="13"/>
    </row>
    <row r="168" spans="1:16">
      <c r="A168" s="13"/>
    </row>
    <row r="169" spans="1:16">
      <c r="A169" s="13"/>
    </row>
    <row r="170" spans="1:16">
      <c r="A170" s="13"/>
    </row>
    <row r="171" spans="1:16">
      <c r="A171" s="13"/>
    </row>
    <row r="172" spans="1:16">
      <c r="A172" s="13"/>
    </row>
    <row r="173" spans="1:16">
      <c r="A173" s="13"/>
    </row>
    <row r="174" spans="1:16">
      <c r="A174" s="13"/>
    </row>
    <row r="175" spans="1:16">
      <c r="A175" s="13"/>
    </row>
    <row r="176" spans="1:16">
      <c r="A176" s="13"/>
    </row>
    <row r="177" spans="1:1">
      <c r="A177" s="13"/>
    </row>
    <row r="194" spans="1:6">
      <c r="A194" s="60"/>
      <c r="B194" s="60"/>
      <c r="C194" s="60"/>
      <c r="D194" s="60"/>
      <c r="E194" s="60"/>
      <c r="F194" s="60"/>
    </row>
    <row r="195" spans="1:6">
      <c r="A195" s="60"/>
      <c r="B195" s="60"/>
      <c r="C195" s="60"/>
      <c r="D195" s="60"/>
      <c r="E195" s="60"/>
      <c r="F195" s="60"/>
    </row>
    <row r="196" spans="1:6">
      <c r="A196" s="60"/>
      <c r="B196" s="60"/>
      <c r="C196" s="60"/>
      <c r="D196" s="60"/>
      <c r="E196" s="60"/>
      <c r="F196" s="60"/>
    </row>
    <row r="197" spans="1:6">
      <c r="A197" s="60"/>
      <c r="B197" s="79"/>
      <c r="C197" s="79"/>
      <c r="D197" s="60"/>
      <c r="E197" s="60"/>
      <c r="F197" s="60"/>
    </row>
    <row r="198" spans="1:6">
      <c r="A198" s="60"/>
      <c r="B198" s="79"/>
      <c r="C198" s="79"/>
      <c r="D198" s="60"/>
      <c r="E198" s="60"/>
      <c r="F198" s="60"/>
    </row>
    <row r="199" spans="1:6">
      <c r="A199" s="60"/>
      <c r="B199" s="79"/>
      <c r="C199" s="79"/>
      <c r="D199" s="60"/>
      <c r="E199" s="60"/>
      <c r="F199" s="60"/>
    </row>
    <row r="200" spans="1:6">
      <c r="A200" s="60"/>
      <c r="B200" s="79"/>
      <c r="C200" s="79"/>
      <c r="D200" s="60"/>
      <c r="E200" s="60"/>
      <c r="F200" s="60"/>
    </row>
    <row r="201" spans="1:6">
      <c r="A201" s="60"/>
      <c r="B201" s="79"/>
      <c r="C201" s="79"/>
      <c r="D201" s="60"/>
      <c r="E201" s="60"/>
      <c r="F201" s="60"/>
    </row>
    <row r="202" spans="1:6">
      <c r="A202" s="60"/>
      <c r="B202" s="79"/>
      <c r="C202" s="79"/>
      <c r="D202" s="60"/>
      <c r="E202" s="60"/>
      <c r="F202" s="60"/>
    </row>
    <row r="203" spans="1:6">
      <c r="A203" s="60"/>
      <c r="B203" s="79"/>
      <c r="C203" s="79"/>
      <c r="D203" s="60"/>
      <c r="E203" s="60"/>
      <c r="F203" s="60"/>
    </row>
    <row r="204" spans="1:6">
      <c r="A204" s="60"/>
      <c r="B204" s="79"/>
      <c r="C204" s="79"/>
      <c r="D204" s="60"/>
      <c r="E204" s="60"/>
      <c r="F204" s="60"/>
    </row>
    <row r="205" spans="1:6">
      <c r="A205" s="60"/>
      <c r="B205" s="79"/>
      <c r="C205" s="79"/>
      <c r="D205" s="60"/>
      <c r="E205" s="60"/>
      <c r="F205" s="60"/>
    </row>
    <row r="206" spans="1:6">
      <c r="A206" s="60"/>
      <c r="B206" s="79"/>
      <c r="C206" s="79"/>
      <c r="D206" s="60"/>
      <c r="E206" s="60"/>
      <c r="F206" s="60"/>
    </row>
    <row r="207" spans="1:6">
      <c r="A207" s="60"/>
      <c r="B207" s="79"/>
      <c r="C207" s="79"/>
      <c r="D207" s="60"/>
      <c r="E207" s="60"/>
      <c r="F207" s="60"/>
    </row>
    <row r="208" spans="1:6">
      <c r="A208" s="60"/>
      <c r="B208" s="79"/>
      <c r="C208" s="79"/>
      <c r="D208" s="60"/>
      <c r="E208" s="60"/>
      <c r="F208" s="60"/>
    </row>
    <row r="209" spans="1:6">
      <c r="A209" s="60"/>
      <c r="B209" s="79"/>
      <c r="C209" s="79"/>
      <c r="D209" s="60"/>
      <c r="E209" s="60"/>
      <c r="F209" s="60"/>
    </row>
    <row r="210" spans="1:6">
      <c r="A210" s="60"/>
      <c r="B210" s="79"/>
      <c r="C210" s="79"/>
      <c r="D210" s="60"/>
      <c r="E210" s="60"/>
      <c r="F210" s="60"/>
    </row>
    <row r="211" spans="1:6">
      <c r="A211" s="60"/>
      <c r="B211" s="79"/>
      <c r="C211" s="79"/>
      <c r="D211" s="60"/>
      <c r="E211" s="60"/>
      <c r="F211" s="60"/>
    </row>
    <row r="212" spans="1:6">
      <c r="A212" s="60"/>
      <c r="B212" s="79"/>
      <c r="C212" s="79"/>
      <c r="D212" s="60"/>
      <c r="E212" s="60"/>
      <c r="F212" s="60"/>
    </row>
    <row r="213" spans="1:6">
      <c r="A213" s="60"/>
      <c r="B213" s="79"/>
      <c r="C213" s="79"/>
      <c r="D213" s="60"/>
      <c r="E213" s="60"/>
      <c r="F213" s="60"/>
    </row>
    <row r="214" spans="1:6">
      <c r="A214" s="60"/>
      <c r="B214" s="79"/>
      <c r="C214" s="79"/>
      <c r="D214" s="60"/>
      <c r="E214" s="60"/>
      <c r="F214" s="60"/>
    </row>
    <row r="215" spans="1:6">
      <c r="A215" s="60"/>
      <c r="B215" s="60"/>
      <c r="C215" s="60"/>
      <c r="D215" s="60"/>
      <c r="E215" s="60"/>
      <c r="F215" s="60"/>
    </row>
    <row r="216" spans="1:6">
      <c r="A216" s="60"/>
      <c r="B216" s="60"/>
      <c r="C216" s="60"/>
      <c r="D216" s="60"/>
      <c r="E216" s="60"/>
      <c r="F216" s="60"/>
    </row>
    <row r="226" spans="2:6">
      <c r="D226" s="24"/>
      <c r="E226" s="24"/>
    </row>
    <row r="227" spans="2:6">
      <c r="D227" s="25"/>
      <c r="E227" s="25"/>
    </row>
    <row r="228" spans="2:6">
      <c r="D228" s="26"/>
      <c r="E228" s="26"/>
    </row>
    <row r="229" spans="2:6">
      <c r="D229" s="15"/>
      <c r="E229" s="15"/>
    </row>
    <row r="230" spans="2:6">
      <c r="C230" s="27"/>
      <c r="D230" s="16"/>
      <c r="E230" s="16"/>
      <c r="F230" s="28"/>
    </row>
    <row r="231" spans="2:6">
      <c r="B231" s="27"/>
      <c r="C231" s="27"/>
      <c r="D231" s="17"/>
      <c r="E231" s="16"/>
      <c r="F231" s="28"/>
    </row>
    <row r="232" spans="2:6">
      <c r="B232" s="27"/>
      <c r="C232" s="27"/>
      <c r="D232" s="17"/>
      <c r="E232" s="16"/>
      <c r="F232" s="28"/>
    </row>
    <row r="233" spans="2:6">
      <c r="B233" s="27"/>
      <c r="C233" s="27"/>
      <c r="D233" s="17"/>
      <c r="E233" s="16"/>
      <c r="F233" s="28"/>
    </row>
    <row r="234" spans="2:6">
      <c r="B234" s="27"/>
      <c r="C234" s="27"/>
      <c r="D234" s="17"/>
      <c r="E234" s="16"/>
    </row>
    <row r="235" spans="2:6">
      <c r="B235" s="27"/>
      <c r="C235" s="27"/>
      <c r="D235" s="17"/>
      <c r="E235" s="16"/>
    </row>
    <row r="236" spans="2:6">
      <c r="B236" s="27"/>
      <c r="C236" s="27"/>
      <c r="D236" s="17"/>
      <c r="E236" s="16"/>
    </row>
    <row r="237" spans="2:6">
      <c r="B237" s="27"/>
      <c r="C237" s="27"/>
      <c r="D237" s="17"/>
      <c r="E237" s="16"/>
    </row>
    <row r="238" spans="2:6">
      <c r="B238" s="27"/>
      <c r="C238" s="27"/>
      <c r="D238" s="17"/>
      <c r="E238" s="16"/>
    </row>
    <row r="239" spans="2:6">
      <c r="B239" s="27"/>
      <c r="C239" s="27"/>
      <c r="D239" s="17"/>
      <c r="E239" s="16"/>
    </row>
    <row r="240" spans="2:6">
      <c r="B240" s="27"/>
      <c r="C240" s="27"/>
      <c r="D240" s="17"/>
      <c r="E240" s="16"/>
    </row>
    <row r="241" spans="2:5">
      <c r="B241" s="27"/>
      <c r="C241" s="27"/>
      <c r="D241" s="17"/>
      <c r="E241" s="16"/>
    </row>
    <row r="242" spans="2:5">
      <c r="B242" s="27"/>
      <c r="C242" s="27"/>
      <c r="D242" s="17"/>
      <c r="E242" s="16"/>
    </row>
    <row r="243" spans="2:5">
      <c r="B243" s="27"/>
      <c r="C243" s="27"/>
      <c r="D243" s="17"/>
      <c r="E243" s="16"/>
    </row>
    <row r="244" spans="2:5">
      <c r="B244" s="27"/>
      <c r="C244" s="27"/>
      <c r="D244" s="17"/>
      <c r="E244" s="16"/>
    </row>
    <row r="245" spans="2:5">
      <c r="B245" s="27"/>
      <c r="C245" s="27"/>
      <c r="D245" s="17"/>
      <c r="E245" s="16"/>
    </row>
    <row r="246" spans="2:5">
      <c r="B246" s="27"/>
      <c r="C246" s="27"/>
      <c r="D246" s="17"/>
      <c r="E246" s="16"/>
    </row>
    <row r="247" spans="2:5">
      <c r="B247" s="27"/>
      <c r="C247" s="27"/>
      <c r="D247" s="17"/>
      <c r="E247" s="16"/>
    </row>
    <row r="248" spans="2:5">
      <c r="B248" s="2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9F44-E23C-3F43-B0F6-0A41652088C0}">
  <sheetPr>
    <pageSetUpPr fitToPage="1"/>
  </sheetPr>
  <dimension ref="A2:M26"/>
  <sheetViews>
    <sheetView zoomScaleNormal="100" workbookViewId="0">
      <pane xSplit="1" ySplit="5" topLeftCell="B6" activePane="bottomRight" state="frozen"/>
      <selection pane="topRight" activeCell="C1" sqref="C1"/>
      <selection pane="bottomLeft" activeCell="A4" sqref="A4"/>
      <selection pane="bottomRight" activeCell="B40" sqref="B40"/>
    </sheetView>
  </sheetViews>
  <sheetFormatPr baseColWidth="10" defaultColWidth="11.5" defaultRowHeight="13"/>
  <cols>
    <col min="1" max="1" width="25.83203125" style="417" customWidth="1"/>
    <col min="2" max="2" width="17.5" style="417" customWidth="1"/>
    <col min="3" max="5" width="15.5" style="417" customWidth="1"/>
    <col min="6" max="7" width="7.1640625" style="417" customWidth="1"/>
    <col min="8" max="8" width="15.5" style="417" customWidth="1"/>
    <col min="9" max="9" width="20.5" style="417" customWidth="1"/>
    <col min="10" max="10" width="2.5" style="417" customWidth="1"/>
    <col min="11" max="11" width="21.5" style="417" customWidth="1"/>
    <col min="12" max="256" width="11.5" style="417"/>
    <col min="257" max="257" width="25.83203125" style="417" customWidth="1"/>
    <col min="258" max="258" width="17.5" style="417" customWidth="1"/>
    <col min="259" max="261" width="15.5" style="417" customWidth="1"/>
    <col min="262" max="263" width="7.1640625" style="417" customWidth="1"/>
    <col min="264" max="264" width="15.5" style="417" customWidth="1"/>
    <col min="265" max="265" width="20.5" style="417" customWidth="1"/>
    <col min="266" max="266" width="2.5" style="417" customWidth="1"/>
    <col min="267" max="267" width="21.5" style="417" customWidth="1"/>
    <col min="268" max="512" width="11.5" style="417"/>
    <col min="513" max="513" width="25.83203125" style="417" customWidth="1"/>
    <col min="514" max="514" width="17.5" style="417" customWidth="1"/>
    <col min="515" max="517" width="15.5" style="417" customWidth="1"/>
    <col min="518" max="519" width="7.1640625" style="417" customWidth="1"/>
    <col min="520" max="520" width="15.5" style="417" customWidth="1"/>
    <col min="521" max="521" width="20.5" style="417" customWidth="1"/>
    <col min="522" max="522" width="2.5" style="417" customWidth="1"/>
    <col min="523" max="523" width="21.5" style="417" customWidth="1"/>
    <col min="524" max="768" width="11.5" style="417"/>
    <col min="769" max="769" width="25.83203125" style="417" customWidth="1"/>
    <col min="770" max="770" width="17.5" style="417" customWidth="1"/>
    <col min="771" max="773" width="15.5" style="417" customWidth="1"/>
    <col min="774" max="775" width="7.1640625" style="417" customWidth="1"/>
    <col min="776" max="776" width="15.5" style="417" customWidth="1"/>
    <col min="777" max="777" width="20.5" style="417" customWidth="1"/>
    <col min="778" max="778" width="2.5" style="417" customWidth="1"/>
    <col min="779" max="779" width="21.5" style="417" customWidth="1"/>
    <col min="780" max="1024" width="11.5" style="417"/>
    <col min="1025" max="1025" width="25.83203125" style="417" customWidth="1"/>
    <col min="1026" max="1026" width="17.5" style="417" customWidth="1"/>
    <col min="1027" max="1029" width="15.5" style="417" customWidth="1"/>
    <col min="1030" max="1031" width="7.1640625" style="417" customWidth="1"/>
    <col min="1032" max="1032" width="15.5" style="417" customWidth="1"/>
    <col min="1033" max="1033" width="20.5" style="417" customWidth="1"/>
    <col min="1034" max="1034" width="2.5" style="417" customWidth="1"/>
    <col min="1035" max="1035" width="21.5" style="417" customWidth="1"/>
    <col min="1036" max="1280" width="11.5" style="417"/>
    <col min="1281" max="1281" width="25.83203125" style="417" customWidth="1"/>
    <col min="1282" max="1282" width="17.5" style="417" customWidth="1"/>
    <col min="1283" max="1285" width="15.5" style="417" customWidth="1"/>
    <col min="1286" max="1287" width="7.1640625" style="417" customWidth="1"/>
    <col min="1288" max="1288" width="15.5" style="417" customWidth="1"/>
    <col min="1289" max="1289" width="20.5" style="417" customWidth="1"/>
    <col min="1290" max="1290" width="2.5" style="417" customWidth="1"/>
    <col min="1291" max="1291" width="21.5" style="417" customWidth="1"/>
    <col min="1292" max="1536" width="11.5" style="417"/>
    <col min="1537" max="1537" width="25.83203125" style="417" customWidth="1"/>
    <col min="1538" max="1538" width="17.5" style="417" customWidth="1"/>
    <col min="1539" max="1541" width="15.5" style="417" customWidth="1"/>
    <col min="1542" max="1543" width="7.1640625" style="417" customWidth="1"/>
    <col min="1544" max="1544" width="15.5" style="417" customWidth="1"/>
    <col min="1545" max="1545" width="20.5" style="417" customWidth="1"/>
    <col min="1546" max="1546" width="2.5" style="417" customWidth="1"/>
    <col min="1547" max="1547" width="21.5" style="417" customWidth="1"/>
    <col min="1548" max="1792" width="11.5" style="417"/>
    <col min="1793" max="1793" width="25.83203125" style="417" customWidth="1"/>
    <col min="1794" max="1794" width="17.5" style="417" customWidth="1"/>
    <col min="1795" max="1797" width="15.5" style="417" customWidth="1"/>
    <col min="1798" max="1799" width="7.1640625" style="417" customWidth="1"/>
    <col min="1800" max="1800" width="15.5" style="417" customWidth="1"/>
    <col min="1801" max="1801" width="20.5" style="417" customWidth="1"/>
    <col min="1802" max="1802" width="2.5" style="417" customWidth="1"/>
    <col min="1803" max="1803" width="21.5" style="417" customWidth="1"/>
    <col min="1804" max="2048" width="11.5" style="417"/>
    <col min="2049" max="2049" width="25.83203125" style="417" customWidth="1"/>
    <col min="2050" max="2050" width="17.5" style="417" customWidth="1"/>
    <col min="2051" max="2053" width="15.5" style="417" customWidth="1"/>
    <col min="2054" max="2055" width="7.1640625" style="417" customWidth="1"/>
    <col min="2056" max="2056" width="15.5" style="417" customWidth="1"/>
    <col min="2057" max="2057" width="20.5" style="417" customWidth="1"/>
    <col min="2058" max="2058" width="2.5" style="417" customWidth="1"/>
    <col min="2059" max="2059" width="21.5" style="417" customWidth="1"/>
    <col min="2060" max="2304" width="11.5" style="417"/>
    <col min="2305" max="2305" width="25.83203125" style="417" customWidth="1"/>
    <col min="2306" max="2306" width="17.5" style="417" customWidth="1"/>
    <col min="2307" max="2309" width="15.5" style="417" customWidth="1"/>
    <col min="2310" max="2311" width="7.1640625" style="417" customWidth="1"/>
    <col min="2312" max="2312" width="15.5" style="417" customWidth="1"/>
    <col min="2313" max="2313" width="20.5" style="417" customWidth="1"/>
    <col min="2314" max="2314" width="2.5" style="417" customWidth="1"/>
    <col min="2315" max="2315" width="21.5" style="417" customWidth="1"/>
    <col min="2316" max="2560" width="11.5" style="417"/>
    <col min="2561" max="2561" width="25.83203125" style="417" customWidth="1"/>
    <col min="2562" max="2562" width="17.5" style="417" customWidth="1"/>
    <col min="2563" max="2565" width="15.5" style="417" customWidth="1"/>
    <col min="2566" max="2567" width="7.1640625" style="417" customWidth="1"/>
    <col min="2568" max="2568" width="15.5" style="417" customWidth="1"/>
    <col min="2569" max="2569" width="20.5" style="417" customWidth="1"/>
    <col min="2570" max="2570" width="2.5" style="417" customWidth="1"/>
    <col min="2571" max="2571" width="21.5" style="417" customWidth="1"/>
    <col min="2572" max="2816" width="11.5" style="417"/>
    <col min="2817" max="2817" width="25.83203125" style="417" customWidth="1"/>
    <col min="2818" max="2818" width="17.5" style="417" customWidth="1"/>
    <col min="2819" max="2821" width="15.5" style="417" customWidth="1"/>
    <col min="2822" max="2823" width="7.1640625" style="417" customWidth="1"/>
    <col min="2824" max="2824" width="15.5" style="417" customWidth="1"/>
    <col min="2825" max="2825" width="20.5" style="417" customWidth="1"/>
    <col min="2826" max="2826" width="2.5" style="417" customWidth="1"/>
    <col min="2827" max="2827" width="21.5" style="417" customWidth="1"/>
    <col min="2828" max="3072" width="11.5" style="417"/>
    <col min="3073" max="3073" width="25.83203125" style="417" customWidth="1"/>
    <col min="3074" max="3074" width="17.5" style="417" customWidth="1"/>
    <col min="3075" max="3077" width="15.5" style="417" customWidth="1"/>
    <col min="3078" max="3079" width="7.1640625" style="417" customWidth="1"/>
    <col min="3080" max="3080" width="15.5" style="417" customWidth="1"/>
    <col min="3081" max="3081" width="20.5" style="417" customWidth="1"/>
    <col min="3082" max="3082" width="2.5" style="417" customWidth="1"/>
    <col min="3083" max="3083" width="21.5" style="417" customWidth="1"/>
    <col min="3084" max="3328" width="11.5" style="417"/>
    <col min="3329" max="3329" width="25.83203125" style="417" customWidth="1"/>
    <col min="3330" max="3330" width="17.5" style="417" customWidth="1"/>
    <col min="3331" max="3333" width="15.5" style="417" customWidth="1"/>
    <col min="3334" max="3335" width="7.1640625" style="417" customWidth="1"/>
    <col min="3336" max="3336" width="15.5" style="417" customWidth="1"/>
    <col min="3337" max="3337" width="20.5" style="417" customWidth="1"/>
    <col min="3338" max="3338" width="2.5" style="417" customWidth="1"/>
    <col min="3339" max="3339" width="21.5" style="417" customWidth="1"/>
    <col min="3340" max="3584" width="11.5" style="417"/>
    <col min="3585" max="3585" width="25.83203125" style="417" customWidth="1"/>
    <col min="3586" max="3586" width="17.5" style="417" customWidth="1"/>
    <col min="3587" max="3589" width="15.5" style="417" customWidth="1"/>
    <col min="3590" max="3591" width="7.1640625" style="417" customWidth="1"/>
    <col min="3592" max="3592" width="15.5" style="417" customWidth="1"/>
    <col min="3593" max="3593" width="20.5" style="417" customWidth="1"/>
    <col min="3594" max="3594" width="2.5" style="417" customWidth="1"/>
    <col min="3595" max="3595" width="21.5" style="417" customWidth="1"/>
    <col min="3596" max="3840" width="11.5" style="417"/>
    <col min="3841" max="3841" width="25.83203125" style="417" customWidth="1"/>
    <col min="3842" max="3842" width="17.5" style="417" customWidth="1"/>
    <col min="3843" max="3845" width="15.5" style="417" customWidth="1"/>
    <col min="3846" max="3847" width="7.1640625" style="417" customWidth="1"/>
    <col min="3848" max="3848" width="15.5" style="417" customWidth="1"/>
    <col min="3849" max="3849" width="20.5" style="417" customWidth="1"/>
    <col min="3850" max="3850" width="2.5" style="417" customWidth="1"/>
    <col min="3851" max="3851" width="21.5" style="417" customWidth="1"/>
    <col min="3852" max="4096" width="11.5" style="417"/>
    <col min="4097" max="4097" width="25.83203125" style="417" customWidth="1"/>
    <col min="4098" max="4098" width="17.5" style="417" customWidth="1"/>
    <col min="4099" max="4101" width="15.5" style="417" customWidth="1"/>
    <col min="4102" max="4103" width="7.1640625" style="417" customWidth="1"/>
    <col min="4104" max="4104" width="15.5" style="417" customWidth="1"/>
    <col min="4105" max="4105" width="20.5" style="417" customWidth="1"/>
    <col min="4106" max="4106" width="2.5" style="417" customWidth="1"/>
    <col min="4107" max="4107" width="21.5" style="417" customWidth="1"/>
    <col min="4108" max="4352" width="11.5" style="417"/>
    <col min="4353" max="4353" width="25.83203125" style="417" customWidth="1"/>
    <col min="4354" max="4354" width="17.5" style="417" customWidth="1"/>
    <col min="4355" max="4357" width="15.5" style="417" customWidth="1"/>
    <col min="4358" max="4359" width="7.1640625" style="417" customWidth="1"/>
    <col min="4360" max="4360" width="15.5" style="417" customWidth="1"/>
    <col min="4361" max="4361" width="20.5" style="417" customWidth="1"/>
    <col min="4362" max="4362" width="2.5" style="417" customWidth="1"/>
    <col min="4363" max="4363" width="21.5" style="417" customWidth="1"/>
    <col min="4364" max="4608" width="11.5" style="417"/>
    <col min="4609" max="4609" width="25.83203125" style="417" customWidth="1"/>
    <col min="4610" max="4610" width="17.5" style="417" customWidth="1"/>
    <col min="4611" max="4613" width="15.5" style="417" customWidth="1"/>
    <col min="4614" max="4615" width="7.1640625" style="417" customWidth="1"/>
    <col min="4616" max="4616" width="15.5" style="417" customWidth="1"/>
    <col min="4617" max="4617" width="20.5" style="417" customWidth="1"/>
    <col min="4618" max="4618" width="2.5" style="417" customWidth="1"/>
    <col min="4619" max="4619" width="21.5" style="417" customWidth="1"/>
    <col min="4620" max="4864" width="11.5" style="417"/>
    <col min="4865" max="4865" width="25.83203125" style="417" customWidth="1"/>
    <col min="4866" max="4866" width="17.5" style="417" customWidth="1"/>
    <col min="4867" max="4869" width="15.5" style="417" customWidth="1"/>
    <col min="4870" max="4871" width="7.1640625" style="417" customWidth="1"/>
    <col min="4872" max="4872" width="15.5" style="417" customWidth="1"/>
    <col min="4873" max="4873" width="20.5" style="417" customWidth="1"/>
    <col min="4874" max="4874" width="2.5" style="417" customWidth="1"/>
    <col min="4875" max="4875" width="21.5" style="417" customWidth="1"/>
    <col min="4876" max="5120" width="11.5" style="417"/>
    <col min="5121" max="5121" width="25.83203125" style="417" customWidth="1"/>
    <col min="5122" max="5122" width="17.5" style="417" customWidth="1"/>
    <col min="5123" max="5125" width="15.5" style="417" customWidth="1"/>
    <col min="5126" max="5127" width="7.1640625" style="417" customWidth="1"/>
    <col min="5128" max="5128" width="15.5" style="417" customWidth="1"/>
    <col min="5129" max="5129" width="20.5" style="417" customWidth="1"/>
    <col min="5130" max="5130" width="2.5" style="417" customWidth="1"/>
    <col min="5131" max="5131" width="21.5" style="417" customWidth="1"/>
    <col min="5132" max="5376" width="11.5" style="417"/>
    <col min="5377" max="5377" width="25.83203125" style="417" customWidth="1"/>
    <col min="5378" max="5378" width="17.5" style="417" customWidth="1"/>
    <col min="5379" max="5381" width="15.5" style="417" customWidth="1"/>
    <col min="5382" max="5383" width="7.1640625" style="417" customWidth="1"/>
    <col min="5384" max="5384" width="15.5" style="417" customWidth="1"/>
    <col min="5385" max="5385" width="20.5" style="417" customWidth="1"/>
    <col min="5386" max="5386" width="2.5" style="417" customWidth="1"/>
    <col min="5387" max="5387" width="21.5" style="417" customWidth="1"/>
    <col min="5388" max="5632" width="11.5" style="417"/>
    <col min="5633" max="5633" width="25.83203125" style="417" customWidth="1"/>
    <col min="5634" max="5634" width="17.5" style="417" customWidth="1"/>
    <col min="5635" max="5637" width="15.5" style="417" customWidth="1"/>
    <col min="5638" max="5639" width="7.1640625" style="417" customWidth="1"/>
    <col min="5640" max="5640" width="15.5" style="417" customWidth="1"/>
    <col min="5641" max="5641" width="20.5" style="417" customWidth="1"/>
    <col min="5642" max="5642" width="2.5" style="417" customWidth="1"/>
    <col min="5643" max="5643" width="21.5" style="417" customWidth="1"/>
    <col min="5644" max="5888" width="11.5" style="417"/>
    <col min="5889" max="5889" width="25.83203125" style="417" customWidth="1"/>
    <col min="5890" max="5890" width="17.5" style="417" customWidth="1"/>
    <col min="5891" max="5893" width="15.5" style="417" customWidth="1"/>
    <col min="5894" max="5895" width="7.1640625" style="417" customWidth="1"/>
    <col min="5896" max="5896" width="15.5" style="417" customWidth="1"/>
    <col min="5897" max="5897" width="20.5" style="417" customWidth="1"/>
    <col min="5898" max="5898" width="2.5" style="417" customWidth="1"/>
    <col min="5899" max="5899" width="21.5" style="417" customWidth="1"/>
    <col min="5900" max="6144" width="11.5" style="417"/>
    <col min="6145" max="6145" width="25.83203125" style="417" customWidth="1"/>
    <col min="6146" max="6146" width="17.5" style="417" customWidth="1"/>
    <col min="6147" max="6149" width="15.5" style="417" customWidth="1"/>
    <col min="6150" max="6151" width="7.1640625" style="417" customWidth="1"/>
    <col min="6152" max="6152" width="15.5" style="417" customWidth="1"/>
    <col min="6153" max="6153" width="20.5" style="417" customWidth="1"/>
    <col min="6154" max="6154" width="2.5" style="417" customWidth="1"/>
    <col min="6155" max="6155" width="21.5" style="417" customWidth="1"/>
    <col min="6156" max="6400" width="11.5" style="417"/>
    <col min="6401" max="6401" width="25.83203125" style="417" customWidth="1"/>
    <col min="6402" max="6402" width="17.5" style="417" customWidth="1"/>
    <col min="6403" max="6405" width="15.5" style="417" customWidth="1"/>
    <col min="6406" max="6407" width="7.1640625" style="417" customWidth="1"/>
    <col min="6408" max="6408" width="15.5" style="417" customWidth="1"/>
    <col min="6409" max="6409" width="20.5" style="417" customWidth="1"/>
    <col min="6410" max="6410" width="2.5" style="417" customWidth="1"/>
    <col min="6411" max="6411" width="21.5" style="417" customWidth="1"/>
    <col min="6412" max="6656" width="11.5" style="417"/>
    <col min="6657" max="6657" width="25.83203125" style="417" customWidth="1"/>
    <col min="6658" max="6658" width="17.5" style="417" customWidth="1"/>
    <col min="6659" max="6661" width="15.5" style="417" customWidth="1"/>
    <col min="6662" max="6663" width="7.1640625" style="417" customWidth="1"/>
    <col min="6664" max="6664" width="15.5" style="417" customWidth="1"/>
    <col min="6665" max="6665" width="20.5" style="417" customWidth="1"/>
    <col min="6666" max="6666" width="2.5" style="417" customWidth="1"/>
    <col min="6667" max="6667" width="21.5" style="417" customWidth="1"/>
    <col min="6668" max="6912" width="11.5" style="417"/>
    <col min="6913" max="6913" width="25.83203125" style="417" customWidth="1"/>
    <col min="6914" max="6914" width="17.5" style="417" customWidth="1"/>
    <col min="6915" max="6917" width="15.5" style="417" customWidth="1"/>
    <col min="6918" max="6919" width="7.1640625" style="417" customWidth="1"/>
    <col min="6920" max="6920" width="15.5" style="417" customWidth="1"/>
    <col min="6921" max="6921" width="20.5" style="417" customWidth="1"/>
    <col min="6922" max="6922" width="2.5" style="417" customWidth="1"/>
    <col min="6923" max="6923" width="21.5" style="417" customWidth="1"/>
    <col min="6924" max="7168" width="11.5" style="417"/>
    <col min="7169" max="7169" width="25.83203125" style="417" customWidth="1"/>
    <col min="7170" max="7170" width="17.5" style="417" customWidth="1"/>
    <col min="7171" max="7173" width="15.5" style="417" customWidth="1"/>
    <col min="7174" max="7175" width="7.1640625" style="417" customWidth="1"/>
    <col min="7176" max="7176" width="15.5" style="417" customWidth="1"/>
    <col min="7177" max="7177" width="20.5" style="417" customWidth="1"/>
    <col min="7178" max="7178" width="2.5" style="417" customWidth="1"/>
    <col min="7179" max="7179" width="21.5" style="417" customWidth="1"/>
    <col min="7180" max="7424" width="11.5" style="417"/>
    <col min="7425" max="7425" width="25.83203125" style="417" customWidth="1"/>
    <col min="7426" max="7426" width="17.5" style="417" customWidth="1"/>
    <col min="7427" max="7429" width="15.5" style="417" customWidth="1"/>
    <col min="7430" max="7431" width="7.1640625" style="417" customWidth="1"/>
    <col min="7432" max="7432" width="15.5" style="417" customWidth="1"/>
    <col min="7433" max="7433" width="20.5" style="417" customWidth="1"/>
    <col min="7434" max="7434" width="2.5" style="417" customWidth="1"/>
    <col min="7435" max="7435" width="21.5" style="417" customWidth="1"/>
    <col min="7436" max="7680" width="11.5" style="417"/>
    <col min="7681" max="7681" width="25.83203125" style="417" customWidth="1"/>
    <col min="7682" max="7682" width="17.5" style="417" customWidth="1"/>
    <col min="7683" max="7685" width="15.5" style="417" customWidth="1"/>
    <col min="7686" max="7687" width="7.1640625" style="417" customWidth="1"/>
    <col min="7688" max="7688" width="15.5" style="417" customWidth="1"/>
    <col min="7689" max="7689" width="20.5" style="417" customWidth="1"/>
    <col min="7690" max="7690" width="2.5" style="417" customWidth="1"/>
    <col min="7691" max="7691" width="21.5" style="417" customWidth="1"/>
    <col min="7692" max="7936" width="11.5" style="417"/>
    <col min="7937" max="7937" width="25.83203125" style="417" customWidth="1"/>
    <col min="7938" max="7938" width="17.5" style="417" customWidth="1"/>
    <col min="7939" max="7941" width="15.5" style="417" customWidth="1"/>
    <col min="7942" max="7943" width="7.1640625" style="417" customWidth="1"/>
    <col min="7944" max="7944" width="15.5" style="417" customWidth="1"/>
    <col min="7945" max="7945" width="20.5" style="417" customWidth="1"/>
    <col min="7946" max="7946" width="2.5" style="417" customWidth="1"/>
    <col min="7947" max="7947" width="21.5" style="417" customWidth="1"/>
    <col min="7948" max="8192" width="11.5" style="417"/>
    <col min="8193" max="8193" width="25.83203125" style="417" customWidth="1"/>
    <col min="8194" max="8194" width="17.5" style="417" customWidth="1"/>
    <col min="8195" max="8197" width="15.5" style="417" customWidth="1"/>
    <col min="8198" max="8199" width="7.1640625" style="417" customWidth="1"/>
    <col min="8200" max="8200" width="15.5" style="417" customWidth="1"/>
    <col min="8201" max="8201" width="20.5" style="417" customWidth="1"/>
    <col min="8202" max="8202" width="2.5" style="417" customWidth="1"/>
    <col min="8203" max="8203" width="21.5" style="417" customWidth="1"/>
    <col min="8204" max="8448" width="11.5" style="417"/>
    <col min="8449" max="8449" width="25.83203125" style="417" customWidth="1"/>
    <col min="8450" max="8450" width="17.5" style="417" customWidth="1"/>
    <col min="8451" max="8453" width="15.5" style="417" customWidth="1"/>
    <col min="8454" max="8455" width="7.1640625" style="417" customWidth="1"/>
    <col min="8456" max="8456" width="15.5" style="417" customWidth="1"/>
    <col min="8457" max="8457" width="20.5" style="417" customWidth="1"/>
    <col min="8458" max="8458" width="2.5" style="417" customWidth="1"/>
    <col min="8459" max="8459" width="21.5" style="417" customWidth="1"/>
    <col min="8460" max="8704" width="11.5" style="417"/>
    <col min="8705" max="8705" width="25.83203125" style="417" customWidth="1"/>
    <col min="8706" max="8706" width="17.5" style="417" customWidth="1"/>
    <col min="8707" max="8709" width="15.5" style="417" customWidth="1"/>
    <col min="8710" max="8711" width="7.1640625" style="417" customWidth="1"/>
    <col min="8712" max="8712" width="15.5" style="417" customWidth="1"/>
    <col min="8713" max="8713" width="20.5" style="417" customWidth="1"/>
    <col min="8714" max="8714" width="2.5" style="417" customWidth="1"/>
    <col min="8715" max="8715" width="21.5" style="417" customWidth="1"/>
    <col min="8716" max="8960" width="11.5" style="417"/>
    <col min="8961" max="8961" width="25.83203125" style="417" customWidth="1"/>
    <col min="8962" max="8962" width="17.5" style="417" customWidth="1"/>
    <col min="8963" max="8965" width="15.5" style="417" customWidth="1"/>
    <col min="8966" max="8967" width="7.1640625" style="417" customWidth="1"/>
    <col min="8968" max="8968" width="15.5" style="417" customWidth="1"/>
    <col min="8969" max="8969" width="20.5" style="417" customWidth="1"/>
    <col min="8970" max="8970" width="2.5" style="417" customWidth="1"/>
    <col min="8971" max="8971" width="21.5" style="417" customWidth="1"/>
    <col min="8972" max="9216" width="11.5" style="417"/>
    <col min="9217" max="9217" width="25.83203125" style="417" customWidth="1"/>
    <col min="9218" max="9218" width="17.5" style="417" customWidth="1"/>
    <col min="9219" max="9221" width="15.5" style="417" customWidth="1"/>
    <col min="9222" max="9223" width="7.1640625" style="417" customWidth="1"/>
    <col min="9224" max="9224" width="15.5" style="417" customWidth="1"/>
    <col min="9225" max="9225" width="20.5" style="417" customWidth="1"/>
    <col min="9226" max="9226" width="2.5" style="417" customWidth="1"/>
    <col min="9227" max="9227" width="21.5" style="417" customWidth="1"/>
    <col min="9228" max="9472" width="11.5" style="417"/>
    <col min="9473" max="9473" width="25.83203125" style="417" customWidth="1"/>
    <col min="9474" max="9474" width="17.5" style="417" customWidth="1"/>
    <col min="9475" max="9477" width="15.5" style="417" customWidth="1"/>
    <col min="9478" max="9479" width="7.1640625" style="417" customWidth="1"/>
    <col min="9480" max="9480" width="15.5" style="417" customWidth="1"/>
    <col min="9481" max="9481" width="20.5" style="417" customWidth="1"/>
    <col min="9482" max="9482" width="2.5" style="417" customWidth="1"/>
    <col min="9483" max="9483" width="21.5" style="417" customWidth="1"/>
    <col min="9484" max="9728" width="11.5" style="417"/>
    <col min="9729" max="9729" width="25.83203125" style="417" customWidth="1"/>
    <col min="9730" max="9730" width="17.5" style="417" customWidth="1"/>
    <col min="9731" max="9733" width="15.5" style="417" customWidth="1"/>
    <col min="9734" max="9735" width="7.1640625" style="417" customWidth="1"/>
    <col min="9736" max="9736" width="15.5" style="417" customWidth="1"/>
    <col min="9737" max="9737" width="20.5" style="417" customWidth="1"/>
    <col min="9738" max="9738" width="2.5" style="417" customWidth="1"/>
    <col min="9739" max="9739" width="21.5" style="417" customWidth="1"/>
    <col min="9740" max="9984" width="11.5" style="417"/>
    <col min="9985" max="9985" width="25.83203125" style="417" customWidth="1"/>
    <col min="9986" max="9986" width="17.5" style="417" customWidth="1"/>
    <col min="9987" max="9989" width="15.5" style="417" customWidth="1"/>
    <col min="9990" max="9991" width="7.1640625" style="417" customWidth="1"/>
    <col min="9992" max="9992" width="15.5" style="417" customWidth="1"/>
    <col min="9993" max="9993" width="20.5" style="417" customWidth="1"/>
    <col min="9994" max="9994" width="2.5" style="417" customWidth="1"/>
    <col min="9995" max="9995" width="21.5" style="417" customWidth="1"/>
    <col min="9996" max="10240" width="11.5" style="417"/>
    <col min="10241" max="10241" width="25.83203125" style="417" customWidth="1"/>
    <col min="10242" max="10242" width="17.5" style="417" customWidth="1"/>
    <col min="10243" max="10245" width="15.5" style="417" customWidth="1"/>
    <col min="10246" max="10247" width="7.1640625" style="417" customWidth="1"/>
    <col min="10248" max="10248" width="15.5" style="417" customWidth="1"/>
    <col min="10249" max="10249" width="20.5" style="417" customWidth="1"/>
    <col min="10250" max="10250" width="2.5" style="417" customWidth="1"/>
    <col min="10251" max="10251" width="21.5" style="417" customWidth="1"/>
    <col min="10252" max="10496" width="11.5" style="417"/>
    <col min="10497" max="10497" width="25.83203125" style="417" customWidth="1"/>
    <col min="10498" max="10498" width="17.5" style="417" customWidth="1"/>
    <col min="10499" max="10501" width="15.5" style="417" customWidth="1"/>
    <col min="10502" max="10503" width="7.1640625" style="417" customWidth="1"/>
    <col min="10504" max="10504" width="15.5" style="417" customWidth="1"/>
    <col min="10505" max="10505" width="20.5" style="417" customWidth="1"/>
    <col min="10506" max="10506" width="2.5" style="417" customWidth="1"/>
    <col min="10507" max="10507" width="21.5" style="417" customWidth="1"/>
    <col min="10508" max="10752" width="11.5" style="417"/>
    <col min="10753" max="10753" width="25.83203125" style="417" customWidth="1"/>
    <col min="10754" max="10754" width="17.5" style="417" customWidth="1"/>
    <col min="10755" max="10757" width="15.5" style="417" customWidth="1"/>
    <col min="10758" max="10759" width="7.1640625" style="417" customWidth="1"/>
    <col min="10760" max="10760" width="15.5" style="417" customWidth="1"/>
    <col min="10761" max="10761" width="20.5" style="417" customWidth="1"/>
    <col min="10762" max="10762" width="2.5" style="417" customWidth="1"/>
    <col min="10763" max="10763" width="21.5" style="417" customWidth="1"/>
    <col min="10764" max="11008" width="11.5" style="417"/>
    <col min="11009" max="11009" width="25.83203125" style="417" customWidth="1"/>
    <col min="11010" max="11010" width="17.5" style="417" customWidth="1"/>
    <col min="11011" max="11013" width="15.5" style="417" customWidth="1"/>
    <col min="11014" max="11015" width="7.1640625" style="417" customWidth="1"/>
    <col min="11016" max="11016" width="15.5" style="417" customWidth="1"/>
    <col min="11017" max="11017" width="20.5" style="417" customWidth="1"/>
    <col min="11018" max="11018" width="2.5" style="417" customWidth="1"/>
    <col min="11019" max="11019" width="21.5" style="417" customWidth="1"/>
    <col min="11020" max="11264" width="11.5" style="417"/>
    <col min="11265" max="11265" width="25.83203125" style="417" customWidth="1"/>
    <col min="11266" max="11266" width="17.5" style="417" customWidth="1"/>
    <col min="11267" max="11269" width="15.5" style="417" customWidth="1"/>
    <col min="11270" max="11271" width="7.1640625" style="417" customWidth="1"/>
    <col min="11272" max="11272" width="15.5" style="417" customWidth="1"/>
    <col min="11273" max="11273" width="20.5" style="417" customWidth="1"/>
    <col min="11274" max="11274" width="2.5" style="417" customWidth="1"/>
    <col min="11275" max="11275" width="21.5" style="417" customWidth="1"/>
    <col min="11276" max="11520" width="11.5" style="417"/>
    <col min="11521" max="11521" width="25.83203125" style="417" customWidth="1"/>
    <col min="11522" max="11522" width="17.5" style="417" customWidth="1"/>
    <col min="11523" max="11525" width="15.5" style="417" customWidth="1"/>
    <col min="11526" max="11527" width="7.1640625" style="417" customWidth="1"/>
    <col min="11528" max="11528" width="15.5" style="417" customWidth="1"/>
    <col min="11529" max="11529" width="20.5" style="417" customWidth="1"/>
    <col min="11530" max="11530" width="2.5" style="417" customWidth="1"/>
    <col min="11531" max="11531" width="21.5" style="417" customWidth="1"/>
    <col min="11532" max="11776" width="11.5" style="417"/>
    <col min="11777" max="11777" width="25.83203125" style="417" customWidth="1"/>
    <col min="11778" max="11778" width="17.5" style="417" customWidth="1"/>
    <col min="11779" max="11781" width="15.5" style="417" customWidth="1"/>
    <col min="11782" max="11783" width="7.1640625" style="417" customWidth="1"/>
    <col min="11784" max="11784" width="15.5" style="417" customWidth="1"/>
    <col min="11785" max="11785" width="20.5" style="417" customWidth="1"/>
    <col min="11786" max="11786" width="2.5" style="417" customWidth="1"/>
    <col min="11787" max="11787" width="21.5" style="417" customWidth="1"/>
    <col min="11788" max="12032" width="11.5" style="417"/>
    <col min="12033" max="12033" width="25.83203125" style="417" customWidth="1"/>
    <col min="12034" max="12034" width="17.5" style="417" customWidth="1"/>
    <col min="12035" max="12037" width="15.5" style="417" customWidth="1"/>
    <col min="12038" max="12039" width="7.1640625" style="417" customWidth="1"/>
    <col min="12040" max="12040" width="15.5" style="417" customWidth="1"/>
    <col min="12041" max="12041" width="20.5" style="417" customWidth="1"/>
    <col min="12042" max="12042" width="2.5" style="417" customWidth="1"/>
    <col min="12043" max="12043" width="21.5" style="417" customWidth="1"/>
    <col min="12044" max="12288" width="11.5" style="417"/>
    <col min="12289" max="12289" width="25.83203125" style="417" customWidth="1"/>
    <col min="12290" max="12290" width="17.5" style="417" customWidth="1"/>
    <col min="12291" max="12293" width="15.5" style="417" customWidth="1"/>
    <col min="12294" max="12295" width="7.1640625" style="417" customWidth="1"/>
    <col min="12296" max="12296" width="15.5" style="417" customWidth="1"/>
    <col min="12297" max="12297" width="20.5" style="417" customWidth="1"/>
    <col min="12298" max="12298" width="2.5" style="417" customWidth="1"/>
    <col min="12299" max="12299" width="21.5" style="417" customWidth="1"/>
    <col min="12300" max="12544" width="11.5" style="417"/>
    <col min="12545" max="12545" width="25.83203125" style="417" customWidth="1"/>
    <col min="12546" max="12546" width="17.5" style="417" customWidth="1"/>
    <col min="12547" max="12549" width="15.5" style="417" customWidth="1"/>
    <col min="12550" max="12551" width="7.1640625" style="417" customWidth="1"/>
    <col min="12552" max="12552" width="15.5" style="417" customWidth="1"/>
    <col min="12553" max="12553" width="20.5" style="417" customWidth="1"/>
    <col min="12554" max="12554" width="2.5" style="417" customWidth="1"/>
    <col min="12555" max="12555" width="21.5" style="417" customWidth="1"/>
    <col min="12556" max="12800" width="11.5" style="417"/>
    <col min="12801" max="12801" width="25.83203125" style="417" customWidth="1"/>
    <col min="12802" max="12802" width="17.5" style="417" customWidth="1"/>
    <col min="12803" max="12805" width="15.5" style="417" customWidth="1"/>
    <col min="12806" max="12807" width="7.1640625" style="417" customWidth="1"/>
    <col min="12808" max="12808" width="15.5" style="417" customWidth="1"/>
    <col min="12809" max="12809" width="20.5" style="417" customWidth="1"/>
    <col min="12810" max="12810" width="2.5" style="417" customWidth="1"/>
    <col min="12811" max="12811" width="21.5" style="417" customWidth="1"/>
    <col min="12812" max="13056" width="11.5" style="417"/>
    <col min="13057" max="13057" width="25.83203125" style="417" customWidth="1"/>
    <col min="13058" max="13058" width="17.5" style="417" customWidth="1"/>
    <col min="13059" max="13061" width="15.5" style="417" customWidth="1"/>
    <col min="13062" max="13063" width="7.1640625" style="417" customWidth="1"/>
    <col min="13064" max="13064" width="15.5" style="417" customWidth="1"/>
    <col min="13065" max="13065" width="20.5" style="417" customWidth="1"/>
    <col min="13066" max="13066" width="2.5" style="417" customWidth="1"/>
    <col min="13067" max="13067" width="21.5" style="417" customWidth="1"/>
    <col min="13068" max="13312" width="11.5" style="417"/>
    <col min="13313" max="13313" width="25.83203125" style="417" customWidth="1"/>
    <col min="13314" max="13314" width="17.5" style="417" customWidth="1"/>
    <col min="13315" max="13317" width="15.5" style="417" customWidth="1"/>
    <col min="13318" max="13319" width="7.1640625" style="417" customWidth="1"/>
    <col min="13320" max="13320" width="15.5" style="417" customWidth="1"/>
    <col min="13321" max="13321" width="20.5" style="417" customWidth="1"/>
    <col min="13322" max="13322" width="2.5" style="417" customWidth="1"/>
    <col min="13323" max="13323" width="21.5" style="417" customWidth="1"/>
    <col min="13324" max="13568" width="11.5" style="417"/>
    <col min="13569" max="13569" width="25.83203125" style="417" customWidth="1"/>
    <col min="13570" max="13570" width="17.5" style="417" customWidth="1"/>
    <col min="13571" max="13573" width="15.5" style="417" customWidth="1"/>
    <col min="13574" max="13575" width="7.1640625" style="417" customWidth="1"/>
    <col min="13576" max="13576" width="15.5" style="417" customWidth="1"/>
    <col min="13577" max="13577" width="20.5" style="417" customWidth="1"/>
    <col min="13578" max="13578" width="2.5" style="417" customWidth="1"/>
    <col min="13579" max="13579" width="21.5" style="417" customWidth="1"/>
    <col min="13580" max="13824" width="11.5" style="417"/>
    <col min="13825" max="13825" width="25.83203125" style="417" customWidth="1"/>
    <col min="13826" max="13826" width="17.5" style="417" customWidth="1"/>
    <col min="13827" max="13829" width="15.5" style="417" customWidth="1"/>
    <col min="13830" max="13831" width="7.1640625" style="417" customWidth="1"/>
    <col min="13832" max="13832" width="15.5" style="417" customWidth="1"/>
    <col min="13833" max="13833" width="20.5" style="417" customWidth="1"/>
    <col min="13834" max="13834" width="2.5" style="417" customWidth="1"/>
    <col min="13835" max="13835" width="21.5" style="417" customWidth="1"/>
    <col min="13836" max="14080" width="11.5" style="417"/>
    <col min="14081" max="14081" width="25.83203125" style="417" customWidth="1"/>
    <col min="14082" max="14082" width="17.5" style="417" customWidth="1"/>
    <col min="14083" max="14085" width="15.5" style="417" customWidth="1"/>
    <col min="14086" max="14087" width="7.1640625" style="417" customWidth="1"/>
    <col min="14088" max="14088" width="15.5" style="417" customWidth="1"/>
    <col min="14089" max="14089" width="20.5" style="417" customWidth="1"/>
    <col min="14090" max="14090" width="2.5" style="417" customWidth="1"/>
    <col min="14091" max="14091" width="21.5" style="417" customWidth="1"/>
    <col min="14092" max="14336" width="11.5" style="417"/>
    <col min="14337" max="14337" width="25.83203125" style="417" customWidth="1"/>
    <col min="14338" max="14338" width="17.5" style="417" customWidth="1"/>
    <col min="14339" max="14341" width="15.5" style="417" customWidth="1"/>
    <col min="14342" max="14343" width="7.1640625" style="417" customWidth="1"/>
    <col min="14344" max="14344" width="15.5" style="417" customWidth="1"/>
    <col min="14345" max="14345" width="20.5" style="417" customWidth="1"/>
    <col min="14346" max="14346" width="2.5" style="417" customWidth="1"/>
    <col min="14347" max="14347" width="21.5" style="417" customWidth="1"/>
    <col min="14348" max="14592" width="11.5" style="417"/>
    <col min="14593" max="14593" width="25.83203125" style="417" customWidth="1"/>
    <col min="14594" max="14594" width="17.5" style="417" customWidth="1"/>
    <col min="14595" max="14597" width="15.5" style="417" customWidth="1"/>
    <col min="14598" max="14599" width="7.1640625" style="417" customWidth="1"/>
    <col min="14600" max="14600" width="15.5" style="417" customWidth="1"/>
    <col min="14601" max="14601" width="20.5" style="417" customWidth="1"/>
    <col min="14602" max="14602" width="2.5" style="417" customWidth="1"/>
    <col min="14603" max="14603" width="21.5" style="417" customWidth="1"/>
    <col min="14604" max="14848" width="11.5" style="417"/>
    <col min="14849" max="14849" width="25.83203125" style="417" customWidth="1"/>
    <col min="14850" max="14850" width="17.5" style="417" customWidth="1"/>
    <col min="14851" max="14853" width="15.5" style="417" customWidth="1"/>
    <col min="14854" max="14855" width="7.1640625" style="417" customWidth="1"/>
    <col min="14856" max="14856" width="15.5" style="417" customWidth="1"/>
    <col min="14857" max="14857" width="20.5" style="417" customWidth="1"/>
    <col min="14858" max="14858" width="2.5" style="417" customWidth="1"/>
    <col min="14859" max="14859" width="21.5" style="417" customWidth="1"/>
    <col min="14860" max="15104" width="11.5" style="417"/>
    <col min="15105" max="15105" width="25.83203125" style="417" customWidth="1"/>
    <col min="15106" max="15106" width="17.5" style="417" customWidth="1"/>
    <col min="15107" max="15109" width="15.5" style="417" customWidth="1"/>
    <col min="15110" max="15111" width="7.1640625" style="417" customWidth="1"/>
    <col min="15112" max="15112" width="15.5" style="417" customWidth="1"/>
    <col min="15113" max="15113" width="20.5" style="417" customWidth="1"/>
    <col min="15114" max="15114" width="2.5" style="417" customWidth="1"/>
    <col min="15115" max="15115" width="21.5" style="417" customWidth="1"/>
    <col min="15116" max="15360" width="11.5" style="417"/>
    <col min="15361" max="15361" width="25.83203125" style="417" customWidth="1"/>
    <col min="15362" max="15362" width="17.5" style="417" customWidth="1"/>
    <col min="15363" max="15365" width="15.5" style="417" customWidth="1"/>
    <col min="15366" max="15367" width="7.1640625" style="417" customWidth="1"/>
    <col min="15368" max="15368" width="15.5" style="417" customWidth="1"/>
    <col min="15369" max="15369" width="20.5" style="417" customWidth="1"/>
    <col min="15370" max="15370" width="2.5" style="417" customWidth="1"/>
    <col min="15371" max="15371" width="21.5" style="417" customWidth="1"/>
    <col min="15372" max="15616" width="11.5" style="417"/>
    <col min="15617" max="15617" width="25.83203125" style="417" customWidth="1"/>
    <col min="15618" max="15618" width="17.5" style="417" customWidth="1"/>
    <col min="15619" max="15621" width="15.5" style="417" customWidth="1"/>
    <col min="15622" max="15623" width="7.1640625" style="417" customWidth="1"/>
    <col min="15624" max="15624" width="15.5" style="417" customWidth="1"/>
    <col min="15625" max="15625" width="20.5" style="417" customWidth="1"/>
    <col min="15626" max="15626" width="2.5" style="417" customWidth="1"/>
    <col min="15627" max="15627" width="21.5" style="417" customWidth="1"/>
    <col min="15628" max="15872" width="11.5" style="417"/>
    <col min="15873" max="15873" width="25.83203125" style="417" customWidth="1"/>
    <col min="15874" max="15874" width="17.5" style="417" customWidth="1"/>
    <col min="15875" max="15877" width="15.5" style="417" customWidth="1"/>
    <col min="15878" max="15879" width="7.1640625" style="417" customWidth="1"/>
    <col min="15880" max="15880" width="15.5" style="417" customWidth="1"/>
    <col min="15881" max="15881" width="20.5" style="417" customWidth="1"/>
    <col min="15882" max="15882" width="2.5" style="417" customWidth="1"/>
    <col min="15883" max="15883" width="21.5" style="417" customWidth="1"/>
    <col min="15884" max="16128" width="11.5" style="417"/>
    <col min="16129" max="16129" width="25.83203125" style="417" customWidth="1"/>
    <col min="16130" max="16130" width="17.5" style="417" customWidth="1"/>
    <col min="16131" max="16133" width="15.5" style="417" customWidth="1"/>
    <col min="16134" max="16135" width="7.1640625" style="417" customWidth="1"/>
    <col min="16136" max="16136" width="15.5" style="417" customWidth="1"/>
    <col min="16137" max="16137" width="20.5" style="417" customWidth="1"/>
    <col min="16138" max="16138" width="2.5" style="417" customWidth="1"/>
    <col min="16139" max="16139" width="21.5" style="417" customWidth="1"/>
    <col min="16140" max="16384" width="11.5" style="417"/>
  </cols>
  <sheetData>
    <row r="2" spans="1:13">
      <c r="A2" s="414" t="s">
        <v>494</v>
      </c>
      <c r="B2" s="415" t="s">
        <v>29</v>
      </c>
      <c r="C2" s="415"/>
      <c r="D2" s="416"/>
    </row>
    <row r="3" spans="1:13">
      <c r="A3" s="414" t="s">
        <v>31</v>
      </c>
      <c r="B3" s="418">
        <v>43101</v>
      </c>
      <c r="C3" s="416"/>
      <c r="D3" s="419"/>
      <c r="H3" s="394"/>
    </row>
    <row r="4" spans="1:13" ht="14" thickBot="1"/>
    <row r="5" spans="1:13">
      <c r="A5" s="420"/>
      <c r="B5" s="421" t="s">
        <v>493</v>
      </c>
      <c r="C5" s="421" t="s">
        <v>492</v>
      </c>
      <c r="D5" s="421" t="s">
        <v>491</v>
      </c>
      <c r="E5" s="421" t="s">
        <v>490</v>
      </c>
      <c r="F5" s="421" t="s">
        <v>489</v>
      </c>
      <c r="G5" s="421" t="s">
        <v>488</v>
      </c>
      <c r="H5" s="421" t="s">
        <v>487</v>
      </c>
      <c r="I5" s="422"/>
      <c r="K5" s="423" t="s">
        <v>486</v>
      </c>
      <c r="L5" s="424" t="s">
        <v>485</v>
      </c>
      <c r="M5" s="417" t="s">
        <v>484</v>
      </c>
    </row>
    <row r="6" spans="1:13">
      <c r="A6" s="425" t="s">
        <v>483</v>
      </c>
      <c r="B6" s="396">
        <f>'[1]Grunnlag alle kalkyler'!C43</f>
        <v>60000</v>
      </c>
      <c r="C6" s="396">
        <f>'[1]Grunnlag alle kalkyler'!C44</f>
        <v>95000</v>
      </c>
      <c r="D6" s="396">
        <f>'[1]Grunnlag alle kalkyler'!C45</f>
        <v>40000</v>
      </c>
      <c r="E6" s="396">
        <f>'[1]Grunnlag alle kalkyler'!C48</f>
        <v>35000</v>
      </c>
      <c r="F6" s="396">
        <f>'[1]Grunnlag alle kalkyler'!C49</f>
        <v>0</v>
      </c>
      <c r="G6" s="396">
        <f>'[1]Grunnlag alle kalkyler'!C50</f>
        <v>0</v>
      </c>
      <c r="H6" s="426">
        <f>SUM(B6:D6)</f>
        <v>195000</v>
      </c>
      <c r="I6" s="427" t="s">
        <v>482</v>
      </c>
      <c r="K6" s="428" t="s">
        <v>481</v>
      </c>
      <c r="L6" s="393">
        <v>23.3</v>
      </c>
    </row>
    <row r="7" spans="1:13">
      <c r="A7" s="425" t="s">
        <v>480</v>
      </c>
      <c r="B7" s="396">
        <f>'[1]Kalkyle bil 1'!C140</f>
        <v>1384.721901684745</v>
      </c>
      <c r="C7" s="396">
        <f>'[1]Kalkyle bil 2'!C140</f>
        <v>2192.4763443341794</v>
      </c>
      <c r="D7" s="396">
        <f>'[1]Kalkyle bil 3'!C140</f>
        <v>923.14793445649673</v>
      </c>
      <c r="E7" s="396"/>
      <c r="F7" s="396"/>
      <c r="G7" s="396"/>
      <c r="H7" s="426">
        <f>SUM(B7:D7)</f>
        <v>4500.3461804754215</v>
      </c>
      <c r="I7" s="427" t="s">
        <v>479</v>
      </c>
      <c r="K7" s="428" t="s">
        <v>478</v>
      </c>
      <c r="L7" s="393">
        <v>23.21</v>
      </c>
    </row>
    <row r="8" spans="1:13">
      <c r="A8" s="425" t="s">
        <v>7</v>
      </c>
      <c r="B8" s="396">
        <f>B6*'[1]Kalkyle bil 1'!C149</f>
        <v>53314.111162382549</v>
      </c>
      <c r="C8" s="396">
        <f>C6*'[1]Kalkyle bil 2'!C149</f>
        <v>66997.740578534285</v>
      </c>
      <c r="D8" s="396">
        <f>D6*'[1]Kalkyle bil 3'!C149</f>
        <v>37258.437881549486</v>
      </c>
      <c r="E8" s="396">
        <f>E6*'[1]Kalkyle henger 1'!C88</f>
        <v>8673.1333333333332</v>
      </c>
      <c r="F8" s="396">
        <f>F6*'[1]Kalkyle henger 2'!C88</f>
        <v>0</v>
      </c>
      <c r="G8" s="396">
        <f>G6*'[1]Kalkyle henger 3'!C88</f>
        <v>0</v>
      </c>
      <c r="H8" s="426">
        <f>SUM(B8:G8)</f>
        <v>166243.42295579964</v>
      </c>
      <c r="I8" s="427" t="s">
        <v>474</v>
      </c>
      <c r="K8" s="428" t="s">
        <v>477</v>
      </c>
      <c r="L8" s="393">
        <v>23.01</v>
      </c>
      <c r="M8" s="417">
        <v>4257754</v>
      </c>
    </row>
    <row r="9" spans="1:13">
      <c r="A9" s="425" t="s">
        <v>114</v>
      </c>
      <c r="B9" s="396">
        <f>B6*'[1]Kalkyle bil 1'!C150</f>
        <v>53314.111162382549</v>
      </c>
      <c r="C9" s="396">
        <f>C6*'[1]Kalkyle bil 2'!C150</f>
        <v>66997.740578534285</v>
      </c>
      <c r="D9" s="396">
        <f>D6*'[1]Kalkyle bil 3'!C150</f>
        <v>37258.437881549486</v>
      </c>
      <c r="E9" s="396">
        <f>E6*'[1]Kalkyle henger 1'!C89</f>
        <v>8673.1333333333332</v>
      </c>
      <c r="F9" s="396">
        <f>F6*'[1]Kalkyle henger 2'!C89</f>
        <v>0</v>
      </c>
      <c r="G9" s="396">
        <f>G6*'[1]Kalkyle henger 3'!C89</f>
        <v>0</v>
      </c>
      <c r="H9" s="426">
        <f>SUM(B9:G9)</f>
        <v>166243.42295579964</v>
      </c>
      <c r="I9" s="427" t="s">
        <v>474</v>
      </c>
      <c r="K9" s="428" t="s">
        <v>476</v>
      </c>
      <c r="L9" s="393">
        <v>21.45</v>
      </c>
    </row>
    <row r="10" spans="1:13">
      <c r="A10" s="425" t="s">
        <v>475</v>
      </c>
      <c r="B10" s="396">
        <f t="shared" ref="B10:G10" si="0">B6*B11</f>
        <v>1439481.0013843286</v>
      </c>
      <c r="C10" s="396">
        <f t="shared" si="0"/>
        <v>1808938.995620426</v>
      </c>
      <c r="D10" s="396">
        <f t="shared" si="0"/>
        <v>1005977.8228018361</v>
      </c>
      <c r="E10" s="396">
        <f t="shared" si="0"/>
        <v>234174.59999999998</v>
      </c>
      <c r="F10" s="396">
        <f t="shared" si="0"/>
        <v>0</v>
      </c>
      <c r="G10" s="396">
        <f t="shared" si="0"/>
        <v>0</v>
      </c>
      <c r="H10" s="426">
        <f>SUM(B10:G10)</f>
        <v>4488572.4198065903</v>
      </c>
      <c r="I10" s="427" t="s">
        <v>474</v>
      </c>
      <c r="K10" s="428" t="s">
        <v>473</v>
      </c>
      <c r="L10" s="393">
        <v>21.42</v>
      </c>
    </row>
    <row r="11" spans="1:13" ht="14" thickBot="1">
      <c r="A11" s="429" t="s">
        <v>472</v>
      </c>
      <c r="B11" s="395">
        <f>'[1]Kalkyle bil 1'!C152</f>
        <v>23.991350023072144</v>
      </c>
      <c r="C11" s="395">
        <f>'[1]Kalkyle bil 2'!C152</f>
        <v>19.041463111793959</v>
      </c>
      <c r="D11" s="395">
        <f>'[1]Kalkyle bil 3'!C152</f>
        <v>25.149445570045902</v>
      </c>
      <c r="E11" s="395">
        <f>'[1]Kalkyle henger 1'!C91</f>
        <v>6.6907028571428562</v>
      </c>
      <c r="F11" s="395">
        <f>'[1]Kalkyle henger 2'!C91</f>
        <v>0</v>
      </c>
      <c r="G11" s="395">
        <f>'[1]Kalkyle henger 3'!C91</f>
        <v>0</v>
      </c>
      <c r="H11" s="395">
        <f>H10/H6</f>
        <v>23.018320101572257</v>
      </c>
      <c r="I11" s="430" t="s">
        <v>471</v>
      </c>
      <c r="K11" s="428" t="s">
        <v>470</v>
      </c>
      <c r="L11" s="393">
        <v>21.52</v>
      </c>
    </row>
    <row r="12" spans="1:13">
      <c r="K12" s="428" t="s">
        <v>469</v>
      </c>
      <c r="L12" s="393">
        <v>21.75</v>
      </c>
    </row>
    <row r="13" spans="1:13">
      <c r="K13" s="428" t="s">
        <v>468</v>
      </c>
      <c r="L13" s="393">
        <v>21.71</v>
      </c>
    </row>
    <row r="14" spans="1:13">
      <c r="H14" s="431"/>
      <c r="K14" s="428" t="s">
        <v>467</v>
      </c>
      <c r="L14" s="393">
        <v>22.26</v>
      </c>
    </row>
    <row r="15" spans="1:13">
      <c r="K15" s="428" t="s">
        <v>466</v>
      </c>
      <c r="L15" s="393">
        <v>23.36</v>
      </c>
    </row>
    <row r="16" spans="1:13">
      <c r="K16" s="428" t="s">
        <v>465</v>
      </c>
      <c r="L16" s="393">
        <v>22.79</v>
      </c>
    </row>
    <row r="17" spans="2:13">
      <c r="B17" s="394"/>
      <c r="H17" s="432"/>
      <c r="K17" s="428" t="s">
        <v>464</v>
      </c>
      <c r="L17" s="393">
        <v>22.73</v>
      </c>
      <c r="M17" s="417" t="s">
        <v>463</v>
      </c>
    </row>
    <row r="18" spans="2:13">
      <c r="B18" s="394"/>
      <c r="K18" s="428" t="s">
        <v>462</v>
      </c>
      <c r="L18" s="393">
        <v>22.83</v>
      </c>
      <c r="M18" s="417" t="s">
        <v>461</v>
      </c>
    </row>
    <row r="19" spans="2:13">
      <c r="B19" s="431"/>
      <c r="H19" s="431"/>
      <c r="K19" s="417" t="s">
        <v>460</v>
      </c>
      <c r="L19" s="417">
        <v>23.07</v>
      </c>
    </row>
    <row r="20" spans="2:13">
      <c r="H20" s="432"/>
      <c r="K20" s="428" t="s">
        <v>459</v>
      </c>
      <c r="L20" s="393">
        <v>23.37</v>
      </c>
    </row>
    <row r="21" spans="2:13">
      <c r="I21" s="433"/>
      <c r="K21" s="428" t="s">
        <v>458</v>
      </c>
      <c r="L21" s="393">
        <v>22.84</v>
      </c>
    </row>
    <row r="22" spans="2:13">
      <c r="K22" s="428" t="s">
        <v>457</v>
      </c>
      <c r="L22" s="393">
        <v>22.66</v>
      </c>
    </row>
    <row r="23" spans="2:13">
      <c r="K23" s="428" t="s">
        <v>456</v>
      </c>
      <c r="L23" s="393">
        <v>22.87</v>
      </c>
    </row>
    <row r="24" spans="2:13">
      <c r="K24" s="428" t="s">
        <v>455</v>
      </c>
      <c r="L24" s="393">
        <v>23.05</v>
      </c>
    </row>
    <row r="25" spans="2:13">
      <c r="K25" s="428" t="s">
        <v>454</v>
      </c>
      <c r="L25" s="393">
        <v>23.27</v>
      </c>
    </row>
    <row r="26" spans="2:13">
      <c r="K26" s="428" t="s">
        <v>453</v>
      </c>
      <c r="L26" s="393">
        <v>23.02</v>
      </c>
    </row>
  </sheetData>
  <pageMargins left="0.70866141732283472" right="0.70866141732283472" top="0.74803149606299213" bottom="0.74803149606299213" header="0.31496062992125984" footer="0.31496062992125984"/>
  <pageSetup paperSize="9" scale="74" orientation="landscape" verticalDpi="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A2703-8D49-EE4C-9B4E-CDC410F4CC85}">
  <sheetPr>
    <pageSetUpPr fitToPage="1"/>
  </sheetPr>
  <dimension ref="A1:Q152"/>
  <sheetViews>
    <sheetView zoomScale="140" zoomScaleNormal="140" workbookViewId="0">
      <pane ySplit="7" topLeftCell="A121" activePane="bottomLeft" state="frozen"/>
      <selection activeCell="C1" sqref="C1"/>
      <selection pane="bottomLeft" activeCell="H132" sqref="H132"/>
    </sheetView>
  </sheetViews>
  <sheetFormatPr baseColWidth="10" defaultColWidth="11.5" defaultRowHeight="16"/>
  <cols>
    <col min="1" max="1" width="11.5" style="434"/>
    <col min="2" max="2" width="39" style="434" customWidth="1"/>
    <col min="3" max="3" width="23.83203125" style="434" customWidth="1"/>
    <col min="4" max="4" width="10.1640625" style="434" customWidth="1"/>
    <col min="5" max="5" width="19.5" style="434" customWidth="1"/>
    <col min="6" max="6" width="17" style="434" bestFit="1" customWidth="1"/>
    <col min="7" max="7" width="14.1640625" style="434" bestFit="1" customWidth="1"/>
    <col min="8" max="8" width="11.5" style="434"/>
    <col min="9" max="9" width="44.1640625" style="434" bestFit="1" customWidth="1"/>
    <col min="10" max="15" width="11.5" style="434"/>
    <col min="16" max="16" width="12.1640625" style="434" bestFit="1" customWidth="1"/>
    <col min="17" max="257" width="11.5" style="434"/>
    <col min="258" max="258" width="39" style="434" customWidth="1"/>
    <col min="259" max="259" width="23.83203125" style="434" customWidth="1"/>
    <col min="260" max="260" width="10.1640625" style="434" customWidth="1"/>
    <col min="261" max="261" width="19.5" style="434" customWidth="1"/>
    <col min="262" max="262" width="17" style="434" bestFit="1" customWidth="1"/>
    <col min="263" max="263" width="14.1640625" style="434" bestFit="1" customWidth="1"/>
    <col min="264" max="264" width="11.5" style="434"/>
    <col min="265" max="265" width="44.1640625" style="434" bestFit="1" customWidth="1"/>
    <col min="266" max="271" width="11.5" style="434"/>
    <col min="272" max="272" width="12.1640625" style="434" bestFit="1" customWidth="1"/>
    <col min="273" max="513" width="11.5" style="434"/>
    <col min="514" max="514" width="39" style="434" customWidth="1"/>
    <col min="515" max="515" width="23.83203125" style="434" customWidth="1"/>
    <col min="516" max="516" width="10.1640625" style="434" customWidth="1"/>
    <col min="517" max="517" width="19.5" style="434" customWidth="1"/>
    <col min="518" max="518" width="17" style="434" bestFit="1" customWidth="1"/>
    <col min="519" max="519" width="14.1640625" style="434" bestFit="1" customWidth="1"/>
    <col min="520" max="520" width="11.5" style="434"/>
    <col min="521" max="521" width="44.1640625" style="434" bestFit="1" customWidth="1"/>
    <col min="522" max="527" width="11.5" style="434"/>
    <col min="528" max="528" width="12.1640625" style="434" bestFit="1" customWidth="1"/>
    <col min="529" max="769" width="11.5" style="434"/>
    <col min="770" max="770" width="39" style="434" customWidth="1"/>
    <col min="771" max="771" width="23.83203125" style="434" customWidth="1"/>
    <col min="772" max="772" width="10.1640625" style="434" customWidth="1"/>
    <col min="773" max="773" width="19.5" style="434" customWidth="1"/>
    <col min="774" max="774" width="17" style="434" bestFit="1" customWidth="1"/>
    <col min="775" max="775" width="14.1640625" style="434" bestFit="1" customWidth="1"/>
    <col min="776" max="776" width="11.5" style="434"/>
    <col min="777" max="777" width="44.1640625" style="434" bestFit="1" customWidth="1"/>
    <col min="778" max="783" width="11.5" style="434"/>
    <col min="784" max="784" width="12.1640625" style="434" bestFit="1" customWidth="1"/>
    <col min="785" max="1025" width="11.5" style="434"/>
    <col min="1026" max="1026" width="39" style="434" customWidth="1"/>
    <col min="1027" max="1027" width="23.83203125" style="434" customWidth="1"/>
    <col min="1028" max="1028" width="10.1640625" style="434" customWidth="1"/>
    <col min="1029" max="1029" width="19.5" style="434" customWidth="1"/>
    <col min="1030" max="1030" width="17" style="434" bestFit="1" customWidth="1"/>
    <col min="1031" max="1031" width="14.1640625" style="434" bestFit="1" customWidth="1"/>
    <col min="1032" max="1032" width="11.5" style="434"/>
    <col min="1033" max="1033" width="44.1640625" style="434" bestFit="1" customWidth="1"/>
    <col min="1034" max="1039" width="11.5" style="434"/>
    <col min="1040" max="1040" width="12.1640625" style="434" bestFit="1" customWidth="1"/>
    <col min="1041" max="1281" width="11.5" style="434"/>
    <col min="1282" max="1282" width="39" style="434" customWidth="1"/>
    <col min="1283" max="1283" width="23.83203125" style="434" customWidth="1"/>
    <col min="1284" max="1284" width="10.1640625" style="434" customWidth="1"/>
    <col min="1285" max="1285" width="19.5" style="434" customWidth="1"/>
    <col min="1286" max="1286" width="17" style="434" bestFit="1" customWidth="1"/>
    <col min="1287" max="1287" width="14.1640625" style="434" bestFit="1" customWidth="1"/>
    <col min="1288" max="1288" width="11.5" style="434"/>
    <col min="1289" max="1289" width="44.1640625" style="434" bestFit="1" customWidth="1"/>
    <col min="1290" max="1295" width="11.5" style="434"/>
    <col min="1296" max="1296" width="12.1640625" style="434" bestFit="1" customWidth="1"/>
    <col min="1297" max="1537" width="11.5" style="434"/>
    <col min="1538" max="1538" width="39" style="434" customWidth="1"/>
    <col min="1539" max="1539" width="23.83203125" style="434" customWidth="1"/>
    <col min="1540" max="1540" width="10.1640625" style="434" customWidth="1"/>
    <col min="1541" max="1541" width="19.5" style="434" customWidth="1"/>
    <col min="1542" max="1542" width="17" style="434" bestFit="1" customWidth="1"/>
    <col min="1543" max="1543" width="14.1640625" style="434" bestFit="1" customWidth="1"/>
    <col min="1544" max="1544" width="11.5" style="434"/>
    <col min="1545" max="1545" width="44.1640625" style="434" bestFit="1" customWidth="1"/>
    <col min="1546" max="1551" width="11.5" style="434"/>
    <col min="1552" max="1552" width="12.1640625" style="434" bestFit="1" customWidth="1"/>
    <col min="1553" max="1793" width="11.5" style="434"/>
    <col min="1794" max="1794" width="39" style="434" customWidth="1"/>
    <col min="1795" max="1795" width="23.83203125" style="434" customWidth="1"/>
    <col min="1796" max="1796" width="10.1640625" style="434" customWidth="1"/>
    <col min="1797" max="1797" width="19.5" style="434" customWidth="1"/>
    <col min="1798" max="1798" width="17" style="434" bestFit="1" customWidth="1"/>
    <col min="1799" max="1799" width="14.1640625" style="434" bestFit="1" customWidth="1"/>
    <col min="1800" max="1800" width="11.5" style="434"/>
    <col min="1801" max="1801" width="44.1640625" style="434" bestFit="1" customWidth="1"/>
    <col min="1802" max="1807" width="11.5" style="434"/>
    <col min="1808" max="1808" width="12.1640625" style="434" bestFit="1" customWidth="1"/>
    <col min="1809" max="2049" width="11.5" style="434"/>
    <col min="2050" max="2050" width="39" style="434" customWidth="1"/>
    <col min="2051" max="2051" width="23.83203125" style="434" customWidth="1"/>
    <col min="2052" max="2052" width="10.1640625" style="434" customWidth="1"/>
    <col min="2053" max="2053" width="19.5" style="434" customWidth="1"/>
    <col min="2054" max="2054" width="17" style="434" bestFit="1" customWidth="1"/>
    <col min="2055" max="2055" width="14.1640625" style="434" bestFit="1" customWidth="1"/>
    <col min="2056" max="2056" width="11.5" style="434"/>
    <col min="2057" max="2057" width="44.1640625" style="434" bestFit="1" customWidth="1"/>
    <col min="2058" max="2063" width="11.5" style="434"/>
    <col min="2064" max="2064" width="12.1640625" style="434" bestFit="1" customWidth="1"/>
    <col min="2065" max="2305" width="11.5" style="434"/>
    <col min="2306" max="2306" width="39" style="434" customWidth="1"/>
    <col min="2307" max="2307" width="23.83203125" style="434" customWidth="1"/>
    <col min="2308" max="2308" width="10.1640625" style="434" customWidth="1"/>
    <col min="2309" max="2309" width="19.5" style="434" customWidth="1"/>
    <col min="2310" max="2310" width="17" style="434" bestFit="1" customWidth="1"/>
    <col min="2311" max="2311" width="14.1640625" style="434" bestFit="1" customWidth="1"/>
    <col min="2312" max="2312" width="11.5" style="434"/>
    <col min="2313" max="2313" width="44.1640625" style="434" bestFit="1" customWidth="1"/>
    <col min="2314" max="2319" width="11.5" style="434"/>
    <col min="2320" max="2320" width="12.1640625" style="434" bestFit="1" customWidth="1"/>
    <col min="2321" max="2561" width="11.5" style="434"/>
    <col min="2562" max="2562" width="39" style="434" customWidth="1"/>
    <col min="2563" max="2563" width="23.83203125" style="434" customWidth="1"/>
    <col min="2564" max="2564" width="10.1640625" style="434" customWidth="1"/>
    <col min="2565" max="2565" width="19.5" style="434" customWidth="1"/>
    <col min="2566" max="2566" width="17" style="434" bestFit="1" customWidth="1"/>
    <col min="2567" max="2567" width="14.1640625" style="434" bestFit="1" customWidth="1"/>
    <col min="2568" max="2568" width="11.5" style="434"/>
    <col min="2569" max="2569" width="44.1640625" style="434" bestFit="1" customWidth="1"/>
    <col min="2570" max="2575" width="11.5" style="434"/>
    <col min="2576" max="2576" width="12.1640625" style="434" bestFit="1" customWidth="1"/>
    <col min="2577" max="2817" width="11.5" style="434"/>
    <col min="2818" max="2818" width="39" style="434" customWidth="1"/>
    <col min="2819" max="2819" width="23.83203125" style="434" customWidth="1"/>
    <col min="2820" max="2820" width="10.1640625" style="434" customWidth="1"/>
    <col min="2821" max="2821" width="19.5" style="434" customWidth="1"/>
    <col min="2822" max="2822" width="17" style="434" bestFit="1" customWidth="1"/>
    <col min="2823" max="2823" width="14.1640625" style="434" bestFit="1" customWidth="1"/>
    <col min="2824" max="2824" width="11.5" style="434"/>
    <col min="2825" max="2825" width="44.1640625" style="434" bestFit="1" customWidth="1"/>
    <col min="2826" max="2831" width="11.5" style="434"/>
    <col min="2832" max="2832" width="12.1640625" style="434" bestFit="1" customWidth="1"/>
    <col min="2833" max="3073" width="11.5" style="434"/>
    <col min="3074" max="3074" width="39" style="434" customWidth="1"/>
    <col min="3075" max="3075" width="23.83203125" style="434" customWidth="1"/>
    <col min="3076" max="3076" width="10.1640625" style="434" customWidth="1"/>
    <col min="3077" max="3077" width="19.5" style="434" customWidth="1"/>
    <col min="3078" max="3078" width="17" style="434" bestFit="1" customWidth="1"/>
    <col min="3079" max="3079" width="14.1640625" style="434" bestFit="1" customWidth="1"/>
    <col min="3080" max="3080" width="11.5" style="434"/>
    <col min="3081" max="3081" width="44.1640625" style="434" bestFit="1" customWidth="1"/>
    <col min="3082" max="3087" width="11.5" style="434"/>
    <col min="3088" max="3088" width="12.1640625" style="434" bestFit="1" customWidth="1"/>
    <col min="3089" max="3329" width="11.5" style="434"/>
    <col min="3330" max="3330" width="39" style="434" customWidth="1"/>
    <col min="3331" max="3331" width="23.83203125" style="434" customWidth="1"/>
    <col min="3332" max="3332" width="10.1640625" style="434" customWidth="1"/>
    <col min="3333" max="3333" width="19.5" style="434" customWidth="1"/>
    <col min="3334" max="3334" width="17" style="434" bestFit="1" customWidth="1"/>
    <col min="3335" max="3335" width="14.1640625" style="434" bestFit="1" customWidth="1"/>
    <col min="3336" max="3336" width="11.5" style="434"/>
    <col min="3337" max="3337" width="44.1640625" style="434" bestFit="1" customWidth="1"/>
    <col min="3338" max="3343" width="11.5" style="434"/>
    <col min="3344" max="3344" width="12.1640625" style="434" bestFit="1" customWidth="1"/>
    <col min="3345" max="3585" width="11.5" style="434"/>
    <col min="3586" max="3586" width="39" style="434" customWidth="1"/>
    <col min="3587" max="3587" width="23.83203125" style="434" customWidth="1"/>
    <col min="3588" max="3588" width="10.1640625" style="434" customWidth="1"/>
    <col min="3589" max="3589" width="19.5" style="434" customWidth="1"/>
    <col min="3590" max="3590" width="17" style="434" bestFit="1" customWidth="1"/>
    <col min="3591" max="3591" width="14.1640625" style="434" bestFit="1" customWidth="1"/>
    <col min="3592" max="3592" width="11.5" style="434"/>
    <col min="3593" max="3593" width="44.1640625" style="434" bestFit="1" customWidth="1"/>
    <col min="3594" max="3599" width="11.5" style="434"/>
    <col min="3600" max="3600" width="12.1640625" style="434" bestFit="1" customWidth="1"/>
    <col min="3601" max="3841" width="11.5" style="434"/>
    <col min="3842" max="3842" width="39" style="434" customWidth="1"/>
    <col min="3843" max="3843" width="23.83203125" style="434" customWidth="1"/>
    <col min="3844" max="3844" width="10.1640625" style="434" customWidth="1"/>
    <col min="3845" max="3845" width="19.5" style="434" customWidth="1"/>
    <col min="3846" max="3846" width="17" style="434" bestFit="1" customWidth="1"/>
    <col min="3847" max="3847" width="14.1640625" style="434" bestFit="1" customWidth="1"/>
    <col min="3848" max="3848" width="11.5" style="434"/>
    <col min="3849" max="3849" width="44.1640625" style="434" bestFit="1" customWidth="1"/>
    <col min="3850" max="3855" width="11.5" style="434"/>
    <col min="3856" max="3856" width="12.1640625" style="434" bestFit="1" customWidth="1"/>
    <col min="3857" max="4097" width="11.5" style="434"/>
    <col min="4098" max="4098" width="39" style="434" customWidth="1"/>
    <col min="4099" max="4099" width="23.83203125" style="434" customWidth="1"/>
    <col min="4100" max="4100" width="10.1640625" style="434" customWidth="1"/>
    <col min="4101" max="4101" width="19.5" style="434" customWidth="1"/>
    <col min="4102" max="4102" width="17" style="434" bestFit="1" customWidth="1"/>
    <col min="4103" max="4103" width="14.1640625" style="434" bestFit="1" customWidth="1"/>
    <col min="4104" max="4104" width="11.5" style="434"/>
    <col min="4105" max="4105" width="44.1640625" style="434" bestFit="1" customWidth="1"/>
    <col min="4106" max="4111" width="11.5" style="434"/>
    <col min="4112" max="4112" width="12.1640625" style="434" bestFit="1" customWidth="1"/>
    <col min="4113" max="4353" width="11.5" style="434"/>
    <col min="4354" max="4354" width="39" style="434" customWidth="1"/>
    <col min="4355" max="4355" width="23.83203125" style="434" customWidth="1"/>
    <col min="4356" max="4356" width="10.1640625" style="434" customWidth="1"/>
    <col min="4357" max="4357" width="19.5" style="434" customWidth="1"/>
    <col min="4358" max="4358" width="17" style="434" bestFit="1" customWidth="1"/>
    <col min="4359" max="4359" width="14.1640625" style="434" bestFit="1" customWidth="1"/>
    <col min="4360" max="4360" width="11.5" style="434"/>
    <col min="4361" max="4361" width="44.1640625" style="434" bestFit="1" customWidth="1"/>
    <col min="4362" max="4367" width="11.5" style="434"/>
    <col min="4368" max="4368" width="12.1640625" style="434" bestFit="1" customWidth="1"/>
    <col min="4369" max="4609" width="11.5" style="434"/>
    <col min="4610" max="4610" width="39" style="434" customWidth="1"/>
    <col min="4611" max="4611" width="23.83203125" style="434" customWidth="1"/>
    <col min="4612" max="4612" width="10.1640625" style="434" customWidth="1"/>
    <col min="4613" max="4613" width="19.5" style="434" customWidth="1"/>
    <col min="4614" max="4614" width="17" style="434" bestFit="1" customWidth="1"/>
    <col min="4615" max="4615" width="14.1640625" style="434" bestFit="1" customWidth="1"/>
    <col min="4616" max="4616" width="11.5" style="434"/>
    <col min="4617" max="4617" width="44.1640625" style="434" bestFit="1" customWidth="1"/>
    <col min="4618" max="4623" width="11.5" style="434"/>
    <col min="4624" max="4624" width="12.1640625" style="434" bestFit="1" customWidth="1"/>
    <col min="4625" max="4865" width="11.5" style="434"/>
    <col min="4866" max="4866" width="39" style="434" customWidth="1"/>
    <col min="4867" max="4867" width="23.83203125" style="434" customWidth="1"/>
    <col min="4868" max="4868" width="10.1640625" style="434" customWidth="1"/>
    <col min="4869" max="4869" width="19.5" style="434" customWidth="1"/>
    <col min="4870" max="4870" width="17" style="434" bestFit="1" customWidth="1"/>
    <col min="4871" max="4871" width="14.1640625" style="434" bestFit="1" customWidth="1"/>
    <col min="4872" max="4872" width="11.5" style="434"/>
    <col min="4873" max="4873" width="44.1640625" style="434" bestFit="1" customWidth="1"/>
    <col min="4874" max="4879" width="11.5" style="434"/>
    <col min="4880" max="4880" width="12.1640625" style="434" bestFit="1" customWidth="1"/>
    <col min="4881" max="5121" width="11.5" style="434"/>
    <col min="5122" max="5122" width="39" style="434" customWidth="1"/>
    <col min="5123" max="5123" width="23.83203125" style="434" customWidth="1"/>
    <col min="5124" max="5124" width="10.1640625" style="434" customWidth="1"/>
    <col min="5125" max="5125" width="19.5" style="434" customWidth="1"/>
    <col min="5126" max="5126" width="17" style="434" bestFit="1" customWidth="1"/>
    <col min="5127" max="5127" width="14.1640625" style="434" bestFit="1" customWidth="1"/>
    <col min="5128" max="5128" width="11.5" style="434"/>
    <col min="5129" max="5129" width="44.1640625" style="434" bestFit="1" customWidth="1"/>
    <col min="5130" max="5135" width="11.5" style="434"/>
    <col min="5136" max="5136" width="12.1640625" style="434" bestFit="1" customWidth="1"/>
    <col min="5137" max="5377" width="11.5" style="434"/>
    <col min="5378" max="5378" width="39" style="434" customWidth="1"/>
    <col min="5379" max="5379" width="23.83203125" style="434" customWidth="1"/>
    <col min="5380" max="5380" width="10.1640625" style="434" customWidth="1"/>
    <col min="5381" max="5381" width="19.5" style="434" customWidth="1"/>
    <col min="5382" max="5382" width="17" style="434" bestFit="1" customWidth="1"/>
    <col min="5383" max="5383" width="14.1640625" style="434" bestFit="1" customWidth="1"/>
    <col min="5384" max="5384" width="11.5" style="434"/>
    <col min="5385" max="5385" width="44.1640625" style="434" bestFit="1" customWidth="1"/>
    <col min="5386" max="5391" width="11.5" style="434"/>
    <col min="5392" max="5392" width="12.1640625" style="434" bestFit="1" customWidth="1"/>
    <col min="5393" max="5633" width="11.5" style="434"/>
    <col min="5634" max="5634" width="39" style="434" customWidth="1"/>
    <col min="5635" max="5635" width="23.83203125" style="434" customWidth="1"/>
    <col min="5636" max="5636" width="10.1640625" style="434" customWidth="1"/>
    <col min="5637" max="5637" width="19.5" style="434" customWidth="1"/>
    <col min="5638" max="5638" width="17" style="434" bestFit="1" customWidth="1"/>
    <col min="5639" max="5639" width="14.1640625" style="434" bestFit="1" customWidth="1"/>
    <col min="5640" max="5640" width="11.5" style="434"/>
    <col min="5641" max="5641" width="44.1640625" style="434" bestFit="1" customWidth="1"/>
    <col min="5642" max="5647" width="11.5" style="434"/>
    <col min="5648" max="5648" width="12.1640625" style="434" bestFit="1" customWidth="1"/>
    <col min="5649" max="5889" width="11.5" style="434"/>
    <col min="5890" max="5890" width="39" style="434" customWidth="1"/>
    <col min="5891" max="5891" width="23.83203125" style="434" customWidth="1"/>
    <col min="5892" max="5892" width="10.1640625" style="434" customWidth="1"/>
    <col min="5893" max="5893" width="19.5" style="434" customWidth="1"/>
    <col min="5894" max="5894" width="17" style="434" bestFit="1" customWidth="1"/>
    <col min="5895" max="5895" width="14.1640625" style="434" bestFit="1" customWidth="1"/>
    <col min="5896" max="5896" width="11.5" style="434"/>
    <col min="5897" max="5897" width="44.1640625" style="434" bestFit="1" customWidth="1"/>
    <col min="5898" max="5903" width="11.5" style="434"/>
    <col min="5904" max="5904" width="12.1640625" style="434" bestFit="1" customWidth="1"/>
    <col min="5905" max="6145" width="11.5" style="434"/>
    <col min="6146" max="6146" width="39" style="434" customWidth="1"/>
    <col min="6147" max="6147" width="23.83203125" style="434" customWidth="1"/>
    <col min="6148" max="6148" width="10.1640625" style="434" customWidth="1"/>
    <col min="6149" max="6149" width="19.5" style="434" customWidth="1"/>
    <col min="6150" max="6150" width="17" style="434" bestFit="1" customWidth="1"/>
    <col min="6151" max="6151" width="14.1640625" style="434" bestFit="1" customWidth="1"/>
    <col min="6152" max="6152" width="11.5" style="434"/>
    <col min="6153" max="6153" width="44.1640625" style="434" bestFit="1" customWidth="1"/>
    <col min="6154" max="6159" width="11.5" style="434"/>
    <col min="6160" max="6160" width="12.1640625" style="434" bestFit="1" customWidth="1"/>
    <col min="6161" max="6401" width="11.5" style="434"/>
    <col min="6402" max="6402" width="39" style="434" customWidth="1"/>
    <col min="6403" max="6403" width="23.83203125" style="434" customWidth="1"/>
    <col min="6404" max="6404" width="10.1640625" style="434" customWidth="1"/>
    <col min="6405" max="6405" width="19.5" style="434" customWidth="1"/>
    <col min="6406" max="6406" width="17" style="434" bestFit="1" customWidth="1"/>
    <col min="6407" max="6407" width="14.1640625" style="434" bestFit="1" customWidth="1"/>
    <col min="6408" max="6408" width="11.5" style="434"/>
    <col min="6409" max="6409" width="44.1640625" style="434" bestFit="1" customWidth="1"/>
    <col min="6410" max="6415" width="11.5" style="434"/>
    <col min="6416" max="6416" width="12.1640625" style="434" bestFit="1" customWidth="1"/>
    <col min="6417" max="6657" width="11.5" style="434"/>
    <col min="6658" max="6658" width="39" style="434" customWidth="1"/>
    <col min="6659" max="6659" width="23.83203125" style="434" customWidth="1"/>
    <col min="6660" max="6660" width="10.1640625" style="434" customWidth="1"/>
    <col min="6661" max="6661" width="19.5" style="434" customWidth="1"/>
    <col min="6662" max="6662" width="17" style="434" bestFit="1" customWidth="1"/>
    <col min="6663" max="6663" width="14.1640625" style="434" bestFit="1" customWidth="1"/>
    <col min="6664" max="6664" width="11.5" style="434"/>
    <col min="6665" max="6665" width="44.1640625" style="434" bestFit="1" customWidth="1"/>
    <col min="6666" max="6671" width="11.5" style="434"/>
    <col min="6672" max="6672" width="12.1640625" style="434" bestFit="1" customWidth="1"/>
    <col min="6673" max="6913" width="11.5" style="434"/>
    <col min="6914" max="6914" width="39" style="434" customWidth="1"/>
    <col min="6915" max="6915" width="23.83203125" style="434" customWidth="1"/>
    <col min="6916" max="6916" width="10.1640625" style="434" customWidth="1"/>
    <col min="6917" max="6917" width="19.5" style="434" customWidth="1"/>
    <col min="6918" max="6918" width="17" style="434" bestFit="1" customWidth="1"/>
    <col min="6919" max="6919" width="14.1640625" style="434" bestFit="1" customWidth="1"/>
    <col min="6920" max="6920" width="11.5" style="434"/>
    <col min="6921" max="6921" width="44.1640625" style="434" bestFit="1" customWidth="1"/>
    <col min="6922" max="6927" width="11.5" style="434"/>
    <col min="6928" max="6928" width="12.1640625" style="434" bestFit="1" customWidth="1"/>
    <col min="6929" max="7169" width="11.5" style="434"/>
    <col min="7170" max="7170" width="39" style="434" customWidth="1"/>
    <col min="7171" max="7171" width="23.83203125" style="434" customWidth="1"/>
    <col min="7172" max="7172" width="10.1640625" style="434" customWidth="1"/>
    <col min="7173" max="7173" width="19.5" style="434" customWidth="1"/>
    <col min="7174" max="7174" width="17" style="434" bestFit="1" customWidth="1"/>
    <col min="7175" max="7175" width="14.1640625" style="434" bestFit="1" customWidth="1"/>
    <col min="7176" max="7176" width="11.5" style="434"/>
    <col min="7177" max="7177" width="44.1640625" style="434" bestFit="1" customWidth="1"/>
    <col min="7178" max="7183" width="11.5" style="434"/>
    <col min="7184" max="7184" width="12.1640625" style="434" bestFit="1" customWidth="1"/>
    <col min="7185" max="7425" width="11.5" style="434"/>
    <col min="7426" max="7426" width="39" style="434" customWidth="1"/>
    <col min="7427" max="7427" width="23.83203125" style="434" customWidth="1"/>
    <col min="7428" max="7428" width="10.1640625" style="434" customWidth="1"/>
    <col min="7429" max="7429" width="19.5" style="434" customWidth="1"/>
    <col min="7430" max="7430" width="17" style="434" bestFit="1" customWidth="1"/>
    <col min="7431" max="7431" width="14.1640625" style="434" bestFit="1" customWidth="1"/>
    <col min="7432" max="7432" width="11.5" style="434"/>
    <col min="7433" max="7433" width="44.1640625" style="434" bestFit="1" customWidth="1"/>
    <col min="7434" max="7439" width="11.5" style="434"/>
    <col min="7440" max="7440" width="12.1640625" style="434" bestFit="1" customWidth="1"/>
    <col min="7441" max="7681" width="11.5" style="434"/>
    <col min="7682" max="7682" width="39" style="434" customWidth="1"/>
    <col min="7683" max="7683" width="23.83203125" style="434" customWidth="1"/>
    <col min="7684" max="7684" width="10.1640625" style="434" customWidth="1"/>
    <col min="7685" max="7685" width="19.5" style="434" customWidth="1"/>
    <col min="7686" max="7686" width="17" style="434" bestFit="1" customWidth="1"/>
    <col min="7687" max="7687" width="14.1640625" style="434" bestFit="1" customWidth="1"/>
    <col min="7688" max="7688" width="11.5" style="434"/>
    <col min="7689" max="7689" width="44.1640625" style="434" bestFit="1" customWidth="1"/>
    <col min="7690" max="7695" width="11.5" style="434"/>
    <col min="7696" max="7696" width="12.1640625" style="434" bestFit="1" customWidth="1"/>
    <col min="7697" max="7937" width="11.5" style="434"/>
    <col min="7938" max="7938" width="39" style="434" customWidth="1"/>
    <col min="7939" max="7939" width="23.83203125" style="434" customWidth="1"/>
    <col min="7940" max="7940" width="10.1640625" style="434" customWidth="1"/>
    <col min="7941" max="7941" width="19.5" style="434" customWidth="1"/>
    <col min="7942" max="7942" width="17" style="434" bestFit="1" customWidth="1"/>
    <col min="7943" max="7943" width="14.1640625" style="434" bestFit="1" customWidth="1"/>
    <col min="7944" max="7944" width="11.5" style="434"/>
    <col min="7945" max="7945" width="44.1640625" style="434" bestFit="1" customWidth="1"/>
    <col min="7946" max="7951" width="11.5" style="434"/>
    <col min="7952" max="7952" width="12.1640625" style="434" bestFit="1" customWidth="1"/>
    <col min="7953" max="8193" width="11.5" style="434"/>
    <col min="8194" max="8194" width="39" style="434" customWidth="1"/>
    <col min="8195" max="8195" width="23.83203125" style="434" customWidth="1"/>
    <col min="8196" max="8196" width="10.1640625" style="434" customWidth="1"/>
    <col min="8197" max="8197" width="19.5" style="434" customWidth="1"/>
    <col min="8198" max="8198" width="17" style="434" bestFit="1" customWidth="1"/>
    <col min="8199" max="8199" width="14.1640625" style="434" bestFit="1" customWidth="1"/>
    <col min="8200" max="8200" width="11.5" style="434"/>
    <col min="8201" max="8201" width="44.1640625" style="434" bestFit="1" customWidth="1"/>
    <col min="8202" max="8207" width="11.5" style="434"/>
    <col min="8208" max="8208" width="12.1640625" style="434" bestFit="1" customWidth="1"/>
    <col min="8209" max="8449" width="11.5" style="434"/>
    <col min="8450" max="8450" width="39" style="434" customWidth="1"/>
    <col min="8451" max="8451" width="23.83203125" style="434" customWidth="1"/>
    <col min="8452" max="8452" width="10.1640625" style="434" customWidth="1"/>
    <col min="8453" max="8453" width="19.5" style="434" customWidth="1"/>
    <col min="8454" max="8454" width="17" style="434" bestFit="1" customWidth="1"/>
    <col min="8455" max="8455" width="14.1640625" style="434" bestFit="1" customWidth="1"/>
    <col min="8456" max="8456" width="11.5" style="434"/>
    <col min="8457" max="8457" width="44.1640625" style="434" bestFit="1" customWidth="1"/>
    <col min="8458" max="8463" width="11.5" style="434"/>
    <col min="8464" max="8464" width="12.1640625" style="434" bestFit="1" customWidth="1"/>
    <col min="8465" max="8705" width="11.5" style="434"/>
    <col min="8706" max="8706" width="39" style="434" customWidth="1"/>
    <col min="8707" max="8707" width="23.83203125" style="434" customWidth="1"/>
    <col min="8708" max="8708" width="10.1640625" style="434" customWidth="1"/>
    <col min="8709" max="8709" width="19.5" style="434" customWidth="1"/>
    <col min="8710" max="8710" width="17" style="434" bestFit="1" customWidth="1"/>
    <col min="8711" max="8711" width="14.1640625" style="434" bestFit="1" customWidth="1"/>
    <col min="8712" max="8712" width="11.5" style="434"/>
    <col min="8713" max="8713" width="44.1640625" style="434" bestFit="1" customWidth="1"/>
    <col min="8714" max="8719" width="11.5" style="434"/>
    <col min="8720" max="8720" width="12.1640625" style="434" bestFit="1" customWidth="1"/>
    <col min="8721" max="8961" width="11.5" style="434"/>
    <col min="8962" max="8962" width="39" style="434" customWidth="1"/>
    <col min="8963" max="8963" width="23.83203125" style="434" customWidth="1"/>
    <col min="8964" max="8964" width="10.1640625" style="434" customWidth="1"/>
    <col min="8965" max="8965" width="19.5" style="434" customWidth="1"/>
    <col min="8966" max="8966" width="17" style="434" bestFit="1" customWidth="1"/>
    <col min="8967" max="8967" width="14.1640625" style="434" bestFit="1" customWidth="1"/>
    <col min="8968" max="8968" width="11.5" style="434"/>
    <col min="8969" max="8969" width="44.1640625" style="434" bestFit="1" customWidth="1"/>
    <col min="8970" max="8975" width="11.5" style="434"/>
    <col min="8976" max="8976" width="12.1640625" style="434" bestFit="1" customWidth="1"/>
    <col min="8977" max="9217" width="11.5" style="434"/>
    <col min="9218" max="9218" width="39" style="434" customWidth="1"/>
    <col min="9219" max="9219" width="23.83203125" style="434" customWidth="1"/>
    <col min="9220" max="9220" width="10.1640625" style="434" customWidth="1"/>
    <col min="9221" max="9221" width="19.5" style="434" customWidth="1"/>
    <col min="9222" max="9222" width="17" style="434" bestFit="1" customWidth="1"/>
    <col min="9223" max="9223" width="14.1640625" style="434" bestFit="1" customWidth="1"/>
    <col min="9224" max="9224" width="11.5" style="434"/>
    <col min="9225" max="9225" width="44.1640625" style="434" bestFit="1" customWidth="1"/>
    <col min="9226" max="9231" width="11.5" style="434"/>
    <col min="9232" max="9232" width="12.1640625" style="434" bestFit="1" customWidth="1"/>
    <col min="9233" max="9473" width="11.5" style="434"/>
    <col min="9474" max="9474" width="39" style="434" customWidth="1"/>
    <col min="9475" max="9475" width="23.83203125" style="434" customWidth="1"/>
    <col min="9476" max="9476" width="10.1640625" style="434" customWidth="1"/>
    <col min="9477" max="9477" width="19.5" style="434" customWidth="1"/>
    <col min="9478" max="9478" width="17" style="434" bestFit="1" customWidth="1"/>
    <col min="9479" max="9479" width="14.1640625" style="434" bestFit="1" customWidth="1"/>
    <col min="9480" max="9480" width="11.5" style="434"/>
    <col min="9481" max="9481" width="44.1640625" style="434" bestFit="1" customWidth="1"/>
    <col min="9482" max="9487" width="11.5" style="434"/>
    <col min="9488" max="9488" width="12.1640625" style="434" bestFit="1" customWidth="1"/>
    <col min="9489" max="9729" width="11.5" style="434"/>
    <col min="9730" max="9730" width="39" style="434" customWidth="1"/>
    <col min="9731" max="9731" width="23.83203125" style="434" customWidth="1"/>
    <col min="9732" max="9732" width="10.1640625" style="434" customWidth="1"/>
    <col min="9733" max="9733" width="19.5" style="434" customWidth="1"/>
    <col min="9734" max="9734" width="17" style="434" bestFit="1" customWidth="1"/>
    <col min="9735" max="9735" width="14.1640625" style="434" bestFit="1" customWidth="1"/>
    <col min="9736" max="9736" width="11.5" style="434"/>
    <col min="9737" max="9737" width="44.1640625" style="434" bestFit="1" customWidth="1"/>
    <col min="9738" max="9743" width="11.5" style="434"/>
    <col min="9744" max="9744" width="12.1640625" style="434" bestFit="1" customWidth="1"/>
    <col min="9745" max="9985" width="11.5" style="434"/>
    <col min="9986" max="9986" width="39" style="434" customWidth="1"/>
    <col min="9987" max="9987" width="23.83203125" style="434" customWidth="1"/>
    <col min="9988" max="9988" width="10.1640625" style="434" customWidth="1"/>
    <col min="9989" max="9989" width="19.5" style="434" customWidth="1"/>
    <col min="9990" max="9990" width="17" style="434" bestFit="1" customWidth="1"/>
    <col min="9991" max="9991" width="14.1640625" style="434" bestFit="1" customWidth="1"/>
    <col min="9992" max="9992" width="11.5" style="434"/>
    <col min="9993" max="9993" width="44.1640625" style="434" bestFit="1" customWidth="1"/>
    <col min="9994" max="9999" width="11.5" style="434"/>
    <col min="10000" max="10000" width="12.1640625" style="434" bestFit="1" customWidth="1"/>
    <col min="10001" max="10241" width="11.5" style="434"/>
    <col min="10242" max="10242" width="39" style="434" customWidth="1"/>
    <col min="10243" max="10243" width="23.83203125" style="434" customWidth="1"/>
    <col min="10244" max="10244" width="10.1640625" style="434" customWidth="1"/>
    <col min="10245" max="10245" width="19.5" style="434" customWidth="1"/>
    <col min="10246" max="10246" width="17" style="434" bestFit="1" customWidth="1"/>
    <col min="10247" max="10247" width="14.1640625" style="434" bestFit="1" customWidth="1"/>
    <col min="10248" max="10248" width="11.5" style="434"/>
    <col min="10249" max="10249" width="44.1640625" style="434" bestFit="1" customWidth="1"/>
    <col min="10250" max="10255" width="11.5" style="434"/>
    <col min="10256" max="10256" width="12.1640625" style="434" bestFit="1" customWidth="1"/>
    <col min="10257" max="10497" width="11.5" style="434"/>
    <col min="10498" max="10498" width="39" style="434" customWidth="1"/>
    <col min="10499" max="10499" width="23.83203125" style="434" customWidth="1"/>
    <col min="10500" max="10500" width="10.1640625" style="434" customWidth="1"/>
    <col min="10501" max="10501" width="19.5" style="434" customWidth="1"/>
    <col min="10502" max="10502" width="17" style="434" bestFit="1" customWidth="1"/>
    <col min="10503" max="10503" width="14.1640625" style="434" bestFit="1" customWidth="1"/>
    <col min="10504" max="10504" width="11.5" style="434"/>
    <col min="10505" max="10505" width="44.1640625" style="434" bestFit="1" customWidth="1"/>
    <col min="10506" max="10511" width="11.5" style="434"/>
    <col min="10512" max="10512" width="12.1640625" style="434" bestFit="1" customWidth="1"/>
    <col min="10513" max="10753" width="11.5" style="434"/>
    <col min="10754" max="10754" width="39" style="434" customWidth="1"/>
    <col min="10755" max="10755" width="23.83203125" style="434" customWidth="1"/>
    <col min="10756" max="10756" width="10.1640625" style="434" customWidth="1"/>
    <col min="10757" max="10757" width="19.5" style="434" customWidth="1"/>
    <col min="10758" max="10758" width="17" style="434" bestFit="1" customWidth="1"/>
    <col min="10759" max="10759" width="14.1640625" style="434" bestFit="1" customWidth="1"/>
    <col min="10760" max="10760" width="11.5" style="434"/>
    <col min="10761" max="10761" width="44.1640625" style="434" bestFit="1" customWidth="1"/>
    <col min="10762" max="10767" width="11.5" style="434"/>
    <col min="10768" max="10768" width="12.1640625" style="434" bestFit="1" customWidth="1"/>
    <col min="10769" max="11009" width="11.5" style="434"/>
    <col min="11010" max="11010" width="39" style="434" customWidth="1"/>
    <col min="11011" max="11011" width="23.83203125" style="434" customWidth="1"/>
    <col min="11012" max="11012" width="10.1640625" style="434" customWidth="1"/>
    <col min="11013" max="11013" width="19.5" style="434" customWidth="1"/>
    <col min="11014" max="11014" width="17" style="434" bestFit="1" customWidth="1"/>
    <col min="11015" max="11015" width="14.1640625" style="434" bestFit="1" customWidth="1"/>
    <col min="11016" max="11016" width="11.5" style="434"/>
    <col min="11017" max="11017" width="44.1640625" style="434" bestFit="1" customWidth="1"/>
    <col min="11018" max="11023" width="11.5" style="434"/>
    <col min="11024" max="11024" width="12.1640625" style="434" bestFit="1" customWidth="1"/>
    <col min="11025" max="11265" width="11.5" style="434"/>
    <col min="11266" max="11266" width="39" style="434" customWidth="1"/>
    <col min="11267" max="11267" width="23.83203125" style="434" customWidth="1"/>
    <col min="11268" max="11268" width="10.1640625" style="434" customWidth="1"/>
    <col min="11269" max="11269" width="19.5" style="434" customWidth="1"/>
    <col min="11270" max="11270" width="17" style="434" bestFit="1" customWidth="1"/>
    <col min="11271" max="11271" width="14.1640625" style="434" bestFit="1" customWidth="1"/>
    <col min="11272" max="11272" width="11.5" style="434"/>
    <col min="11273" max="11273" width="44.1640625" style="434" bestFit="1" customWidth="1"/>
    <col min="11274" max="11279" width="11.5" style="434"/>
    <col min="11280" max="11280" width="12.1640625" style="434" bestFit="1" customWidth="1"/>
    <col min="11281" max="11521" width="11.5" style="434"/>
    <col min="11522" max="11522" width="39" style="434" customWidth="1"/>
    <col min="11523" max="11523" width="23.83203125" style="434" customWidth="1"/>
    <col min="11524" max="11524" width="10.1640625" style="434" customWidth="1"/>
    <col min="11525" max="11525" width="19.5" style="434" customWidth="1"/>
    <col min="11526" max="11526" width="17" style="434" bestFit="1" customWidth="1"/>
    <col min="11527" max="11527" width="14.1640625" style="434" bestFit="1" customWidth="1"/>
    <col min="11528" max="11528" width="11.5" style="434"/>
    <col min="11529" max="11529" width="44.1640625" style="434" bestFit="1" customWidth="1"/>
    <col min="11530" max="11535" width="11.5" style="434"/>
    <col min="11536" max="11536" width="12.1640625" style="434" bestFit="1" customWidth="1"/>
    <col min="11537" max="11777" width="11.5" style="434"/>
    <col min="11778" max="11778" width="39" style="434" customWidth="1"/>
    <col min="11779" max="11779" width="23.83203125" style="434" customWidth="1"/>
    <col min="11780" max="11780" width="10.1640625" style="434" customWidth="1"/>
    <col min="11781" max="11781" width="19.5" style="434" customWidth="1"/>
    <col min="11782" max="11782" width="17" style="434" bestFit="1" customWidth="1"/>
    <col min="11783" max="11783" width="14.1640625" style="434" bestFit="1" customWidth="1"/>
    <col min="11784" max="11784" width="11.5" style="434"/>
    <col min="11785" max="11785" width="44.1640625" style="434" bestFit="1" customWidth="1"/>
    <col min="11786" max="11791" width="11.5" style="434"/>
    <col min="11792" max="11792" width="12.1640625" style="434" bestFit="1" customWidth="1"/>
    <col min="11793" max="12033" width="11.5" style="434"/>
    <col min="12034" max="12034" width="39" style="434" customWidth="1"/>
    <col min="12035" max="12035" width="23.83203125" style="434" customWidth="1"/>
    <col min="12036" max="12036" width="10.1640625" style="434" customWidth="1"/>
    <col min="12037" max="12037" width="19.5" style="434" customWidth="1"/>
    <col min="12038" max="12038" width="17" style="434" bestFit="1" customWidth="1"/>
    <col min="12039" max="12039" width="14.1640625" style="434" bestFit="1" customWidth="1"/>
    <col min="12040" max="12040" width="11.5" style="434"/>
    <col min="12041" max="12041" width="44.1640625" style="434" bestFit="1" customWidth="1"/>
    <col min="12042" max="12047" width="11.5" style="434"/>
    <col min="12048" max="12048" width="12.1640625" style="434" bestFit="1" customWidth="1"/>
    <col min="12049" max="12289" width="11.5" style="434"/>
    <col min="12290" max="12290" width="39" style="434" customWidth="1"/>
    <col min="12291" max="12291" width="23.83203125" style="434" customWidth="1"/>
    <col min="12292" max="12292" width="10.1640625" style="434" customWidth="1"/>
    <col min="12293" max="12293" width="19.5" style="434" customWidth="1"/>
    <col min="12294" max="12294" width="17" style="434" bestFit="1" customWidth="1"/>
    <col min="12295" max="12295" width="14.1640625" style="434" bestFit="1" customWidth="1"/>
    <col min="12296" max="12296" width="11.5" style="434"/>
    <col min="12297" max="12297" width="44.1640625" style="434" bestFit="1" customWidth="1"/>
    <col min="12298" max="12303" width="11.5" style="434"/>
    <col min="12304" max="12304" width="12.1640625" style="434" bestFit="1" customWidth="1"/>
    <col min="12305" max="12545" width="11.5" style="434"/>
    <col min="12546" max="12546" width="39" style="434" customWidth="1"/>
    <col min="12547" max="12547" width="23.83203125" style="434" customWidth="1"/>
    <col min="12548" max="12548" width="10.1640625" style="434" customWidth="1"/>
    <col min="12549" max="12549" width="19.5" style="434" customWidth="1"/>
    <col min="12550" max="12550" width="17" style="434" bestFit="1" customWidth="1"/>
    <col min="12551" max="12551" width="14.1640625" style="434" bestFit="1" customWidth="1"/>
    <col min="12552" max="12552" width="11.5" style="434"/>
    <col min="12553" max="12553" width="44.1640625" style="434" bestFit="1" customWidth="1"/>
    <col min="12554" max="12559" width="11.5" style="434"/>
    <col min="12560" max="12560" width="12.1640625" style="434" bestFit="1" customWidth="1"/>
    <col min="12561" max="12801" width="11.5" style="434"/>
    <col min="12802" max="12802" width="39" style="434" customWidth="1"/>
    <col min="12803" max="12803" width="23.83203125" style="434" customWidth="1"/>
    <col min="12804" max="12804" width="10.1640625" style="434" customWidth="1"/>
    <col min="12805" max="12805" width="19.5" style="434" customWidth="1"/>
    <col min="12806" max="12806" width="17" style="434" bestFit="1" customWidth="1"/>
    <col min="12807" max="12807" width="14.1640625" style="434" bestFit="1" customWidth="1"/>
    <col min="12808" max="12808" width="11.5" style="434"/>
    <col min="12809" max="12809" width="44.1640625" style="434" bestFit="1" customWidth="1"/>
    <col min="12810" max="12815" width="11.5" style="434"/>
    <col min="12816" max="12816" width="12.1640625" style="434" bestFit="1" customWidth="1"/>
    <col min="12817" max="13057" width="11.5" style="434"/>
    <col min="13058" max="13058" width="39" style="434" customWidth="1"/>
    <col min="13059" max="13059" width="23.83203125" style="434" customWidth="1"/>
    <col min="13060" max="13060" width="10.1640625" style="434" customWidth="1"/>
    <col min="13061" max="13061" width="19.5" style="434" customWidth="1"/>
    <col min="13062" max="13062" width="17" style="434" bestFit="1" customWidth="1"/>
    <col min="13063" max="13063" width="14.1640625" style="434" bestFit="1" customWidth="1"/>
    <col min="13064" max="13064" width="11.5" style="434"/>
    <col min="13065" max="13065" width="44.1640625" style="434" bestFit="1" customWidth="1"/>
    <col min="13066" max="13071" width="11.5" style="434"/>
    <col min="13072" max="13072" width="12.1640625" style="434" bestFit="1" customWidth="1"/>
    <col min="13073" max="13313" width="11.5" style="434"/>
    <col min="13314" max="13314" width="39" style="434" customWidth="1"/>
    <col min="13315" max="13315" width="23.83203125" style="434" customWidth="1"/>
    <col min="13316" max="13316" width="10.1640625" style="434" customWidth="1"/>
    <col min="13317" max="13317" width="19.5" style="434" customWidth="1"/>
    <col min="13318" max="13318" width="17" style="434" bestFit="1" customWidth="1"/>
    <col min="13319" max="13319" width="14.1640625" style="434" bestFit="1" customWidth="1"/>
    <col min="13320" max="13320" width="11.5" style="434"/>
    <col min="13321" max="13321" width="44.1640625" style="434" bestFit="1" customWidth="1"/>
    <col min="13322" max="13327" width="11.5" style="434"/>
    <col min="13328" max="13328" width="12.1640625" style="434" bestFit="1" customWidth="1"/>
    <col min="13329" max="13569" width="11.5" style="434"/>
    <col min="13570" max="13570" width="39" style="434" customWidth="1"/>
    <col min="13571" max="13571" width="23.83203125" style="434" customWidth="1"/>
    <col min="13572" max="13572" width="10.1640625" style="434" customWidth="1"/>
    <col min="13573" max="13573" width="19.5" style="434" customWidth="1"/>
    <col min="13574" max="13574" width="17" style="434" bestFit="1" customWidth="1"/>
    <col min="13575" max="13575" width="14.1640625" style="434" bestFit="1" customWidth="1"/>
    <col min="13576" max="13576" width="11.5" style="434"/>
    <col min="13577" max="13577" width="44.1640625" style="434" bestFit="1" customWidth="1"/>
    <col min="13578" max="13583" width="11.5" style="434"/>
    <col min="13584" max="13584" width="12.1640625" style="434" bestFit="1" customWidth="1"/>
    <col min="13585" max="13825" width="11.5" style="434"/>
    <col min="13826" max="13826" width="39" style="434" customWidth="1"/>
    <col min="13827" max="13827" width="23.83203125" style="434" customWidth="1"/>
    <col min="13828" max="13828" width="10.1640625" style="434" customWidth="1"/>
    <col min="13829" max="13829" width="19.5" style="434" customWidth="1"/>
    <col min="13830" max="13830" width="17" style="434" bestFit="1" customWidth="1"/>
    <col min="13831" max="13831" width="14.1640625" style="434" bestFit="1" customWidth="1"/>
    <col min="13832" max="13832" width="11.5" style="434"/>
    <col min="13833" max="13833" width="44.1640625" style="434" bestFit="1" customWidth="1"/>
    <col min="13834" max="13839" width="11.5" style="434"/>
    <col min="13840" max="13840" width="12.1640625" style="434" bestFit="1" customWidth="1"/>
    <col min="13841" max="14081" width="11.5" style="434"/>
    <col min="14082" max="14082" width="39" style="434" customWidth="1"/>
    <col min="14083" max="14083" width="23.83203125" style="434" customWidth="1"/>
    <col min="14084" max="14084" width="10.1640625" style="434" customWidth="1"/>
    <col min="14085" max="14085" width="19.5" style="434" customWidth="1"/>
    <col min="14086" max="14086" width="17" style="434" bestFit="1" customWidth="1"/>
    <col min="14087" max="14087" width="14.1640625" style="434" bestFit="1" customWidth="1"/>
    <col min="14088" max="14088" width="11.5" style="434"/>
    <col min="14089" max="14089" width="44.1640625" style="434" bestFit="1" customWidth="1"/>
    <col min="14090" max="14095" width="11.5" style="434"/>
    <col min="14096" max="14096" width="12.1640625" style="434" bestFit="1" customWidth="1"/>
    <col min="14097" max="14337" width="11.5" style="434"/>
    <col min="14338" max="14338" width="39" style="434" customWidth="1"/>
    <col min="14339" max="14339" width="23.83203125" style="434" customWidth="1"/>
    <col min="14340" max="14340" width="10.1640625" style="434" customWidth="1"/>
    <col min="14341" max="14341" width="19.5" style="434" customWidth="1"/>
    <col min="14342" max="14342" width="17" style="434" bestFit="1" customWidth="1"/>
    <col min="14343" max="14343" width="14.1640625" style="434" bestFit="1" customWidth="1"/>
    <col min="14344" max="14344" width="11.5" style="434"/>
    <col min="14345" max="14345" width="44.1640625" style="434" bestFit="1" customWidth="1"/>
    <col min="14346" max="14351" width="11.5" style="434"/>
    <col min="14352" max="14352" width="12.1640625" style="434" bestFit="1" customWidth="1"/>
    <col min="14353" max="14593" width="11.5" style="434"/>
    <col min="14594" max="14594" width="39" style="434" customWidth="1"/>
    <col min="14595" max="14595" width="23.83203125" style="434" customWidth="1"/>
    <col min="14596" max="14596" width="10.1640625" style="434" customWidth="1"/>
    <col min="14597" max="14597" width="19.5" style="434" customWidth="1"/>
    <col min="14598" max="14598" width="17" style="434" bestFit="1" customWidth="1"/>
    <col min="14599" max="14599" width="14.1640625" style="434" bestFit="1" customWidth="1"/>
    <col min="14600" max="14600" width="11.5" style="434"/>
    <col min="14601" max="14601" width="44.1640625" style="434" bestFit="1" customWidth="1"/>
    <col min="14602" max="14607" width="11.5" style="434"/>
    <col min="14608" max="14608" width="12.1640625" style="434" bestFit="1" customWidth="1"/>
    <col min="14609" max="14849" width="11.5" style="434"/>
    <col min="14850" max="14850" width="39" style="434" customWidth="1"/>
    <col min="14851" max="14851" width="23.83203125" style="434" customWidth="1"/>
    <col min="14852" max="14852" width="10.1640625" style="434" customWidth="1"/>
    <col min="14853" max="14853" width="19.5" style="434" customWidth="1"/>
    <col min="14854" max="14854" width="17" style="434" bestFit="1" customWidth="1"/>
    <col min="14855" max="14855" width="14.1640625" style="434" bestFit="1" customWidth="1"/>
    <col min="14856" max="14856" width="11.5" style="434"/>
    <col min="14857" max="14857" width="44.1640625" style="434" bestFit="1" customWidth="1"/>
    <col min="14858" max="14863" width="11.5" style="434"/>
    <col min="14864" max="14864" width="12.1640625" style="434" bestFit="1" customWidth="1"/>
    <col min="14865" max="15105" width="11.5" style="434"/>
    <col min="15106" max="15106" width="39" style="434" customWidth="1"/>
    <col min="15107" max="15107" width="23.83203125" style="434" customWidth="1"/>
    <col min="15108" max="15108" width="10.1640625" style="434" customWidth="1"/>
    <col min="15109" max="15109" width="19.5" style="434" customWidth="1"/>
    <col min="15110" max="15110" width="17" style="434" bestFit="1" customWidth="1"/>
    <col min="15111" max="15111" width="14.1640625" style="434" bestFit="1" customWidth="1"/>
    <col min="15112" max="15112" width="11.5" style="434"/>
    <col min="15113" max="15113" width="44.1640625" style="434" bestFit="1" customWidth="1"/>
    <col min="15114" max="15119" width="11.5" style="434"/>
    <col min="15120" max="15120" width="12.1640625" style="434" bestFit="1" customWidth="1"/>
    <col min="15121" max="15361" width="11.5" style="434"/>
    <col min="15362" max="15362" width="39" style="434" customWidth="1"/>
    <col min="15363" max="15363" width="23.83203125" style="434" customWidth="1"/>
    <col min="15364" max="15364" width="10.1640625" style="434" customWidth="1"/>
    <col min="15365" max="15365" width="19.5" style="434" customWidth="1"/>
    <col min="15366" max="15366" width="17" style="434" bestFit="1" customWidth="1"/>
    <col min="15367" max="15367" width="14.1640625" style="434" bestFit="1" customWidth="1"/>
    <col min="15368" max="15368" width="11.5" style="434"/>
    <col min="15369" max="15369" width="44.1640625" style="434" bestFit="1" customWidth="1"/>
    <col min="15370" max="15375" width="11.5" style="434"/>
    <col min="15376" max="15376" width="12.1640625" style="434" bestFit="1" customWidth="1"/>
    <col min="15377" max="15617" width="11.5" style="434"/>
    <col min="15618" max="15618" width="39" style="434" customWidth="1"/>
    <col min="15619" max="15619" width="23.83203125" style="434" customWidth="1"/>
    <col min="15620" max="15620" width="10.1640625" style="434" customWidth="1"/>
    <col min="15621" max="15621" width="19.5" style="434" customWidth="1"/>
    <col min="15622" max="15622" width="17" style="434" bestFit="1" customWidth="1"/>
    <col min="15623" max="15623" width="14.1640625" style="434" bestFit="1" customWidth="1"/>
    <col min="15624" max="15624" width="11.5" style="434"/>
    <col min="15625" max="15625" width="44.1640625" style="434" bestFit="1" customWidth="1"/>
    <col min="15626" max="15631" width="11.5" style="434"/>
    <col min="15632" max="15632" width="12.1640625" style="434" bestFit="1" customWidth="1"/>
    <col min="15633" max="15873" width="11.5" style="434"/>
    <col min="15874" max="15874" width="39" style="434" customWidth="1"/>
    <col min="15875" max="15875" width="23.83203125" style="434" customWidth="1"/>
    <col min="15876" max="15876" width="10.1640625" style="434" customWidth="1"/>
    <col min="15877" max="15877" width="19.5" style="434" customWidth="1"/>
    <col min="15878" max="15878" width="17" style="434" bestFit="1" customWidth="1"/>
    <col min="15879" max="15879" width="14.1640625" style="434" bestFit="1" customWidth="1"/>
    <col min="15880" max="15880" width="11.5" style="434"/>
    <col min="15881" max="15881" width="44.1640625" style="434" bestFit="1" customWidth="1"/>
    <col min="15882" max="15887" width="11.5" style="434"/>
    <col min="15888" max="15888" width="12.1640625" style="434" bestFit="1" customWidth="1"/>
    <col min="15889" max="16129" width="11.5" style="434"/>
    <col min="16130" max="16130" width="39" style="434" customWidth="1"/>
    <col min="16131" max="16131" width="23.83203125" style="434" customWidth="1"/>
    <col min="16132" max="16132" width="10.1640625" style="434" customWidth="1"/>
    <col min="16133" max="16133" width="19.5" style="434" customWidth="1"/>
    <col min="16134" max="16134" width="17" style="434" bestFit="1" customWidth="1"/>
    <col min="16135" max="16135" width="14.1640625" style="434" bestFit="1" customWidth="1"/>
    <col min="16136" max="16136" width="11.5" style="434"/>
    <col min="16137" max="16137" width="44.1640625" style="434" bestFit="1" customWidth="1"/>
    <col min="16138" max="16143" width="11.5" style="434"/>
    <col min="16144" max="16144" width="12.1640625" style="434" bestFit="1" customWidth="1"/>
    <col min="16145" max="16384" width="11.5" style="434"/>
  </cols>
  <sheetData>
    <row r="1" spans="1:10" ht="19" thickBot="1">
      <c r="A1" s="467"/>
      <c r="D1" s="468" t="s">
        <v>912</v>
      </c>
      <c r="E1" s="468"/>
      <c r="J1" s="469">
        <f>[1]Oppsummering!H11</f>
        <v>23.018320101572257</v>
      </c>
    </row>
    <row r="2" spans="1:10">
      <c r="A2" s="434" t="s">
        <v>28</v>
      </c>
      <c r="B2" s="434" t="str">
        <f>[1]Oppsummering!B2</f>
        <v>Sigve Krageboen</v>
      </c>
      <c r="D2" s="470"/>
      <c r="E2" s="470" t="s">
        <v>913</v>
      </c>
    </row>
    <row r="3" spans="1:10">
      <c r="A3" s="434" t="str">
        <f>[1]Oppsummering!A3</f>
        <v>Fra dato:</v>
      </c>
      <c r="B3" s="436">
        <f>[1]Oppsummering!B3</f>
        <v>43101</v>
      </c>
      <c r="E3" s="434" t="s">
        <v>32</v>
      </c>
      <c r="F3" s="434">
        <v>2011</v>
      </c>
      <c r="G3" s="434" t="s">
        <v>33</v>
      </c>
    </row>
    <row r="4" spans="1:10">
      <c r="B4" s="436"/>
      <c r="E4" s="434" t="s">
        <v>34</v>
      </c>
    </row>
    <row r="5" spans="1:10">
      <c r="B5" s="437" t="s">
        <v>35</v>
      </c>
      <c r="C5" s="471">
        <f>'[1]Grunnlag alle kalkyler'!E43</f>
        <v>1</v>
      </c>
      <c r="D5" s="472" t="s">
        <v>36</v>
      </c>
      <c r="E5" s="434" t="s">
        <v>37</v>
      </c>
    </row>
    <row r="6" spans="1:10">
      <c r="B6" s="473" t="s">
        <v>914</v>
      </c>
      <c r="C6" s="474">
        <f>IF(C5=0,0,C7/C5)</f>
        <v>60000</v>
      </c>
      <c r="F6" s="475" t="s">
        <v>915</v>
      </c>
      <c r="G6" s="476"/>
      <c r="H6" s="476"/>
    </row>
    <row r="7" spans="1:10">
      <c r="B7" s="437" t="s">
        <v>38</v>
      </c>
      <c r="C7" s="477">
        <f>'[1]Grunnlag alle kalkyler'!C43</f>
        <v>60000</v>
      </c>
      <c r="D7" s="472" t="s">
        <v>13</v>
      </c>
      <c r="E7" s="478" t="s">
        <v>916</v>
      </c>
      <c r="F7" s="472"/>
      <c r="G7" s="479" t="s">
        <v>917</v>
      </c>
      <c r="H7" s="472"/>
    </row>
    <row r="8" spans="1:10">
      <c r="C8" s="480"/>
      <c r="D8" s="481"/>
      <c r="E8" s="482"/>
      <c r="F8" s="472"/>
      <c r="G8" s="483"/>
      <c r="H8" s="472"/>
    </row>
    <row r="9" spans="1:10">
      <c r="A9" s="437" t="s">
        <v>918</v>
      </c>
      <c r="B9" s="437"/>
      <c r="C9" s="480"/>
      <c r="D9" s="481"/>
      <c r="E9" s="482"/>
      <c r="F9" s="472"/>
      <c r="G9" s="483"/>
      <c r="H9" s="472"/>
    </row>
    <row r="10" spans="1:10" ht="18" customHeight="1">
      <c r="A10" s="437"/>
      <c r="B10" s="434" t="s">
        <v>919</v>
      </c>
      <c r="C10" s="484">
        <v>1550000</v>
      </c>
      <c r="D10" s="472" t="s">
        <v>2</v>
      </c>
      <c r="E10" s="482"/>
      <c r="F10" s="472"/>
      <c r="G10" s="483"/>
      <c r="H10" s="472"/>
    </row>
    <row r="11" spans="1:10">
      <c r="A11" s="437"/>
      <c r="B11" s="434" t="s">
        <v>920</v>
      </c>
      <c r="C11" s="485">
        <f>C10*C5</f>
        <v>1550000</v>
      </c>
      <c r="D11" s="472" t="s">
        <v>2</v>
      </c>
      <c r="E11" s="482"/>
      <c r="F11" s="472"/>
      <c r="G11" s="483"/>
      <c r="H11" s="472"/>
    </row>
    <row r="12" spans="1:10">
      <c r="A12" s="437"/>
      <c r="B12" s="434" t="s">
        <v>921</v>
      </c>
      <c r="C12" s="486">
        <v>6</v>
      </c>
      <c r="D12" s="472" t="s">
        <v>3</v>
      </c>
      <c r="E12" s="482"/>
      <c r="F12" s="472"/>
      <c r="G12" s="487"/>
      <c r="H12" s="472"/>
    </row>
    <row r="13" spans="1:10">
      <c r="A13" s="437"/>
      <c r="B13" s="434" t="s">
        <v>922</v>
      </c>
      <c r="C13" s="488">
        <v>0.1</v>
      </c>
      <c r="D13" s="481"/>
      <c r="E13" s="482"/>
      <c r="F13" s="472"/>
      <c r="G13" s="487"/>
      <c r="H13" s="472"/>
    </row>
    <row r="14" spans="1:10">
      <c r="A14" s="437"/>
      <c r="B14" s="434" t="s">
        <v>922</v>
      </c>
      <c r="C14" s="489">
        <f>C11*C13</f>
        <v>155000</v>
      </c>
      <c r="D14" s="472" t="s">
        <v>2</v>
      </c>
      <c r="E14" s="482"/>
      <c r="F14" s="472"/>
      <c r="G14" s="487"/>
      <c r="H14" s="472"/>
    </row>
    <row r="15" spans="1:10">
      <c r="A15" s="437"/>
      <c r="B15" s="434" t="s">
        <v>923</v>
      </c>
      <c r="C15" s="489">
        <f>C11/C12-(C14/C12)</f>
        <v>232500</v>
      </c>
      <c r="D15" s="472" t="s">
        <v>2</v>
      </c>
      <c r="E15" s="482"/>
      <c r="F15" s="472"/>
      <c r="G15" s="487"/>
      <c r="H15" s="472"/>
    </row>
    <row r="16" spans="1:10" s="437" customFormat="1">
      <c r="B16" s="437" t="s">
        <v>924</v>
      </c>
      <c r="C16" s="479"/>
      <c r="D16" s="481"/>
      <c r="E16" s="482"/>
      <c r="F16" s="481"/>
      <c r="G16" s="487">
        <f>IF(C7=0,0,C15/C7)</f>
        <v>3.875</v>
      </c>
      <c r="H16" s="481" t="s">
        <v>9</v>
      </c>
    </row>
    <row r="17" spans="1:8">
      <c r="A17" s="437"/>
      <c r="B17" s="437"/>
      <c r="C17" s="490"/>
      <c r="D17" s="472"/>
      <c r="E17" s="482"/>
      <c r="F17" s="481"/>
      <c r="G17" s="487"/>
      <c r="H17" s="472"/>
    </row>
    <row r="18" spans="1:8">
      <c r="A18" s="437" t="s">
        <v>925</v>
      </c>
      <c r="B18" s="437"/>
      <c r="C18" s="480"/>
      <c r="D18" s="481"/>
      <c r="E18" s="482"/>
      <c r="F18" s="472"/>
      <c r="G18" s="487"/>
      <c r="H18" s="472"/>
    </row>
    <row r="19" spans="1:8">
      <c r="A19" s="437"/>
      <c r="B19" s="434" t="s">
        <v>926</v>
      </c>
      <c r="C19" s="484">
        <v>0</v>
      </c>
      <c r="D19" s="472" t="s">
        <v>2</v>
      </c>
      <c r="E19" s="482"/>
      <c r="F19" s="472"/>
      <c r="G19" s="487"/>
      <c r="H19" s="472"/>
    </row>
    <row r="20" spans="1:8">
      <c r="A20" s="437"/>
      <c r="B20" s="434" t="s">
        <v>927</v>
      </c>
      <c r="C20" s="484">
        <v>0</v>
      </c>
      <c r="D20" s="472" t="s">
        <v>2</v>
      </c>
      <c r="E20" s="482"/>
      <c r="F20" s="472"/>
      <c r="G20" s="487"/>
      <c r="H20" s="472"/>
    </row>
    <row r="21" spans="1:8">
      <c r="A21" s="437"/>
      <c r="B21" s="434" t="s">
        <v>928</v>
      </c>
      <c r="C21" s="491">
        <f>C19+C20</f>
        <v>0</v>
      </c>
      <c r="D21" s="472" t="s">
        <v>2</v>
      </c>
      <c r="E21" s="482"/>
      <c r="F21" s="472"/>
      <c r="G21" s="487"/>
      <c r="H21" s="472"/>
    </row>
    <row r="22" spans="1:8">
      <c r="A22" s="437"/>
      <c r="B22" s="434" t="s">
        <v>929</v>
      </c>
      <c r="C22" s="485">
        <f>C21*C5</f>
        <v>0</v>
      </c>
      <c r="D22" s="472" t="s">
        <v>2</v>
      </c>
      <c r="E22" s="482"/>
      <c r="F22" s="472"/>
      <c r="G22" s="483"/>
      <c r="H22" s="472"/>
    </row>
    <row r="23" spans="1:8">
      <c r="A23" s="437"/>
      <c r="B23" s="434" t="s">
        <v>930</v>
      </c>
      <c r="C23" s="492">
        <v>14</v>
      </c>
      <c r="D23" s="472" t="s">
        <v>3</v>
      </c>
      <c r="E23" s="482"/>
      <c r="F23" s="472"/>
      <c r="G23" s="483"/>
      <c r="H23" s="472"/>
    </row>
    <row r="24" spans="1:8">
      <c r="A24" s="437"/>
      <c r="B24" s="434" t="s">
        <v>931</v>
      </c>
      <c r="C24" s="493">
        <f>C22/C23</f>
        <v>0</v>
      </c>
      <c r="D24" s="472" t="s">
        <v>2</v>
      </c>
      <c r="E24" s="482"/>
      <c r="F24" s="472"/>
      <c r="G24" s="483"/>
      <c r="H24" s="472"/>
    </row>
    <row r="25" spans="1:8" s="437" customFormat="1">
      <c r="B25" s="437" t="s">
        <v>932</v>
      </c>
      <c r="C25" s="479"/>
      <c r="D25" s="481"/>
      <c r="E25" s="482"/>
      <c r="F25" s="481"/>
      <c r="G25" s="487">
        <f>IF(C7=0,0,C24/C7)</f>
        <v>0</v>
      </c>
      <c r="H25" s="481" t="s">
        <v>9</v>
      </c>
    </row>
    <row r="26" spans="1:8">
      <c r="A26" s="437"/>
      <c r="B26" s="437"/>
      <c r="C26" s="479"/>
      <c r="D26" s="481"/>
      <c r="E26" s="482"/>
      <c r="F26" s="472"/>
      <c r="G26" s="483"/>
      <c r="H26" s="472"/>
    </row>
    <row r="27" spans="1:8">
      <c r="A27" s="437" t="s">
        <v>933</v>
      </c>
      <c r="B27" s="437"/>
      <c r="C27" s="479"/>
      <c r="D27" s="481"/>
      <c r="E27" s="482"/>
      <c r="F27" s="472"/>
      <c r="G27" s="483"/>
      <c r="H27" s="472"/>
    </row>
    <row r="28" spans="1:8">
      <c r="A28" s="437"/>
      <c r="B28" s="434" t="s">
        <v>48</v>
      </c>
      <c r="C28" s="491">
        <f>(C11+C22)/2+C14</f>
        <v>930000</v>
      </c>
      <c r="D28" s="494" t="s">
        <v>2</v>
      </c>
      <c r="E28" s="482" t="s">
        <v>934</v>
      </c>
      <c r="F28" s="472"/>
      <c r="G28" s="483"/>
      <c r="H28" s="472"/>
    </row>
    <row r="29" spans="1:8">
      <c r="A29" s="437"/>
      <c r="B29" s="434" t="s">
        <v>49</v>
      </c>
      <c r="C29" s="495">
        <f>'[1]Grunnlag alle kalkyler'!C8</f>
        <v>4.5999999999999999E-2</v>
      </c>
      <c r="D29" s="472"/>
      <c r="E29" s="482"/>
      <c r="F29" s="472"/>
      <c r="G29" s="483"/>
      <c r="H29" s="472"/>
    </row>
    <row r="30" spans="1:8">
      <c r="A30" s="437"/>
      <c r="B30" s="434" t="s">
        <v>935</v>
      </c>
      <c r="C30" s="493">
        <f>C28*C29</f>
        <v>42780</v>
      </c>
      <c r="D30" s="472" t="s">
        <v>2</v>
      </c>
      <c r="E30" s="482"/>
      <c r="F30" s="472"/>
      <c r="G30" s="483"/>
      <c r="H30" s="472"/>
    </row>
    <row r="31" spans="1:8" s="437" customFormat="1">
      <c r="B31" s="437" t="s">
        <v>936</v>
      </c>
      <c r="C31" s="496"/>
      <c r="D31" s="481"/>
      <c r="E31" s="482"/>
      <c r="F31" s="481"/>
      <c r="G31" s="487">
        <f>IF(C7=0,0,C30/C7)</f>
        <v>0.71299999999999997</v>
      </c>
      <c r="H31" s="481" t="s">
        <v>9</v>
      </c>
    </row>
    <row r="32" spans="1:8">
      <c r="A32" s="437"/>
      <c r="B32" s="437"/>
      <c r="C32" s="496"/>
      <c r="D32" s="481"/>
      <c r="E32" s="482"/>
      <c r="F32" s="472"/>
      <c r="G32" s="483"/>
      <c r="H32" s="472"/>
    </row>
    <row r="33" spans="1:8">
      <c r="A33" s="437" t="s">
        <v>937</v>
      </c>
      <c r="B33" s="437"/>
      <c r="C33" s="496"/>
      <c r="D33" s="481"/>
      <c r="E33" s="482"/>
      <c r="F33" s="472"/>
      <c r="G33" s="483"/>
      <c r="H33" s="472"/>
    </row>
    <row r="34" spans="1:8">
      <c r="A34" s="437"/>
      <c r="B34" s="434" t="s">
        <v>938</v>
      </c>
      <c r="C34" s="484">
        <v>32000</v>
      </c>
      <c r="D34" s="481"/>
      <c r="E34" s="482"/>
      <c r="F34" s="472"/>
      <c r="G34" s="483"/>
      <c r="H34" s="472"/>
    </row>
    <row r="35" spans="1:8">
      <c r="A35" s="437"/>
      <c r="B35" s="434" t="s">
        <v>8</v>
      </c>
      <c r="C35" s="484">
        <v>10052</v>
      </c>
      <c r="D35" s="481"/>
      <c r="E35" s="482"/>
      <c r="F35" s="472"/>
      <c r="G35" s="483"/>
      <c r="H35" s="472"/>
    </row>
    <row r="36" spans="1:8">
      <c r="A36" s="437"/>
      <c r="B36" s="434" t="s">
        <v>52</v>
      </c>
      <c r="C36" s="484">
        <v>0</v>
      </c>
      <c r="D36" s="481"/>
      <c r="E36" s="482"/>
      <c r="F36" s="472"/>
      <c r="G36" s="483"/>
      <c r="H36" s="472"/>
    </row>
    <row r="37" spans="1:8">
      <c r="A37" s="437"/>
      <c r="B37" s="434" t="s">
        <v>53</v>
      </c>
      <c r="C37" s="484">
        <v>0</v>
      </c>
      <c r="D37" s="481"/>
      <c r="E37" s="482"/>
      <c r="F37" s="472"/>
      <c r="G37" s="483"/>
      <c r="H37" s="472"/>
    </row>
    <row r="38" spans="1:8">
      <c r="A38" s="437"/>
      <c r="B38" s="472" t="s">
        <v>20</v>
      </c>
      <c r="C38" s="497">
        <v>840</v>
      </c>
      <c r="D38" s="481"/>
      <c r="E38" s="482"/>
      <c r="F38" s="472"/>
      <c r="G38" s="483"/>
      <c r="H38" s="472"/>
    </row>
    <row r="39" spans="1:8">
      <c r="A39" s="437"/>
      <c r="B39" s="481" t="s">
        <v>939</v>
      </c>
      <c r="C39" s="402">
        <f>SUM(C34:C38)</f>
        <v>42892</v>
      </c>
      <c r="D39" s="472" t="s">
        <v>2</v>
      </c>
      <c r="E39" s="482"/>
      <c r="F39" s="472"/>
      <c r="G39" s="483"/>
      <c r="H39" s="472"/>
    </row>
    <row r="40" spans="1:8">
      <c r="B40" s="434" t="s">
        <v>871</v>
      </c>
      <c r="C40" s="485">
        <f>C39*C5</f>
        <v>42892</v>
      </c>
      <c r="D40" s="472" t="s">
        <v>2</v>
      </c>
      <c r="E40" s="482"/>
      <c r="F40" s="472"/>
      <c r="G40" s="483"/>
      <c r="H40" s="472"/>
    </row>
    <row r="41" spans="1:8" s="437" customFormat="1">
      <c r="B41" s="437" t="s">
        <v>940</v>
      </c>
      <c r="C41" s="479"/>
      <c r="D41" s="481"/>
      <c r="E41" s="482"/>
      <c r="F41" s="481"/>
      <c r="G41" s="487">
        <f>IF(C7=0,0,C40/C7)</f>
        <v>0.71486666666666665</v>
      </c>
      <c r="H41" s="481" t="s">
        <v>9</v>
      </c>
    </row>
    <row r="42" spans="1:8">
      <c r="A42" s="437"/>
      <c r="B42" s="437"/>
      <c r="C42" s="480"/>
      <c r="D42" s="481"/>
      <c r="E42" s="482"/>
      <c r="F42" s="472"/>
      <c r="G42" s="483"/>
      <c r="H42" s="472"/>
    </row>
    <row r="43" spans="1:8">
      <c r="A43" s="437" t="s">
        <v>54</v>
      </c>
      <c r="B43" s="437"/>
      <c r="C43" s="480"/>
      <c r="D43" s="481"/>
      <c r="E43" s="410"/>
      <c r="F43" s="472"/>
      <c r="G43" s="483"/>
      <c r="H43" s="498"/>
    </row>
    <row r="44" spans="1:8">
      <c r="A44" s="437"/>
      <c r="B44" s="434" t="s">
        <v>55</v>
      </c>
      <c r="C44" s="483">
        <f>'[1]Grunnlag alle kalkyler'!C15</f>
        <v>10.86</v>
      </c>
      <c r="D44" s="472" t="s">
        <v>2</v>
      </c>
      <c r="E44" s="410"/>
      <c r="F44" s="499"/>
      <c r="G44" s="483"/>
      <c r="H44" s="498"/>
    </row>
    <row r="45" spans="1:8">
      <c r="A45" s="437"/>
      <c r="B45" s="434" t="s">
        <v>57</v>
      </c>
      <c r="C45" s="500">
        <v>0.42</v>
      </c>
      <c r="D45" s="472" t="s">
        <v>941</v>
      </c>
      <c r="E45" s="410"/>
      <c r="F45" s="472"/>
      <c r="G45" s="483"/>
      <c r="H45" s="472"/>
    </row>
    <row r="46" spans="1:8">
      <c r="A46" s="437"/>
      <c r="B46" s="434" t="s">
        <v>59</v>
      </c>
      <c r="C46" s="493">
        <f>C45*C7</f>
        <v>25200</v>
      </c>
      <c r="D46" s="472" t="s">
        <v>941</v>
      </c>
      <c r="E46" s="410"/>
      <c r="F46" s="472"/>
      <c r="G46" s="483"/>
      <c r="H46" s="472"/>
    </row>
    <row r="47" spans="1:8">
      <c r="A47" s="437"/>
      <c r="B47" s="434" t="s">
        <v>942</v>
      </c>
      <c r="C47" s="501">
        <f>C46*C44</f>
        <v>273672</v>
      </c>
      <c r="D47" s="472" t="s">
        <v>2</v>
      </c>
      <c r="E47" s="482"/>
      <c r="F47" s="472"/>
      <c r="G47" s="483"/>
      <c r="H47" s="472"/>
    </row>
    <row r="48" spans="1:8">
      <c r="A48" s="437"/>
      <c r="B48" s="434" t="s">
        <v>61</v>
      </c>
      <c r="C48" s="502">
        <v>0.03</v>
      </c>
      <c r="D48" s="472"/>
      <c r="E48" s="503"/>
      <c r="F48" s="481"/>
      <c r="G48" s="483"/>
      <c r="H48" s="472"/>
    </row>
    <row r="49" spans="1:13" s="437" customFormat="1">
      <c r="B49" s="437" t="s">
        <v>943</v>
      </c>
      <c r="C49" s="479"/>
      <c r="D49" s="481"/>
      <c r="E49" s="482">
        <f>IF(C7=0,0,(C47/C7)+((C47/C7)*C48))</f>
        <v>4.6980360000000001</v>
      </c>
      <c r="F49" s="481" t="s">
        <v>9</v>
      </c>
      <c r="G49" s="487"/>
      <c r="H49" s="481"/>
    </row>
    <row r="50" spans="1:13">
      <c r="A50" s="437"/>
      <c r="B50" s="437"/>
      <c r="C50" s="504"/>
      <c r="D50" s="505"/>
      <c r="E50" s="482"/>
      <c r="F50" s="472"/>
      <c r="G50" s="483"/>
      <c r="H50" s="472"/>
    </row>
    <row r="51" spans="1:13">
      <c r="A51" s="437" t="s">
        <v>944</v>
      </c>
      <c r="B51" s="437"/>
      <c r="C51" s="479"/>
      <c r="D51" s="472"/>
      <c r="E51" s="482"/>
      <c r="F51" s="472"/>
      <c r="G51" s="483"/>
      <c r="H51" s="472"/>
    </row>
    <row r="52" spans="1:13">
      <c r="A52" s="437"/>
      <c r="B52" s="434" t="s">
        <v>64</v>
      </c>
      <c r="C52" s="492">
        <v>10</v>
      </c>
      <c r="D52" s="472" t="s">
        <v>36</v>
      </c>
      <c r="E52" s="482"/>
      <c r="F52" s="472"/>
      <c r="G52" s="483"/>
      <c r="H52" s="472"/>
    </row>
    <row r="53" spans="1:13">
      <c r="A53" s="437"/>
      <c r="B53" s="434" t="s">
        <v>65</v>
      </c>
      <c r="C53" s="491">
        <f>'[1]Grunnlag alle kalkyler'!C18</f>
        <v>4500</v>
      </c>
      <c r="D53" s="472" t="s">
        <v>2</v>
      </c>
      <c r="E53" s="482"/>
      <c r="F53" s="472"/>
      <c r="G53" s="483"/>
      <c r="H53" s="472"/>
    </row>
    <row r="54" spans="1:13">
      <c r="A54" s="437"/>
      <c r="B54" s="434" t="s">
        <v>66</v>
      </c>
      <c r="C54" s="484">
        <v>60000</v>
      </c>
      <c r="D54" s="472" t="s">
        <v>13</v>
      </c>
      <c r="E54" s="482"/>
      <c r="F54" s="472"/>
      <c r="G54" s="483"/>
      <c r="H54" s="472"/>
    </row>
    <row r="55" spans="1:13">
      <c r="A55" s="437"/>
      <c r="B55" s="434" t="s">
        <v>67</v>
      </c>
      <c r="C55" s="506">
        <f>C52*C7/C54</f>
        <v>10</v>
      </c>
      <c r="D55" s="472" t="s">
        <v>36</v>
      </c>
      <c r="E55" s="482"/>
      <c r="F55" s="472"/>
      <c r="G55" s="483"/>
      <c r="H55" s="472"/>
    </row>
    <row r="56" spans="1:13">
      <c r="A56" s="437"/>
      <c r="B56" s="434" t="s">
        <v>945</v>
      </c>
      <c r="C56" s="493">
        <f>C55*C53</f>
        <v>45000</v>
      </c>
      <c r="D56" s="472" t="s">
        <v>2</v>
      </c>
      <c r="E56" s="482"/>
      <c r="F56" s="472"/>
      <c r="G56" s="483"/>
      <c r="H56" s="472"/>
    </row>
    <row r="57" spans="1:13" s="437" customFormat="1">
      <c r="B57" s="437" t="s">
        <v>946</v>
      </c>
      <c r="C57" s="496"/>
      <c r="D57" s="481"/>
      <c r="E57" s="482">
        <f>IF(C7=0,0,C56/C7)</f>
        <v>0.75</v>
      </c>
      <c r="F57" s="481" t="s">
        <v>9</v>
      </c>
      <c r="G57" s="487"/>
      <c r="H57" s="481"/>
    </row>
    <row r="58" spans="1:13">
      <c r="A58" s="437"/>
      <c r="B58" s="437"/>
      <c r="C58" s="496"/>
      <c r="D58" s="507"/>
      <c r="E58" s="482"/>
      <c r="F58" s="472"/>
      <c r="G58" s="483"/>
      <c r="H58" s="472"/>
    </row>
    <row r="59" spans="1:13">
      <c r="A59" s="437" t="s">
        <v>947</v>
      </c>
      <c r="B59" s="437"/>
      <c r="C59" s="496"/>
      <c r="D59" s="507"/>
      <c r="E59" s="482"/>
      <c r="F59" s="472"/>
      <c r="G59" s="483"/>
      <c r="H59" s="472"/>
    </row>
    <row r="60" spans="1:13">
      <c r="A60" s="437"/>
      <c r="B60" s="434" t="s">
        <v>948</v>
      </c>
      <c r="C60" s="484">
        <v>4000</v>
      </c>
      <c r="D60" s="472" t="s">
        <v>2</v>
      </c>
      <c r="E60" s="482"/>
      <c r="F60" s="472"/>
      <c r="G60" s="483"/>
      <c r="H60" s="472"/>
    </row>
    <row r="61" spans="1:13">
      <c r="A61" s="437"/>
      <c r="B61" s="434" t="s">
        <v>949</v>
      </c>
      <c r="C61" s="485">
        <f>C60*C5</f>
        <v>4000</v>
      </c>
      <c r="D61" s="472" t="s">
        <v>2</v>
      </c>
      <c r="E61" s="410"/>
      <c r="F61" s="472"/>
      <c r="G61" s="483"/>
      <c r="H61" s="472"/>
      <c r="M61" s="508"/>
    </row>
    <row r="62" spans="1:13" s="437" customFormat="1">
      <c r="B62" s="437" t="s">
        <v>950</v>
      </c>
      <c r="C62" s="479"/>
      <c r="D62" s="481"/>
      <c r="E62" s="482">
        <f>IF(C7=0,0,C61/C7)</f>
        <v>6.6666666666666666E-2</v>
      </c>
      <c r="F62" s="481" t="s">
        <v>9</v>
      </c>
      <c r="G62" s="487"/>
      <c r="H62" s="481"/>
    </row>
    <row r="63" spans="1:13">
      <c r="A63" s="437"/>
      <c r="B63" s="437"/>
      <c r="C63" s="479"/>
      <c r="D63" s="481"/>
      <c r="E63" s="482"/>
      <c r="F63" s="472"/>
      <c r="G63" s="483"/>
      <c r="H63" s="472"/>
    </row>
    <row r="64" spans="1:13">
      <c r="A64" s="437" t="s">
        <v>26</v>
      </c>
      <c r="B64" s="437"/>
      <c r="C64" s="479"/>
      <c r="D64" s="481"/>
      <c r="E64" s="482"/>
      <c r="F64" s="472"/>
      <c r="G64" s="483"/>
      <c r="H64" s="472"/>
    </row>
    <row r="65" spans="1:17">
      <c r="A65" s="437"/>
      <c r="B65" s="434" t="s">
        <v>71</v>
      </c>
      <c r="C65" s="493">
        <f>E66*C7</f>
        <v>0</v>
      </c>
      <c r="D65" s="481" t="s">
        <v>934</v>
      </c>
      <c r="E65" s="482"/>
      <c r="F65" s="472"/>
      <c r="G65" s="483"/>
      <c r="H65" s="472"/>
    </row>
    <row r="66" spans="1:17" s="437" customFormat="1">
      <c r="B66" s="437" t="s">
        <v>951</v>
      </c>
      <c r="C66" s="479"/>
      <c r="D66" s="481"/>
      <c r="E66" s="509">
        <v>0</v>
      </c>
      <c r="F66" s="481" t="s">
        <v>9</v>
      </c>
      <c r="G66" s="487"/>
      <c r="H66" s="481"/>
    </row>
    <row r="67" spans="1:17">
      <c r="A67" s="437"/>
      <c r="B67" s="437"/>
      <c r="C67" s="479"/>
      <c r="D67" s="481"/>
      <c r="E67" s="482"/>
      <c r="F67" s="472"/>
      <c r="G67" s="483"/>
      <c r="H67" s="472"/>
    </row>
    <row r="68" spans="1:17">
      <c r="A68" s="437" t="s">
        <v>73</v>
      </c>
      <c r="B68" s="437"/>
      <c r="C68" s="448"/>
      <c r="D68" s="481"/>
      <c r="E68" s="410"/>
      <c r="F68" s="472"/>
      <c r="G68" s="483"/>
      <c r="H68" s="472"/>
    </row>
    <row r="69" spans="1:17">
      <c r="A69" s="437"/>
      <c r="B69" s="434" t="s">
        <v>952</v>
      </c>
      <c r="C69" s="484">
        <v>138000</v>
      </c>
      <c r="D69" s="481"/>
      <c r="E69" s="510"/>
      <c r="F69" s="511"/>
      <c r="G69" s="483"/>
      <c r="H69" s="472"/>
      <c r="I69" s="434" t="s">
        <v>953</v>
      </c>
    </row>
    <row r="70" spans="1:17">
      <c r="A70" s="437"/>
      <c r="B70" s="434" t="s">
        <v>954</v>
      </c>
      <c r="C70" s="485">
        <f>C69*C5</f>
        <v>138000</v>
      </c>
      <c r="D70" s="472"/>
      <c r="E70" s="410"/>
      <c r="F70" s="472"/>
      <c r="G70" s="483"/>
      <c r="H70" s="472"/>
      <c r="P70" s="512"/>
      <c r="Q70" s="437"/>
    </row>
    <row r="71" spans="1:17" s="437" customFormat="1">
      <c r="B71" s="437" t="s">
        <v>955</v>
      </c>
      <c r="C71" s="496"/>
      <c r="D71" s="481"/>
      <c r="E71" s="482">
        <f>IF(C7=0,0,C70/C7)</f>
        <v>2.2999999999999998</v>
      </c>
      <c r="F71" s="481" t="s">
        <v>9</v>
      </c>
      <c r="G71" s="487"/>
      <c r="H71" s="481"/>
    </row>
    <row r="72" spans="1:17">
      <c r="A72" s="437"/>
      <c r="B72" s="437"/>
      <c r="C72" s="496"/>
      <c r="D72" s="481"/>
      <c r="E72" s="482"/>
      <c r="F72" s="472"/>
      <c r="G72" s="483"/>
      <c r="H72" s="472"/>
      <c r="P72" s="513"/>
    </row>
    <row r="73" spans="1:17">
      <c r="A73" s="437" t="s">
        <v>76</v>
      </c>
      <c r="B73" s="437"/>
      <c r="C73" s="493"/>
      <c r="D73" s="481"/>
      <c r="E73" s="410"/>
      <c r="F73" s="472"/>
      <c r="G73" s="483"/>
      <c r="H73" s="472"/>
    </row>
    <row r="74" spans="1:17">
      <c r="A74" s="437"/>
      <c r="B74" s="434" t="s">
        <v>956</v>
      </c>
      <c r="C74" s="484">
        <v>0</v>
      </c>
      <c r="D74" s="481"/>
      <c r="E74" s="482"/>
      <c r="F74" s="511"/>
      <c r="G74" s="483"/>
      <c r="H74" s="472"/>
    </row>
    <row r="75" spans="1:17">
      <c r="A75" s="437"/>
      <c r="B75" s="434" t="s">
        <v>77</v>
      </c>
      <c r="C75" s="514">
        <f>C74*C5</f>
        <v>0</v>
      </c>
      <c r="D75" s="481"/>
      <c r="E75" s="482"/>
      <c r="F75" s="511"/>
      <c r="G75" s="483"/>
      <c r="H75" s="472"/>
    </row>
    <row r="76" spans="1:17">
      <c r="A76" s="437"/>
      <c r="B76" s="437" t="s">
        <v>957</v>
      </c>
      <c r="C76" s="493"/>
      <c r="D76" s="472"/>
      <c r="E76" s="482">
        <f>IF(C7=0,0,C75/C7)</f>
        <v>0</v>
      </c>
      <c r="F76" s="481" t="s">
        <v>9</v>
      </c>
      <c r="G76" s="483"/>
      <c r="H76" s="472"/>
    </row>
    <row r="77" spans="1:17">
      <c r="A77" s="437"/>
      <c r="C77" s="493"/>
      <c r="D77" s="472"/>
      <c r="E77" s="410"/>
      <c r="F77" s="472"/>
      <c r="G77" s="483"/>
      <c r="H77" s="472"/>
    </row>
    <row r="78" spans="1:17">
      <c r="A78" s="437" t="s">
        <v>79</v>
      </c>
      <c r="C78" s="493"/>
      <c r="D78" s="472"/>
      <c r="E78" s="410"/>
      <c r="F78" s="472"/>
      <c r="G78" s="483"/>
      <c r="H78" s="472"/>
    </row>
    <row r="79" spans="1:17">
      <c r="A79" s="437"/>
      <c r="B79" s="434" t="s">
        <v>958</v>
      </c>
      <c r="C79" s="484">
        <v>4000</v>
      </c>
      <c r="D79" s="472"/>
      <c r="E79" s="482"/>
      <c r="F79" s="472"/>
      <c r="G79" s="483"/>
      <c r="H79" s="472"/>
    </row>
    <row r="80" spans="1:17">
      <c r="B80" s="434" t="s">
        <v>80</v>
      </c>
      <c r="C80" s="514">
        <f>C79*C5</f>
        <v>4000</v>
      </c>
      <c r="D80" s="481"/>
      <c r="E80" s="410"/>
      <c r="F80" s="472"/>
      <c r="G80" s="483"/>
      <c r="H80" s="472"/>
    </row>
    <row r="81" spans="1:8" s="437" customFormat="1">
      <c r="B81" s="437" t="s">
        <v>959</v>
      </c>
      <c r="C81" s="496"/>
      <c r="D81" s="481"/>
      <c r="E81" s="482">
        <f>IF(C7=0,0,C80/C7)</f>
        <v>6.6666666666666666E-2</v>
      </c>
      <c r="F81" s="481" t="s">
        <v>9</v>
      </c>
      <c r="G81" s="487"/>
      <c r="H81" s="481"/>
    </row>
    <row r="82" spans="1:8">
      <c r="C82" s="493"/>
      <c r="D82" s="472"/>
      <c r="E82" s="410"/>
      <c r="F82" s="472"/>
      <c r="G82" s="483"/>
      <c r="H82" s="472"/>
    </row>
    <row r="83" spans="1:8">
      <c r="A83" s="437" t="s">
        <v>82</v>
      </c>
      <c r="C83" s="493"/>
      <c r="D83" s="472"/>
      <c r="E83" s="410"/>
      <c r="F83" s="472"/>
      <c r="G83" s="483"/>
      <c r="H83" s="472"/>
    </row>
    <row r="84" spans="1:8">
      <c r="B84" s="434" t="s">
        <v>960</v>
      </c>
      <c r="C84" s="515">
        <v>100</v>
      </c>
      <c r="D84" s="472"/>
      <c r="E84" s="410"/>
      <c r="F84" s="472"/>
      <c r="G84" s="483"/>
      <c r="H84" s="472"/>
    </row>
    <row r="85" spans="1:8">
      <c r="B85" s="434" t="s">
        <v>85</v>
      </c>
      <c r="C85" s="491">
        <f>'[1]Grunnlag alle kalkyler'!C22</f>
        <v>289</v>
      </c>
      <c r="D85" s="472"/>
      <c r="E85" s="410"/>
      <c r="F85" s="472"/>
      <c r="G85" s="483"/>
      <c r="H85" s="472"/>
    </row>
    <row r="86" spans="1:8">
      <c r="B86" s="434" t="s">
        <v>86</v>
      </c>
      <c r="C86" s="516">
        <f>(C84*C85)*C5</f>
        <v>28900</v>
      </c>
      <c r="D86" s="472"/>
      <c r="E86" s="410"/>
      <c r="F86" s="472"/>
      <c r="G86" s="483"/>
      <c r="H86" s="472"/>
    </row>
    <row r="87" spans="1:8">
      <c r="B87" s="437" t="s">
        <v>961</v>
      </c>
      <c r="C87" s="471"/>
      <c r="D87" s="472"/>
      <c r="E87" s="482">
        <f>IF(C7=0,0,C86/C7)</f>
        <v>0.48166666666666669</v>
      </c>
      <c r="F87" s="481" t="s">
        <v>9</v>
      </c>
      <c r="G87" s="483"/>
      <c r="H87" s="472"/>
    </row>
    <row r="88" spans="1:8">
      <c r="B88" s="437"/>
      <c r="C88" s="471"/>
      <c r="D88" s="472"/>
      <c r="E88" s="482"/>
      <c r="F88" s="481"/>
      <c r="G88" s="483"/>
      <c r="H88" s="472"/>
    </row>
    <row r="89" spans="1:8">
      <c r="B89" s="434" t="s">
        <v>962</v>
      </c>
      <c r="C89" s="515">
        <v>1</v>
      </c>
      <c r="D89" s="472"/>
      <c r="E89" s="410"/>
      <c r="F89" s="472"/>
      <c r="G89" s="483"/>
      <c r="H89" s="472"/>
    </row>
    <row r="90" spans="1:8">
      <c r="B90" s="434" t="s">
        <v>963</v>
      </c>
      <c r="C90" s="515">
        <v>2000</v>
      </c>
      <c r="D90" s="472"/>
      <c r="E90" s="410"/>
      <c r="F90" s="472"/>
      <c r="G90" s="483"/>
      <c r="H90" s="472"/>
    </row>
    <row r="91" spans="1:8">
      <c r="B91" s="434" t="s">
        <v>964</v>
      </c>
      <c r="C91" s="516">
        <f>(C89*C90)*C5</f>
        <v>2000</v>
      </c>
      <c r="D91" s="472"/>
      <c r="E91" s="410"/>
      <c r="F91" s="472"/>
      <c r="G91" s="483"/>
      <c r="H91" s="472"/>
    </row>
    <row r="92" spans="1:8">
      <c r="B92" s="437" t="s">
        <v>965</v>
      </c>
      <c r="C92" s="471"/>
      <c r="D92" s="472"/>
      <c r="E92" s="482">
        <f>IF(C7=0,0,C91/C7)</f>
        <v>3.3333333333333333E-2</v>
      </c>
      <c r="F92" s="481" t="s">
        <v>9</v>
      </c>
      <c r="G92" s="483"/>
      <c r="H92" s="472"/>
    </row>
    <row r="93" spans="1:8">
      <c r="B93" s="437"/>
      <c r="C93" s="471"/>
      <c r="D93" s="472"/>
      <c r="E93" s="482"/>
      <c r="F93" s="481"/>
      <c r="G93" s="483"/>
      <c r="H93" s="472"/>
    </row>
    <row r="94" spans="1:8">
      <c r="B94" s="434" t="s">
        <v>966</v>
      </c>
      <c r="C94" s="515">
        <v>1</v>
      </c>
      <c r="D94" s="472"/>
      <c r="E94" s="410"/>
      <c r="F94" s="472"/>
      <c r="G94" s="483"/>
      <c r="H94" s="472"/>
    </row>
    <row r="95" spans="1:8">
      <c r="B95" s="434" t="s">
        <v>967</v>
      </c>
      <c r="C95" s="515">
        <v>10000</v>
      </c>
      <c r="D95" s="472"/>
      <c r="E95" s="410"/>
      <c r="F95" s="472"/>
      <c r="G95" s="483"/>
      <c r="H95" s="472"/>
    </row>
    <row r="96" spans="1:8">
      <c r="B96" s="434" t="s">
        <v>968</v>
      </c>
      <c r="C96" s="516">
        <f>(C94*C95)*C5</f>
        <v>10000</v>
      </c>
      <c r="D96" s="472"/>
      <c r="E96" s="410"/>
      <c r="F96" s="472"/>
      <c r="G96" s="483"/>
      <c r="H96" s="472"/>
    </row>
    <row r="97" spans="1:8">
      <c r="B97" s="437" t="s">
        <v>92</v>
      </c>
      <c r="C97" s="471"/>
      <c r="D97" s="472"/>
      <c r="E97" s="482">
        <f>IF(C7=0,0,C96/C7)</f>
        <v>0.16666666666666666</v>
      </c>
      <c r="F97" s="481" t="s">
        <v>9</v>
      </c>
      <c r="G97" s="483"/>
      <c r="H97" s="472"/>
    </row>
    <row r="98" spans="1:8">
      <c r="C98" s="448"/>
      <c r="D98" s="472"/>
      <c r="E98" s="410"/>
      <c r="F98" s="472"/>
      <c r="G98" s="483"/>
      <c r="H98" s="472"/>
    </row>
    <row r="99" spans="1:8">
      <c r="A99" s="437" t="s">
        <v>93</v>
      </c>
      <c r="C99" s="448"/>
      <c r="D99" s="472"/>
      <c r="E99" s="410"/>
      <c r="F99" s="472"/>
      <c r="G99" s="483"/>
      <c r="H99" s="472"/>
    </row>
    <row r="100" spans="1:8">
      <c r="B100" s="434" t="s">
        <v>94</v>
      </c>
      <c r="C100" s="515">
        <v>0</v>
      </c>
      <c r="D100" s="472" t="s">
        <v>13</v>
      </c>
      <c r="E100" s="410"/>
      <c r="F100" s="472"/>
      <c r="G100" s="483"/>
      <c r="H100" s="472"/>
    </row>
    <row r="101" spans="1:8">
      <c r="B101" s="434" t="s">
        <v>969</v>
      </c>
      <c r="C101" s="500">
        <v>3.9</v>
      </c>
      <c r="D101" s="472" t="s">
        <v>2</v>
      </c>
      <c r="E101" s="410"/>
      <c r="F101" s="472"/>
      <c r="G101" s="483"/>
      <c r="H101" s="472"/>
    </row>
    <row r="102" spans="1:8">
      <c r="B102" s="434" t="s">
        <v>970</v>
      </c>
      <c r="C102" s="496">
        <f>C100*C101</f>
        <v>0</v>
      </c>
      <c r="D102" s="472" t="s">
        <v>2</v>
      </c>
      <c r="E102" s="410"/>
      <c r="F102" s="472"/>
      <c r="G102" s="483"/>
      <c r="H102" s="472"/>
    </row>
    <row r="103" spans="1:8">
      <c r="B103" s="437" t="s">
        <v>971</v>
      </c>
      <c r="C103" s="448"/>
      <c r="D103" s="472"/>
      <c r="E103" s="482">
        <f>IF(C7=0,0,C102/C7)</f>
        <v>0</v>
      </c>
      <c r="F103" s="481" t="s">
        <v>9</v>
      </c>
      <c r="G103" s="483"/>
      <c r="H103" s="472"/>
    </row>
    <row r="104" spans="1:8">
      <c r="C104" s="448"/>
      <c r="D104" s="472"/>
      <c r="E104" s="410"/>
      <c r="F104" s="472"/>
      <c r="G104" s="483"/>
      <c r="H104" s="472"/>
    </row>
    <row r="105" spans="1:8" ht="17" thickBot="1">
      <c r="B105" s="437" t="s">
        <v>972</v>
      </c>
      <c r="C105" s="448"/>
      <c r="D105" s="472"/>
      <c r="E105" s="517">
        <f>SUM(E9:E104)</f>
        <v>8.5630359999999985</v>
      </c>
      <c r="F105" s="518" t="s">
        <v>9</v>
      </c>
      <c r="G105" s="517">
        <f>SUM(G9:G104)</f>
        <v>5.3028666666666666</v>
      </c>
      <c r="H105" s="518" t="s">
        <v>9</v>
      </c>
    </row>
    <row r="106" spans="1:8" ht="17" thickTop="1">
      <c r="B106" s="437" t="s">
        <v>934</v>
      </c>
    </row>
    <row r="109" spans="1:8">
      <c r="A109" s="437" t="s">
        <v>973</v>
      </c>
    </row>
    <row r="110" spans="1:8">
      <c r="B110" s="440" t="s">
        <v>894</v>
      </c>
      <c r="C110" s="406">
        <f>'[1]Grunnlag alle kalkyler'!C29</f>
        <v>226.46679999999998</v>
      </c>
      <c r="D110" s="434" t="s">
        <v>11</v>
      </c>
    </row>
    <row r="112" spans="1:8">
      <c r="A112" s="437" t="s">
        <v>974</v>
      </c>
    </row>
    <row r="113" spans="1:5">
      <c r="B113" s="434" t="s">
        <v>975</v>
      </c>
      <c r="C113" s="454">
        <v>0.14000000000000001</v>
      </c>
    </row>
    <row r="114" spans="1:5">
      <c r="B114" s="434" t="s">
        <v>976</v>
      </c>
      <c r="C114" s="454">
        <v>0.75</v>
      </c>
      <c r="E114" s="434" t="s">
        <v>977</v>
      </c>
    </row>
    <row r="115" spans="1:5">
      <c r="B115" s="434" t="s">
        <v>978</v>
      </c>
      <c r="C115" s="519">
        <f>C110*C113*C114</f>
        <v>23.779014</v>
      </c>
      <c r="D115" s="434" t="s">
        <v>11</v>
      </c>
      <c r="E115" s="434">
        <f>25/1750</f>
        <v>1.4285714285714285E-2</v>
      </c>
    </row>
    <row r="116" spans="1:5">
      <c r="B116" s="434" t="s">
        <v>934</v>
      </c>
      <c r="C116" s="437" t="s">
        <v>934</v>
      </c>
    </row>
    <row r="117" spans="1:5">
      <c r="C117" s="437"/>
    </row>
    <row r="118" spans="1:5">
      <c r="A118" s="437" t="s">
        <v>979</v>
      </c>
      <c r="C118" s="520"/>
    </row>
    <row r="119" spans="1:5">
      <c r="C119" s="437"/>
    </row>
    <row r="120" spans="1:5">
      <c r="B120" s="434" t="s">
        <v>980</v>
      </c>
      <c r="C120" s="521">
        <f>C110</f>
        <v>226.46679999999998</v>
      </c>
      <c r="D120" s="434" t="s">
        <v>11</v>
      </c>
    </row>
    <row r="121" spans="1:5">
      <c r="B121" s="434" t="s">
        <v>981</v>
      </c>
      <c r="C121" s="454">
        <v>0</v>
      </c>
    </row>
    <row r="122" spans="1:5">
      <c r="B122" s="434" t="s">
        <v>982</v>
      </c>
      <c r="C122" s="454">
        <v>0</v>
      </c>
    </row>
    <row r="123" spans="1:5">
      <c r="B123" s="434" t="s">
        <v>983</v>
      </c>
      <c r="C123" s="521">
        <f>C120*C121*C122</f>
        <v>0</v>
      </c>
      <c r="D123" s="434" t="s">
        <v>11</v>
      </c>
    </row>
    <row r="124" spans="1:5">
      <c r="B124" s="434" t="s">
        <v>934</v>
      </c>
      <c r="C124" s="437"/>
      <c r="D124" s="522" t="s">
        <v>934</v>
      </c>
    </row>
    <row r="125" spans="1:5">
      <c r="C125" s="437"/>
    </row>
    <row r="126" spans="1:5">
      <c r="A126" s="437" t="s">
        <v>984</v>
      </c>
      <c r="C126" s="437"/>
    </row>
    <row r="127" spans="1:5">
      <c r="B127" s="434" t="s">
        <v>980</v>
      </c>
      <c r="C127" s="408">
        <f>C110</f>
        <v>226.46679999999998</v>
      </c>
      <c r="D127" s="434" t="s">
        <v>11</v>
      </c>
    </row>
    <row r="128" spans="1:5">
      <c r="B128" s="434" t="s">
        <v>985</v>
      </c>
      <c r="C128" s="523">
        <f>C115+C123</f>
        <v>23.779014</v>
      </c>
      <c r="D128" s="434" t="s">
        <v>11</v>
      </c>
    </row>
    <row r="129" spans="1:7">
      <c r="B129" s="434" t="s">
        <v>986</v>
      </c>
      <c r="C129" s="523">
        <f>SUM(C127:C128)</f>
        <v>250.24581399999997</v>
      </c>
      <c r="D129" s="434" t="s">
        <v>11</v>
      </c>
    </row>
    <row r="130" spans="1:7">
      <c r="B130" s="434" t="s">
        <v>865</v>
      </c>
      <c r="C130" s="523">
        <f>$C$129*E130</f>
        <v>8.5083576759999993</v>
      </c>
      <c r="D130" s="434" t="s">
        <v>11</v>
      </c>
      <c r="E130" s="524">
        <f>'[1]Grunnlag alle kalkyler'!C54</f>
        <v>3.4000000000000002E-2</v>
      </c>
    </row>
    <row r="131" spans="1:7">
      <c r="B131" s="434" t="s">
        <v>864</v>
      </c>
      <c r="C131" s="523">
        <f>$C$129*E131</f>
        <v>7.5073744199999988</v>
      </c>
      <c r="D131" s="434" t="s">
        <v>11</v>
      </c>
      <c r="E131" s="524">
        <f>'[1]Grunnlag alle kalkyler'!C55</f>
        <v>0.03</v>
      </c>
    </row>
    <row r="132" spans="1:7">
      <c r="B132" s="434" t="s">
        <v>987</v>
      </c>
      <c r="C132" s="523">
        <f>C129+C130+C131</f>
        <v>266.26154609599996</v>
      </c>
      <c r="D132" s="434" t="s">
        <v>11</v>
      </c>
      <c r="E132" s="470"/>
    </row>
    <row r="133" spans="1:7">
      <c r="B133" s="434" t="s">
        <v>863</v>
      </c>
      <c r="C133" s="523">
        <f>C132*E133</f>
        <v>31.951385531519993</v>
      </c>
      <c r="D133" s="434" t="s">
        <v>11</v>
      </c>
      <c r="E133" s="524">
        <f>'[1]Grunnlag alle kalkyler'!C56</f>
        <v>0.12</v>
      </c>
    </row>
    <row r="134" spans="1:7">
      <c r="B134" s="434" t="s">
        <v>988</v>
      </c>
      <c r="C134" s="523">
        <f>C132+C133</f>
        <v>298.21293162751994</v>
      </c>
      <c r="D134" s="434" t="s">
        <v>11</v>
      </c>
    </row>
    <row r="135" spans="1:7">
      <c r="B135" s="434" t="s">
        <v>989</v>
      </c>
      <c r="C135" s="523">
        <f>E135*C134</f>
        <v>63.519354436661736</v>
      </c>
      <c r="D135" s="434" t="s">
        <v>11</v>
      </c>
      <c r="E135" s="525">
        <f>'[1]Grunnlag alle kalkyler'!C68</f>
        <v>0.21299999999999997</v>
      </c>
    </row>
    <row r="136" spans="1:7">
      <c r="B136" s="434" t="s">
        <v>990</v>
      </c>
      <c r="C136" s="521"/>
      <c r="E136" s="526">
        <f>SUM(E130:E135)</f>
        <v>0.39699999999999996</v>
      </c>
    </row>
    <row r="137" spans="1:7">
      <c r="B137" s="437" t="s">
        <v>991</v>
      </c>
      <c r="C137" s="521">
        <f>C135+C134</f>
        <v>361.73228606418166</v>
      </c>
      <c r="D137" s="434" t="s">
        <v>11</v>
      </c>
    </row>
    <row r="138" spans="1:7">
      <c r="B138" s="434" t="s">
        <v>992</v>
      </c>
      <c r="C138" s="521">
        <f>IF(C7=0,0,C137/C141)</f>
        <v>8.3483103176593971</v>
      </c>
      <c r="D138" s="434" t="s">
        <v>9</v>
      </c>
      <c r="E138" s="402">
        <f>C138*C7</f>
        <v>500898.61905956385</v>
      </c>
      <c r="G138" s="527"/>
    </row>
    <row r="140" spans="1:7">
      <c r="B140" s="437" t="s">
        <v>993</v>
      </c>
      <c r="C140" s="404">
        <f>C7/C141</f>
        <v>1384.721901684745</v>
      </c>
      <c r="D140" s="434" t="s">
        <v>876</v>
      </c>
      <c r="F140" s="528"/>
    </row>
    <row r="141" spans="1:7">
      <c r="B141" s="437" t="s">
        <v>994</v>
      </c>
      <c r="C141" s="529">
        <f>'[1]Grunnlag alle kalkyler'!C32</f>
        <v>43.33</v>
      </c>
      <c r="D141" s="434" t="s">
        <v>12</v>
      </c>
      <c r="F141" s="402"/>
    </row>
    <row r="142" spans="1:7">
      <c r="F142" s="530"/>
    </row>
    <row r="143" spans="1:7">
      <c r="A143" s="437" t="s">
        <v>995</v>
      </c>
      <c r="F143" s="402"/>
    </row>
    <row r="144" spans="1:7">
      <c r="B144" s="434" t="s">
        <v>996</v>
      </c>
      <c r="C144" s="445">
        <f>E105</f>
        <v>8.5630359999999985</v>
      </c>
      <c r="D144" s="434" t="s">
        <v>9</v>
      </c>
    </row>
    <row r="145" spans="2:6">
      <c r="B145" s="434" t="s">
        <v>997</v>
      </c>
      <c r="C145" s="445">
        <f>G105</f>
        <v>5.3028666666666666</v>
      </c>
      <c r="D145" s="434" t="s">
        <v>9</v>
      </c>
      <c r="F145" s="528"/>
    </row>
    <row r="146" spans="2:6">
      <c r="B146" s="434" t="s">
        <v>998</v>
      </c>
      <c r="C146" s="531">
        <f>C138</f>
        <v>8.3483103176593971</v>
      </c>
      <c r="D146" s="434" t="s">
        <v>9</v>
      </c>
    </row>
    <row r="147" spans="2:6">
      <c r="B147" s="437" t="s">
        <v>999</v>
      </c>
      <c r="C147" s="532">
        <f>SUM(C144:C146)</f>
        <v>22.214212984326061</v>
      </c>
      <c r="D147" s="437" t="s">
        <v>9</v>
      </c>
    </row>
    <row r="149" spans="2:6">
      <c r="B149" s="434" t="s">
        <v>7</v>
      </c>
      <c r="C149" s="531">
        <f>C147*'[1]Grunnlag alle kalkyler'!C59</f>
        <v>0.88856851937304249</v>
      </c>
      <c r="D149" s="434" t="s">
        <v>9</v>
      </c>
    </row>
    <row r="150" spans="2:6">
      <c r="B150" s="434" t="s">
        <v>114</v>
      </c>
      <c r="C150" s="531">
        <f>C147*'[1]Grunnlag alle kalkyler'!C60</f>
        <v>0.88856851937304249</v>
      </c>
      <c r="D150" s="434" t="s">
        <v>9</v>
      </c>
    </row>
    <row r="152" spans="2:6">
      <c r="B152" s="437" t="s">
        <v>1000</v>
      </c>
      <c r="C152" s="532">
        <f>SUM(C147:C150)</f>
        <v>23.991350023072144</v>
      </c>
      <c r="D152" s="437" t="s">
        <v>9</v>
      </c>
    </row>
  </sheetData>
  <pageMargins left="0.74803149606299213" right="0.74803149606299213" top="0.98425196850393704" bottom="0.98425196850393704" header="0.51181102362204722" footer="0.51181102362204722"/>
  <pageSetup paperSize="9" scale="61" fitToHeight="3" orientation="portrait"/>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54DB5-EB60-BD47-9D10-66F6D11B4D8D}">
  <sheetPr>
    <tabColor rgb="FFFF0000"/>
    <pageSetUpPr fitToPage="1"/>
  </sheetPr>
  <dimension ref="A1:U511"/>
  <sheetViews>
    <sheetView zoomScale="110" zoomScaleNormal="110" workbookViewId="0">
      <pane ySplit="2" topLeftCell="A3" activePane="bottomLeft" state="frozen"/>
      <selection pane="bottomLeft" activeCell="B31" sqref="B31"/>
    </sheetView>
  </sheetViews>
  <sheetFormatPr baseColWidth="10" defaultColWidth="11.5" defaultRowHeight="16"/>
  <cols>
    <col min="1" max="1" width="11.5" style="434"/>
    <col min="2" max="2" width="58.83203125" style="434" customWidth="1"/>
    <col min="3" max="3" width="13.5" style="434" bestFit="1" customWidth="1"/>
    <col min="4" max="6" width="11.5" style="434"/>
    <col min="7" max="7" width="12.83203125" style="434" bestFit="1" customWidth="1"/>
    <col min="8" max="257" width="11.5" style="434"/>
    <col min="258" max="258" width="58.83203125" style="434" customWidth="1"/>
    <col min="259" max="259" width="13.5" style="434" bestFit="1" customWidth="1"/>
    <col min="260" max="262" width="11.5" style="434"/>
    <col min="263" max="263" width="12.83203125" style="434" bestFit="1" customWidth="1"/>
    <col min="264" max="513" width="11.5" style="434"/>
    <col min="514" max="514" width="58.83203125" style="434" customWidth="1"/>
    <col min="515" max="515" width="13.5" style="434" bestFit="1" customWidth="1"/>
    <col min="516" max="518" width="11.5" style="434"/>
    <col min="519" max="519" width="12.83203125" style="434" bestFit="1" customWidth="1"/>
    <col min="520" max="769" width="11.5" style="434"/>
    <col min="770" max="770" width="58.83203125" style="434" customWidth="1"/>
    <col min="771" max="771" width="13.5" style="434" bestFit="1" customWidth="1"/>
    <col min="772" max="774" width="11.5" style="434"/>
    <col min="775" max="775" width="12.83203125" style="434" bestFit="1" customWidth="1"/>
    <col min="776" max="1025" width="11.5" style="434"/>
    <col min="1026" max="1026" width="58.83203125" style="434" customWidth="1"/>
    <col min="1027" max="1027" width="13.5" style="434" bestFit="1" customWidth="1"/>
    <col min="1028" max="1030" width="11.5" style="434"/>
    <col min="1031" max="1031" width="12.83203125" style="434" bestFit="1" customWidth="1"/>
    <col min="1032" max="1281" width="11.5" style="434"/>
    <col min="1282" max="1282" width="58.83203125" style="434" customWidth="1"/>
    <col min="1283" max="1283" width="13.5" style="434" bestFit="1" customWidth="1"/>
    <col min="1284" max="1286" width="11.5" style="434"/>
    <col min="1287" max="1287" width="12.83203125" style="434" bestFit="1" customWidth="1"/>
    <col min="1288" max="1537" width="11.5" style="434"/>
    <col min="1538" max="1538" width="58.83203125" style="434" customWidth="1"/>
    <col min="1539" max="1539" width="13.5" style="434" bestFit="1" customWidth="1"/>
    <col min="1540" max="1542" width="11.5" style="434"/>
    <col min="1543" max="1543" width="12.83203125" style="434" bestFit="1" customWidth="1"/>
    <col min="1544" max="1793" width="11.5" style="434"/>
    <col min="1794" max="1794" width="58.83203125" style="434" customWidth="1"/>
    <col min="1795" max="1795" width="13.5" style="434" bestFit="1" customWidth="1"/>
    <col min="1796" max="1798" width="11.5" style="434"/>
    <col min="1799" max="1799" width="12.83203125" style="434" bestFit="1" customWidth="1"/>
    <col min="1800" max="2049" width="11.5" style="434"/>
    <col min="2050" max="2050" width="58.83203125" style="434" customWidth="1"/>
    <col min="2051" max="2051" width="13.5" style="434" bestFit="1" customWidth="1"/>
    <col min="2052" max="2054" width="11.5" style="434"/>
    <col min="2055" max="2055" width="12.83203125" style="434" bestFit="1" customWidth="1"/>
    <col min="2056" max="2305" width="11.5" style="434"/>
    <col min="2306" max="2306" width="58.83203125" style="434" customWidth="1"/>
    <col min="2307" max="2307" width="13.5" style="434" bestFit="1" customWidth="1"/>
    <col min="2308" max="2310" width="11.5" style="434"/>
    <col min="2311" max="2311" width="12.83203125" style="434" bestFit="1" customWidth="1"/>
    <col min="2312" max="2561" width="11.5" style="434"/>
    <col min="2562" max="2562" width="58.83203125" style="434" customWidth="1"/>
    <col min="2563" max="2563" width="13.5" style="434" bestFit="1" customWidth="1"/>
    <col min="2564" max="2566" width="11.5" style="434"/>
    <col min="2567" max="2567" width="12.83203125" style="434" bestFit="1" customWidth="1"/>
    <col min="2568" max="2817" width="11.5" style="434"/>
    <col min="2818" max="2818" width="58.83203125" style="434" customWidth="1"/>
    <col min="2819" max="2819" width="13.5" style="434" bestFit="1" customWidth="1"/>
    <col min="2820" max="2822" width="11.5" style="434"/>
    <col min="2823" max="2823" width="12.83203125" style="434" bestFit="1" customWidth="1"/>
    <col min="2824" max="3073" width="11.5" style="434"/>
    <col min="3074" max="3074" width="58.83203125" style="434" customWidth="1"/>
    <col min="3075" max="3075" width="13.5" style="434" bestFit="1" customWidth="1"/>
    <col min="3076" max="3078" width="11.5" style="434"/>
    <col min="3079" max="3079" width="12.83203125" style="434" bestFit="1" customWidth="1"/>
    <col min="3080" max="3329" width="11.5" style="434"/>
    <col min="3330" max="3330" width="58.83203125" style="434" customWidth="1"/>
    <col min="3331" max="3331" width="13.5" style="434" bestFit="1" customWidth="1"/>
    <col min="3332" max="3334" width="11.5" style="434"/>
    <col min="3335" max="3335" width="12.83203125" style="434" bestFit="1" customWidth="1"/>
    <col min="3336" max="3585" width="11.5" style="434"/>
    <col min="3586" max="3586" width="58.83203125" style="434" customWidth="1"/>
    <col min="3587" max="3587" width="13.5" style="434" bestFit="1" customWidth="1"/>
    <col min="3588" max="3590" width="11.5" style="434"/>
    <col min="3591" max="3591" width="12.83203125" style="434" bestFit="1" customWidth="1"/>
    <col min="3592" max="3841" width="11.5" style="434"/>
    <col min="3842" max="3842" width="58.83203125" style="434" customWidth="1"/>
    <col min="3843" max="3843" width="13.5" style="434" bestFit="1" customWidth="1"/>
    <col min="3844" max="3846" width="11.5" style="434"/>
    <col min="3847" max="3847" width="12.83203125" style="434" bestFit="1" customWidth="1"/>
    <col min="3848" max="4097" width="11.5" style="434"/>
    <col min="4098" max="4098" width="58.83203125" style="434" customWidth="1"/>
    <col min="4099" max="4099" width="13.5" style="434" bestFit="1" customWidth="1"/>
    <col min="4100" max="4102" width="11.5" style="434"/>
    <col min="4103" max="4103" width="12.83203125" style="434" bestFit="1" customWidth="1"/>
    <col min="4104" max="4353" width="11.5" style="434"/>
    <col min="4354" max="4354" width="58.83203125" style="434" customWidth="1"/>
    <col min="4355" max="4355" width="13.5" style="434" bestFit="1" customWidth="1"/>
    <col min="4356" max="4358" width="11.5" style="434"/>
    <col min="4359" max="4359" width="12.83203125" style="434" bestFit="1" customWidth="1"/>
    <col min="4360" max="4609" width="11.5" style="434"/>
    <col min="4610" max="4610" width="58.83203125" style="434" customWidth="1"/>
    <col min="4611" max="4611" width="13.5" style="434" bestFit="1" customWidth="1"/>
    <col min="4612" max="4614" width="11.5" style="434"/>
    <col min="4615" max="4615" width="12.83203125" style="434" bestFit="1" customWidth="1"/>
    <col min="4616" max="4865" width="11.5" style="434"/>
    <col min="4866" max="4866" width="58.83203125" style="434" customWidth="1"/>
    <col min="4867" max="4867" width="13.5" style="434" bestFit="1" customWidth="1"/>
    <col min="4868" max="4870" width="11.5" style="434"/>
    <col min="4871" max="4871" width="12.83203125" style="434" bestFit="1" customWidth="1"/>
    <col min="4872" max="5121" width="11.5" style="434"/>
    <col min="5122" max="5122" width="58.83203125" style="434" customWidth="1"/>
    <col min="5123" max="5123" width="13.5" style="434" bestFit="1" customWidth="1"/>
    <col min="5124" max="5126" width="11.5" style="434"/>
    <col min="5127" max="5127" width="12.83203125" style="434" bestFit="1" customWidth="1"/>
    <col min="5128" max="5377" width="11.5" style="434"/>
    <col min="5378" max="5378" width="58.83203125" style="434" customWidth="1"/>
    <col min="5379" max="5379" width="13.5" style="434" bestFit="1" customWidth="1"/>
    <col min="5380" max="5382" width="11.5" style="434"/>
    <col min="5383" max="5383" width="12.83203125" style="434" bestFit="1" customWidth="1"/>
    <col min="5384" max="5633" width="11.5" style="434"/>
    <col min="5634" max="5634" width="58.83203125" style="434" customWidth="1"/>
    <col min="5635" max="5635" width="13.5" style="434" bestFit="1" customWidth="1"/>
    <col min="5636" max="5638" width="11.5" style="434"/>
    <col min="5639" max="5639" width="12.83203125" style="434" bestFit="1" customWidth="1"/>
    <col min="5640" max="5889" width="11.5" style="434"/>
    <col min="5890" max="5890" width="58.83203125" style="434" customWidth="1"/>
    <col min="5891" max="5891" width="13.5" style="434" bestFit="1" customWidth="1"/>
    <col min="5892" max="5894" width="11.5" style="434"/>
    <col min="5895" max="5895" width="12.83203125" style="434" bestFit="1" customWidth="1"/>
    <col min="5896" max="6145" width="11.5" style="434"/>
    <col min="6146" max="6146" width="58.83203125" style="434" customWidth="1"/>
    <col min="6147" max="6147" width="13.5" style="434" bestFit="1" customWidth="1"/>
    <col min="6148" max="6150" width="11.5" style="434"/>
    <col min="6151" max="6151" width="12.83203125" style="434" bestFit="1" customWidth="1"/>
    <col min="6152" max="6401" width="11.5" style="434"/>
    <col min="6402" max="6402" width="58.83203125" style="434" customWidth="1"/>
    <col min="6403" max="6403" width="13.5" style="434" bestFit="1" customWidth="1"/>
    <col min="6404" max="6406" width="11.5" style="434"/>
    <col min="6407" max="6407" width="12.83203125" style="434" bestFit="1" customWidth="1"/>
    <col min="6408" max="6657" width="11.5" style="434"/>
    <col min="6658" max="6658" width="58.83203125" style="434" customWidth="1"/>
    <col min="6659" max="6659" width="13.5" style="434" bestFit="1" customWidth="1"/>
    <col min="6660" max="6662" width="11.5" style="434"/>
    <col min="6663" max="6663" width="12.83203125" style="434" bestFit="1" customWidth="1"/>
    <col min="6664" max="6913" width="11.5" style="434"/>
    <col min="6914" max="6914" width="58.83203125" style="434" customWidth="1"/>
    <col min="6915" max="6915" width="13.5" style="434" bestFit="1" customWidth="1"/>
    <col min="6916" max="6918" width="11.5" style="434"/>
    <col min="6919" max="6919" width="12.83203125" style="434" bestFit="1" customWidth="1"/>
    <col min="6920" max="7169" width="11.5" style="434"/>
    <col min="7170" max="7170" width="58.83203125" style="434" customWidth="1"/>
    <col min="7171" max="7171" width="13.5" style="434" bestFit="1" customWidth="1"/>
    <col min="7172" max="7174" width="11.5" style="434"/>
    <col min="7175" max="7175" width="12.83203125" style="434" bestFit="1" customWidth="1"/>
    <col min="7176" max="7425" width="11.5" style="434"/>
    <col min="7426" max="7426" width="58.83203125" style="434" customWidth="1"/>
    <col min="7427" max="7427" width="13.5" style="434" bestFit="1" customWidth="1"/>
    <col min="7428" max="7430" width="11.5" style="434"/>
    <col min="7431" max="7431" width="12.83203125" style="434" bestFit="1" customWidth="1"/>
    <col min="7432" max="7681" width="11.5" style="434"/>
    <col min="7682" max="7682" width="58.83203125" style="434" customWidth="1"/>
    <col min="7683" max="7683" width="13.5" style="434" bestFit="1" customWidth="1"/>
    <col min="7684" max="7686" width="11.5" style="434"/>
    <col min="7687" max="7687" width="12.83203125" style="434" bestFit="1" customWidth="1"/>
    <col min="7688" max="7937" width="11.5" style="434"/>
    <col min="7938" max="7938" width="58.83203125" style="434" customWidth="1"/>
    <col min="7939" max="7939" width="13.5" style="434" bestFit="1" customWidth="1"/>
    <col min="7940" max="7942" width="11.5" style="434"/>
    <col min="7943" max="7943" width="12.83203125" style="434" bestFit="1" customWidth="1"/>
    <col min="7944" max="8193" width="11.5" style="434"/>
    <col min="8194" max="8194" width="58.83203125" style="434" customWidth="1"/>
    <col min="8195" max="8195" width="13.5" style="434" bestFit="1" customWidth="1"/>
    <col min="8196" max="8198" width="11.5" style="434"/>
    <col min="8199" max="8199" width="12.83203125" style="434" bestFit="1" customWidth="1"/>
    <col min="8200" max="8449" width="11.5" style="434"/>
    <col min="8450" max="8450" width="58.83203125" style="434" customWidth="1"/>
    <col min="8451" max="8451" width="13.5" style="434" bestFit="1" customWidth="1"/>
    <col min="8452" max="8454" width="11.5" style="434"/>
    <col min="8455" max="8455" width="12.83203125" style="434" bestFit="1" customWidth="1"/>
    <col min="8456" max="8705" width="11.5" style="434"/>
    <col min="8706" max="8706" width="58.83203125" style="434" customWidth="1"/>
    <col min="8707" max="8707" width="13.5" style="434" bestFit="1" customWidth="1"/>
    <col min="8708" max="8710" width="11.5" style="434"/>
    <col min="8711" max="8711" width="12.83203125" style="434" bestFit="1" customWidth="1"/>
    <col min="8712" max="8961" width="11.5" style="434"/>
    <col min="8962" max="8962" width="58.83203125" style="434" customWidth="1"/>
    <col min="8963" max="8963" width="13.5" style="434" bestFit="1" customWidth="1"/>
    <col min="8964" max="8966" width="11.5" style="434"/>
    <col min="8967" max="8967" width="12.83203125" style="434" bestFit="1" customWidth="1"/>
    <col min="8968" max="9217" width="11.5" style="434"/>
    <col min="9218" max="9218" width="58.83203125" style="434" customWidth="1"/>
    <col min="9219" max="9219" width="13.5" style="434" bestFit="1" customWidth="1"/>
    <col min="9220" max="9222" width="11.5" style="434"/>
    <col min="9223" max="9223" width="12.83203125" style="434" bestFit="1" customWidth="1"/>
    <col min="9224" max="9473" width="11.5" style="434"/>
    <col min="9474" max="9474" width="58.83203125" style="434" customWidth="1"/>
    <col min="9475" max="9475" width="13.5" style="434" bestFit="1" customWidth="1"/>
    <col min="9476" max="9478" width="11.5" style="434"/>
    <col min="9479" max="9479" width="12.83203125" style="434" bestFit="1" customWidth="1"/>
    <col min="9480" max="9729" width="11.5" style="434"/>
    <col min="9730" max="9730" width="58.83203125" style="434" customWidth="1"/>
    <col min="9731" max="9731" width="13.5" style="434" bestFit="1" customWidth="1"/>
    <col min="9732" max="9734" width="11.5" style="434"/>
    <col min="9735" max="9735" width="12.83203125" style="434" bestFit="1" customWidth="1"/>
    <col min="9736" max="9985" width="11.5" style="434"/>
    <col min="9986" max="9986" width="58.83203125" style="434" customWidth="1"/>
    <col min="9987" max="9987" width="13.5" style="434" bestFit="1" customWidth="1"/>
    <col min="9988" max="9990" width="11.5" style="434"/>
    <col min="9991" max="9991" width="12.83203125" style="434" bestFit="1" customWidth="1"/>
    <col min="9992" max="10241" width="11.5" style="434"/>
    <col min="10242" max="10242" width="58.83203125" style="434" customWidth="1"/>
    <col min="10243" max="10243" width="13.5" style="434" bestFit="1" customWidth="1"/>
    <col min="10244" max="10246" width="11.5" style="434"/>
    <col min="10247" max="10247" width="12.83203125" style="434" bestFit="1" customWidth="1"/>
    <col min="10248" max="10497" width="11.5" style="434"/>
    <col min="10498" max="10498" width="58.83203125" style="434" customWidth="1"/>
    <col min="10499" max="10499" width="13.5" style="434" bestFit="1" customWidth="1"/>
    <col min="10500" max="10502" width="11.5" style="434"/>
    <col min="10503" max="10503" width="12.83203125" style="434" bestFit="1" customWidth="1"/>
    <col min="10504" max="10753" width="11.5" style="434"/>
    <col min="10754" max="10754" width="58.83203125" style="434" customWidth="1"/>
    <col min="10755" max="10755" width="13.5" style="434" bestFit="1" customWidth="1"/>
    <col min="10756" max="10758" width="11.5" style="434"/>
    <col min="10759" max="10759" width="12.83203125" style="434" bestFit="1" customWidth="1"/>
    <col min="10760" max="11009" width="11.5" style="434"/>
    <col min="11010" max="11010" width="58.83203125" style="434" customWidth="1"/>
    <col min="11011" max="11011" width="13.5" style="434" bestFit="1" customWidth="1"/>
    <col min="11012" max="11014" width="11.5" style="434"/>
    <col min="11015" max="11015" width="12.83203125" style="434" bestFit="1" customWidth="1"/>
    <col min="11016" max="11265" width="11.5" style="434"/>
    <col min="11266" max="11266" width="58.83203125" style="434" customWidth="1"/>
    <col min="11267" max="11267" width="13.5" style="434" bestFit="1" customWidth="1"/>
    <col min="11268" max="11270" width="11.5" style="434"/>
    <col min="11271" max="11271" width="12.83203125" style="434" bestFit="1" customWidth="1"/>
    <col min="11272" max="11521" width="11.5" style="434"/>
    <col min="11522" max="11522" width="58.83203125" style="434" customWidth="1"/>
    <col min="11523" max="11523" width="13.5" style="434" bestFit="1" customWidth="1"/>
    <col min="11524" max="11526" width="11.5" style="434"/>
    <col min="11527" max="11527" width="12.83203125" style="434" bestFit="1" customWidth="1"/>
    <col min="11528" max="11777" width="11.5" style="434"/>
    <col min="11778" max="11778" width="58.83203125" style="434" customWidth="1"/>
    <col min="11779" max="11779" width="13.5" style="434" bestFit="1" customWidth="1"/>
    <col min="11780" max="11782" width="11.5" style="434"/>
    <col min="11783" max="11783" width="12.83203125" style="434" bestFit="1" customWidth="1"/>
    <col min="11784" max="12033" width="11.5" style="434"/>
    <col min="12034" max="12034" width="58.83203125" style="434" customWidth="1"/>
    <col min="12035" max="12035" width="13.5" style="434" bestFit="1" customWidth="1"/>
    <col min="12036" max="12038" width="11.5" style="434"/>
    <col min="12039" max="12039" width="12.83203125" style="434" bestFit="1" customWidth="1"/>
    <col min="12040" max="12289" width="11.5" style="434"/>
    <col min="12290" max="12290" width="58.83203125" style="434" customWidth="1"/>
    <col min="12291" max="12291" width="13.5" style="434" bestFit="1" customWidth="1"/>
    <col min="12292" max="12294" width="11.5" style="434"/>
    <col min="12295" max="12295" width="12.83203125" style="434" bestFit="1" customWidth="1"/>
    <col min="12296" max="12545" width="11.5" style="434"/>
    <col min="12546" max="12546" width="58.83203125" style="434" customWidth="1"/>
    <col min="12547" max="12547" width="13.5" style="434" bestFit="1" customWidth="1"/>
    <col min="12548" max="12550" width="11.5" style="434"/>
    <col min="12551" max="12551" width="12.83203125" style="434" bestFit="1" customWidth="1"/>
    <col min="12552" max="12801" width="11.5" style="434"/>
    <col min="12802" max="12802" width="58.83203125" style="434" customWidth="1"/>
    <col min="12803" max="12803" width="13.5" style="434" bestFit="1" customWidth="1"/>
    <col min="12804" max="12806" width="11.5" style="434"/>
    <col min="12807" max="12807" width="12.83203125" style="434" bestFit="1" customWidth="1"/>
    <col min="12808" max="13057" width="11.5" style="434"/>
    <col min="13058" max="13058" width="58.83203125" style="434" customWidth="1"/>
    <col min="13059" max="13059" width="13.5" style="434" bestFit="1" customWidth="1"/>
    <col min="13060" max="13062" width="11.5" style="434"/>
    <col min="13063" max="13063" width="12.83203125" style="434" bestFit="1" customWidth="1"/>
    <col min="13064" max="13313" width="11.5" style="434"/>
    <col min="13314" max="13314" width="58.83203125" style="434" customWidth="1"/>
    <col min="13315" max="13315" width="13.5" style="434" bestFit="1" customWidth="1"/>
    <col min="13316" max="13318" width="11.5" style="434"/>
    <col min="13319" max="13319" width="12.83203125" style="434" bestFit="1" customWidth="1"/>
    <col min="13320" max="13569" width="11.5" style="434"/>
    <col min="13570" max="13570" width="58.83203125" style="434" customWidth="1"/>
    <col min="13571" max="13571" width="13.5" style="434" bestFit="1" customWidth="1"/>
    <col min="13572" max="13574" width="11.5" style="434"/>
    <col min="13575" max="13575" width="12.83203125" style="434" bestFit="1" customWidth="1"/>
    <col min="13576" max="13825" width="11.5" style="434"/>
    <col min="13826" max="13826" width="58.83203125" style="434" customWidth="1"/>
    <col min="13827" max="13827" width="13.5" style="434" bestFit="1" customWidth="1"/>
    <col min="13828" max="13830" width="11.5" style="434"/>
    <col min="13831" max="13831" width="12.83203125" style="434" bestFit="1" customWidth="1"/>
    <col min="13832" max="14081" width="11.5" style="434"/>
    <col min="14082" max="14082" width="58.83203125" style="434" customWidth="1"/>
    <col min="14083" max="14083" width="13.5" style="434" bestFit="1" customWidth="1"/>
    <col min="14084" max="14086" width="11.5" style="434"/>
    <col min="14087" max="14087" width="12.83203125" style="434" bestFit="1" customWidth="1"/>
    <col min="14088" max="14337" width="11.5" style="434"/>
    <col min="14338" max="14338" width="58.83203125" style="434" customWidth="1"/>
    <col min="14339" max="14339" width="13.5" style="434" bestFit="1" customWidth="1"/>
    <col min="14340" max="14342" width="11.5" style="434"/>
    <col min="14343" max="14343" width="12.83203125" style="434" bestFit="1" customWidth="1"/>
    <col min="14344" max="14593" width="11.5" style="434"/>
    <col min="14594" max="14594" width="58.83203125" style="434" customWidth="1"/>
    <col min="14595" max="14595" width="13.5" style="434" bestFit="1" customWidth="1"/>
    <col min="14596" max="14598" width="11.5" style="434"/>
    <col min="14599" max="14599" width="12.83203125" style="434" bestFit="1" customWidth="1"/>
    <col min="14600" max="14849" width="11.5" style="434"/>
    <col min="14850" max="14850" width="58.83203125" style="434" customWidth="1"/>
    <col min="14851" max="14851" width="13.5" style="434" bestFit="1" customWidth="1"/>
    <col min="14852" max="14854" width="11.5" style="434"/>
    <col min="14855" max="14855" width="12.83203125" style="434" bestFit="1" customWidth="1"/>
    <col min="14856" max="15105" width="11.5" style="434"/>
    <col min="15106" max="15106" width="58.83203125" style="434" customWidth="1"/>
    <col min="15107" max="15107" width="13.5" style="434" bestFit="1" customWidth="1"/>
    <col min="15108" max="15110" width="11.5" style="434"/>
    <col min="15111" max="15111" width="12.83203125" style="434" bestFit="1" customWidth="1"/>
    <col min="15112" max="15361" width="11.5" style="434"/>
    <col min="15362" max="15362" width="58.83203125" style="434" customWidth="1"/>
    <col min="15363" max="15363" width="13.5" style="434" bestFit="1" customWidth="1"/>
    <col min="15364" max="15366" width="11.5" style="434"/>
    <col min="15367" max="15367" width="12.83203125" style="434" bestFit="1" customWidth="1"/>
    <col min="15368" max="15617" width="11.5" style="434"/>
    <col min="15618" max="15618" width="58.83203125" style="434" customWidth="1"/>
    <col min="15619" max="15619" width="13.5" style="434" bestFit="1" customWidth="1"/>
    <col min="15620" max="15622" width="11.5" style="434"/>
    <col min="15623" max="15623" width="12.83203125" style="434" bestFit="1" customWidth="1"/>
    <col min="15624" max="15873" width="11.5" style="434"/>
    <col min="15874" max="15874" width="58.83203125" style="434" customWidth="1"/>
    <col min="15875" max="15875" width="13.5" style="434" bestFit="1" customWidth="1"/>
    <col min="15876" max="15878" width="11.5" style="434"/>
    <col min="15879" max="15879" width="12.83203125" style="434" bestFit="1" customWidth="1"/>
    <col min="15880" max="16129" width="11.5" style="434"/>
    <col min="16130" max="16130" width="58.83203125" style="434" customWidth="1"/>
    <col min="16131" max="16131" width="13.5" style="434" bestFit="1" customWidth="1"/>
    <col min="16132" max="16134" width="11.5" style="434"/>
    <col min="16135" max="16135" width="12.83203125" style="434" bestFit="1" customWidth="1"/>
    <col min="16136" max="16384" width="11.5" style="434"/>
  </cols>
  <sheetData>
    <row r="1" spans="1:12">
      <c r="A1" s="434" t="s">
        <v>28</v>
      </c>
      <c r="B1" s="434" t="str">
        <f>[1]Oppsummering!B2</f>
        <v>Sigve Krageboen</v>
      </c>
      <c r="L1" s="435">
        <f>[1]Oppsummering!H11</f>
        <v>23.018320101572257</v>
      </c>
    </row>
    <row r="2" spans="1:12">
      <c r="A2" s="434" t="str">
        <f>[1]Oppsummering!A3</f>
        <v>Fra dato:</v>
      </c>
      <c r="B2" s="436">
        <f>[1]Oppsummering!B3</f>
        <v>43101</v>
      </c>
    </row>
    <row r="4" spans="1:12">
      <c r="A4" s="434" t="s">
        <v>911</v>
      </c>
      <c r="F4" s="435">
        <f>[1]Oppsummering!H11</f>
        <v>23.018320101572257</v>
      </c>
    </row>
    <row r="5" spans="1:12">
      <c r="A5" s="437" t="s">
        <v>49</v>
      </c>
    </row>
    <row r="6" spans="1:12">
      <c r="C6" s="413"/>
    </row>
    <row r="7" spans="1:12">
      <c r="C7" s="413"/>
    </row>
    <row r="8" spans="1:12">
      <c r="B8" s="434" t="s">
        <v>910</v>
      </c>
      <c r="C8" s="412">
        <v>4.5999999999999999E-2</v>
      </c>
    </row>
    <row r="10" spans="1:12">
      <c r="A10" s="437" t="s">
        <v>54</v>
      </c>
      <c r="B10" s="437"/>
      <c r="C10" s="438"/>
    </row>
    <row r="11" spans="1:12">
      <c r="A11" s="437"/>
      <c r="B11" s="434" t="s">
        <v>909</v>
      </c>
      <c r="C11" s="411">
        <f>[3]Sheet1!$B$3</f>
        <v>14.7</v>
      </c>
      <c r="D11" s="434" t="s">
        <v>2</v>
      </c>
    </row>
    <row r="12" spans="1:12">
      <c r="A12" s="437"/>
      <c r="B12" s="434" t="s">
        <v>908</v>
      </c>
      <c r="C12" s="411">
        <v>0.1</v>
      </c>
      <c r="D12" s="434" t="s">
        <v>2</v>
      </c>
    </row>
    <row r="13" spans="1:12">
      <c r="A13" s="437"/>
      <c r="B13" s="434" t="s">
        <v>907</v>
      </c>
      <c r="C13" s="410">
        <f>(C11/1.25)+C12</f>
        <v>11.86</v>
      </c>
      <c r="D13" s="434" t="s">
        <v>2</v>
      </c>
    </row>
    <row r="14" spans="1:12">
      <c r="A14" s="437"/>
      <c r="B14" s="434" t="s">
        <v>906</v>
      </c>
      <c r="C14" s="411">
        <v>1</v>
      </c>
      <c r="D14" s="434" t="s">
        <v>2</v>
      </c>
    </row>
    <row r="15" spans="1:12">
      <c r="A15" s="437"/>
      <c r="B15" s="434" t="s">
        <v>55</v>
      </c>
      <c r="C15" s="410">
        <f>C13-C14</f>
        <v>10.86</v>
      </c>
      <c r="D15" s="434" t="s">
        <v>2</v>
      </c>
    </row>
    <row r="16" spans="1:12">
      <c r="A16" s="437"/>
      <c r="C16" s="439"/>
    </row>
    <row r="17" spans="1:21">
      <c r="A17" s="437" t="s">
        <v>63</v>
      </c>
      <c r="C17" s="439"/>
    </row>
    <row r="18" spans="1:21">
      <c r="B18" s="434" t="s">
        <v>905</v>
      </c>
      <c r="C18" s="403">
        <v>4500</v>
      </c>
      <c r="D18" s="434" t="s">
        <v>2</v>
      </c>
    </row>
    <row r="19" spans="1:21">
      <c r="B19" s="434" t="s">
        <v>904</v>
      </c>
      <c r="C19" s="403">
        <v>3500</v>
      </c>
      <c r="D19" s="434" t="s">
        <v>2</v>
      </c>
    </row>
    <row r="20" spans="1:21">
      <c r="C20" s="404"/>
    </row>
    <row r="21" spans="1:21">
      <c r="A21" s="437" t="s">
        <v>903</v>
      </c>
      <c r="E21" s="434">
        <v>289</v>
      </c>
      <c r="F21" s="434" t="s">
        <v>902</v>
      </c>
    </row>
    <row r="22" spans="1:21">
      <c r="B22" s="434" t="s">
        <v>901</v>
      </c>
      <c r="C22" s="403">
        <v>289</v>
      </c>
      <c r="D22" s="434" t="s">
        <v>2</v>
      </c>
      <c r="E22" s="434">
        <v>315</v>
      </c>
      <c r="F22" s="434" t="s">
        <v>900</v>
      </c>
    </row>
    <row r="24" spans="1:21">
      <c r="A24" s="437" t="s">
        <v>899</v>
      </c>
    </row>
    <row r="25" spans="1:21">
      <c r="B25" s="434" t="s">
        <v>898</v>
      </c>
      <c r="C25" s="409">
        <f>[2]Sheet1!$C$5</f>
        <v>195.23</v>
      </c>
      <c r="D25" s="434" t="s">
        <v>11</v>
      </c>
    </row>
    <row r="26" spans="1:21">
      <c r="B26" s="434" t="s">
        <v>897</v>
      </c>
      <c r="C26" s="407">
        <v>0.16</v>
      </c>
    </row>
    <row r="27" spans="1:21">
      <c r="B27" s="434" t="s">
        <v>896</v>
      </c>
      <c r="C27" s="408">
        <f>C25+(C25*C26)</f>
        <v>226.46679999999998</v>
      </c>
      <c r="D27" s="434" t="s">
        <v>11</v>
      </c>
    </row>
    <row r="28" spans="1:21">
      <c r="B28" s="434" t="s">
        <v>895</v>
      </c>
      <c r="C28" s="407">
        <v>0</v>
      </c>
    </row>
    <row r="29" spans="1:21">
      <c r="B29" s="440" t="s">
        <v>894</v>
      </c>
      <c r="C29" s="406">
        <f>C27+(C27*C28)</f>
        <v>226.46679999999998</v>
      </c>
      <c r="D29" s="434" t="s">
        <v>11</v>
      </c>
    </row>
    <row r="30" spans="1:21" ht="17" thickBot="1"/>
    <row r="31" spans="1:21">
      <c r="A31" s="437" t="s">
        <v>893</v>
      </c>
      <c r="I31" s="441"/>
      <c r="J31" s="442"/>
      <c r="K31" s="442"/>
      <c r="L31" s="442"/>
      <c r="M31" s="442"/>
      <c r="N31" s="442"/>
      <c r="O31" s="442"/>
      <c r="P31" s="443"/>
      <c r="Q31" s="442"/>
      <c r="R31" s="442"/>
      <c r="S31" s="442"/>
      <c r="T31" s="442"/>
      <c r="U31" s="444"/>
    </row>
    <row r="32" spans="1:21">
      <c r="B32" s="434" t="s">
        <v>892</v>
      </c>
      <c r="C32" s="405">
        <v>43.33</v>
      </c>
      <c r="D32" s="434" t="s">
        <v>12</v>
      </c>
      <c r="F32" s="445"/>
      <c r="I32" s="446"/>
      <c r="J32" s="447" t="s">
        <v>891</v>
      </c>
      <c r="K32" s="447"/>
      <c r="L32" s="447"/>
      <c r="M32" s="447"/>
      <c r="N32" s="447"/>
      <c r="O32" s="447"/>
      <c r="P32" s="448"/>
      <c r="Q32" s="447"/>
      <c r="R32" s="447"/>
      <c r="S32" s="447"/>
      <c r="T32" s="447"/>
      <c r="U32" s="449"/>
    </row>
    <row r="33" spans="1:21">
      <c r="B33" s="434" t="s">
        <v>890</v>
      </c>
      <c r="C33" s="404">
        <f>C43/C32</f>
        <v>1384.721901684745</v>
      </c>
      <c r="D33" s="434" t="s">
        <v>876</v>
      </c>
      <c r="I33" s="446"/>
      <c r="J33" s="447" t="s">
        <v>889</v>
      </c>
      <c r="K33" s="447"/>
      <c r="L33" s="447" t="s">
        <v>888</v>
      </c>
      <c r="M33" s="447" t="s">
        <v>887</v>
      </c>
      <c r="N33" s="447" t="s">
        <v>487</v>
      </c>
      <c r="O33" s="447" t="s">
        <v>884</v>
      </c>
      <c r="P33" s="448" t="s">
        <v>886</v>
      </c>
      <c r="Q33" s="447" t="s">
        <v>885</v>
      </c>
      <c r="R33" s="447" t="s">
        <v>487</v>
      </c>
      <c r="S33" s="447" t="s">
        <v>884</v>
      </c>
      <c r="T33" s="447" t="s">
        <v>883</v>
      </c>
      <c r="U33" s="449"/>
    </row>
    <row r="34" spans="1:21">
      <c r="B34" s="434" t="s">
        <v>882</v>
      </c>
      <c r="C34" s="405">
        <v>43.33</v>
      </c>
      <c r="D34" s="434" t="s">
        <v>12</v>
      </c>
      <c r="I34" s="446"/>
      <c r="J34" s="447">
        <v>443</v>
      </c>
      <c r="K34" s="447"/>
      <c r="L34" s="447">
        <v>18708</v>
      </c>
      <c r="M34" s="447">
        <v>1040</v>
      </c>
      <c r="N34" s="447">
        <f>SUM(L34:M34)</f>
        <v>19748</v>
      </c>
      <c r="O34" s="447">
        <f>N34*2</f>
        <v>39496</v>
      </c>
      <c r="P34" s="448">
        <v>413</v>
      </c>
      <c r="Q34" s="447">
        <v>17</v>
      </c>
      <c r="R34" s="447">
        <f>SUM(P34:Q34)</f>
        <v>430</v>
      </c>
      <c r="S34" s="447">
        <f>R34*2</f>
        <v>860</v>
      </c>
      <c r="T34" s="439">
        <f>O34/S34</f>
        <v>45.925581395348836</v>
      </c>
      <c r="U34" s="449"/>
    </row>
    <row r="35" spans="1:21">
      <c r="B35" s="434" t="s">
        <v>881</v>
      </c>
      <c r="C35" s="404">
        <f>C44/C34</f>
        <v>2192.4763443341794</v>
      </c>
      <c r="D35" s="434" t="s">
        <v>876</v>
      </c>
      <c r="F35" s="445"/>
      <c r="I35" s="446"/>
      <c r="J35" s="447">
        <v>444</v>
      </c>
      <c r="K35" s="447"/>
      <c r="L35" s="447">
        <v>50847</v>
      </c>
      <c r="M35" s="447">
        <v>1130</v>
      </c>
      <c r="N35" s="447">
        <f>SUM(L35:M35)</f>
        <v>51977</v>
      </c>
      <c r="O35" s="447">
        <f>N35*2</f>
        <v>103954</v>
      </c>
      <c r="P35" s="448">
        <v>1217</v>
      </c>
      <c r="Q35" s="447">
        <v>27</v>
      </c>
      <c r="R35" s="447">
        <f>SUM(P35:Q35)</f>
        <v>1244</v>
      </c>
      <c r="S35" s="447">
        <f>R35*2</f>
        <v>2488</v>
      </c>
      <c r="T35" s="439">
        <f>O35/S35</f>
        <v>41.782154340836016</v>
      </c>
      <c r="U35" s="449"/>
    </row>
    <row r="36" spans="1:21">
      <c r="B36" s="434" t="s">
        <v>880</v>
      </c>
      <c r="C36" s="405">
        <v>43.33</v>
      </c>
      <c r="D36" s="434" t="s">
        <v>12</v>
      </c>
      <c r="I36" s="446"/>
      <c r="J36" s="447">
        <v>445</v>
      </c>
      <c r="K36" s="447"/>
      <c r="L36" s="447">
        <v>32160</v>
      </c>
      <c r="M36" s="447">
        <v>11700</v>
      </c>
      <c r="N36" s="447">
        <f>SUM(L36:M36)</f>
        <v>43860</v>
      </c>
      <c r="O36" s="447">
        <f>N36*2</f>
        <v>87720</v>
      </c>
      <c r="P36" s="448">
        <v>748</v>
      </c>
      <c r="Q36" s="447">
        <v>314</v>
      </c>
      <c r="R36" s="447">
        <f>SUM(P36:Q36)</f>
        <v>1062</v>
      </c>
      <c r="S36" s="447">
        <f>R36*2</f>
        <v>2124</v>
      </c>
      <c r="T36" s="439">
        <f>O36/S36</f>
        <v>41.299435028248588</v>
      </c>
      <c r="U36" s="449"/>
    </row>
    <row r="37" spans="1:21">
      <c r="B37" s="434" t="s">
        <v>879</v>
      </c>
      <c r="C37" s="404">
        <f>C45/C36</f>
        <v>923.14793445649673</v>
      </c>
      <c r="D37" s="434" t="s">
        <v>876</v>
      </c>
      <c r="I37" s="446"/>
      <c r="J37" s="447"/>
      <c r="K37" s="447"/>
      <c r="L37" s="447"/>
      <c r="M37" s="447"/>
      <c r="N37" s="447">
        <f>SUM(N34:N36)</f>
        <v>115585</v>
      </c>
      <c r="O37" s="447">
        <f>N37*2</f>
        <v>231170</v>
      </c>
      <c r="P37" s="448"/>
      <c r="Q37" s="447"/>
      <c r="R37" s="447">
        <f>SUM(R34:R36)</f>
        <v>2736</v>
      </c>
      <c r="S37" s="447">
        <f>R37*2</f>
        <v>5472</v>
      </c>
      <c r="T37" s="439">
        <f>O37/S37</f>
        <v>42.245979532163744</v>
      </c>
      <c r="U37" s="449"/>
    </row>
    <row r="38" spans="1:21">
      <c r="B38" s="437" t="s">
        <v>878</v>
      </c>
      <c r="C38" s="400">
        <f>C46/(C33+C35+C37)</f>
        <v>43.33</v>
      </c>
      <c r="D38" s="437" t="s">
        <v>12</v>
      </c>
      <c r="I38" s="446"/>
      <c r="J38" s="447"/>
      <c r="K38" s="447"/>
      <c r="L38" s="447"/>
      <c r="M38" s="447"/>
      <c r="N38" s="447"/>
      <c r="O38" s="447"/>
      <c r="P38" s="448"/>
      <c r="Q38" s="447"/>
      <c r="R38" s="447"/>
      <c r="S38" s="447"/>
      <c r="T38" s="447"/>
      <c r="U38" s="449"/>
    </row>
    <row r="39" spans="1:21">
      <c r="B39" s="437" t="s">
        <v>877</v>
      </c>
      <c r="C39" s="400">
        <f>C33+C35+C37</f>
        <v>4500.3461804754215</v>
      </c>
      <c r="D39" s="437" t="s">
        <v>876</v>
      </c>
      <c r="I39" s="446"/>
      <c r="J39" s="447" t="s">
        <v>875</v>
      </c>
      <c r="K39" s="447"/>
      <c r="L39" s="447" t="s">
        <v>874</v>
      </c>
      <c r="M39" s="447"/>
      <c r="N39" s="447"/>
      <c r="O39" s="447"/>
      <c r="P39" s="448"/>
      <c r="Q39" s="447"/>
      <c r="R39" s="447"/>
      <c r="S39" s="447"/>
      <c r="T39" s="447"/>
      <c r="U39" s="449"/>
    </row>
    <row r="40" spans="1:21" ht="17" thickBot="1">
      <c r="C40" s="402"/>
      <c r="I40" s="450"/>
      <c r="J40" s="451"/>
      <c r="K40" s="451"/>
      <c r="L40" s="451"/>
      <c r="M40" s="451"/>
      <c r="N40" s="451"/>
      <c r="O40" s="451"/>
      <c r="P40" s="452"/>
      <c r="Q40" s="451"/>
      <c r="R40" s="451"/>
      <c r="S40" s="451"/>
      <c r="T40" s="451"/>
      <c r="U40" s="453"/>
    </row>
    <row r="42" spans="1:21">
      <c r="A42" s="437" t="s">
        <v>483</v>
      </c>
      <c r="C42" s="434" t="s">
        <v>487</v>
      </c>
      <c r="E42" s="434" t="s">
        <v>873</v>
      </c>
      <c r="G42" s="434" t="s">
        <v>872</v>
      </c>
    </row>
    <row r="43" spans="1:21">
      <c r="B43" s="434" t="s">
        <v>493</v>
      </c>
      <c r="C43" s="403">
        <v>60000</v>
      </c>
      <c r="D43" s="434" t="s">
        <v>13</v>
      </c>
      <c r="E43" s="403">
        <v>1</v>
      </c>
      <c r="F43" s="434" t="s">
        <v>36</v>
      </c>
      <c r="G43" s="402">
        <f>IF(E43=0,0,C43/E43)</f>
        <v>60000</v>
      </c>
      <c r="H43" s="434" t="s">
        <v>13</v>
      </c>
    </row>
    <row r="44" spans="1:21">
      <c r="B44" s="434" t="s">
        <v>492</v>
      </c>
      <c r="C44" s="403">
        <v>95000</v>
      </c>
      <c r="D44" s="434" t="s">
        <v>13</v>
      </c>
      <c r="E44" s="403">
        <v>1</v>
      </c>
      <c r="F44" s="434" t="s">
        <v>36</v>
      </c>
      <c r="G44" s="402">
        <f>IF(E44=0,0,C44/E44)</f>
        <v>95000</v>
      </c>
      <c r="H44" s="434" t="s">
        <v>13</v>
      </c>
    </row>
    <row r="45" spans="1:21">
      <c r="B45" s="434" t="s">
        <v>491</v>
      </c>
      <c r="C45" s="403">
        <v>40000</v>
      </c>
      <c r="D45" s="434" t="s">
        <v>13</v>
      </c>
      <c r="E45" s="403">
        <v>1</v>
      </c>
      <c r="F45" s="434" t="s">
        <v>36</v>
      </c>
      <c r="G45" s="402">
        <f>IF(E45=0,0,C45/E45)</f>
        <v>40000</v>
      </c>
      <c r="H45" s="434" t="s">
        <v>13</v>
      </c>
    </row>
    <row r="46" spans="1:21">
      <c r="B46" s="437" t="s">
        <v>871</v>
      </c>
      <c r="C46" s="401">
        <f>SUM(C43:C45)</f>
        <v>195000</v>
      </c>
      <c r="D46" s="437" t="s">
        <v>13</v>
      </c>
      <c r="E46" s="400">
        <f>SUM(E43:E45)</f>
        <v>3</v>
      </c>
      <c r="F46" s="437" t="s">
        <v>36</v>
      </c>
      <c r="G46" s="400">
        <f>IF(E46=0,0,C46/E46)</f>
        <v>65000</v>
      </c>
      <c r="H46" s="437" t="s">
        <v>13</v>
      </c>
    </row>
    <row r="47" spans="1:21">
      <c r="C47" s="404"/>
      <c r="E47" s="402"/>
    </row>
    <row r="48" spans="1:21">
      <c r="B48" s="434" t="s">
        <v>870</v>
      </c>
      <c r="C48" s="403">
        <v>35000</v>
      </c>
      <c r="D48" s="434" t="s">
        <v>13</v>
      </c>
      <c r="E48" s="403">
        <v>1</v>
      </c>
      <c r="F48" s="434" t="s">
        <v>36</v>
      </c>
      <c r="G48" s="402">
        <f>IF(E48=0,0,C48/E48)</f>
        <v>35000</v>
      </c>
      <c r="H48" s="434" t="s">
        <v>13</v>
      </c>
    </row>
    <row r="49" spans="1:8">
      <c r="B49" s="434" t="s">
        <v>869</v>
      </c>
      <c r="C49" s="403">
        <v>0</v>
      </c>
      <c r="D49" s="434" t="s">
        <v>13</v>
      </c>
      <c r="E49" s="403">
        <v>0</v>
      </c>
      <c r="F49" s="434" t="s">
        <v>36</v>
      </c>
      <c r="G49" s="402">
        <f>IF(E49=0,0,C49/E49)</f>
        <v>0</v>
      </c>
      <c r="H49" s="434" t="s">
        <v>13</v>
      </c>
    </row>
    <row r="50" spans="1:8">
      <c r="B50" s="434" t="s">
        <v>868</v>
      </c>
      <c r="C50" s="403">
        <v>0</v>
      </c>
      <c r="D50" s="434" t="s">
        <v>13</v>
      </c>
      <c r="E50" s="403">
        <v>0</v>
      </c>
      <c r="F50" s="434" t="s">
        <v>36</v>
      </c>
      <c r="G50" s="402">
        <f>IF(E50=0,0,C50/E50)</f>
        <v>0</v>
      </c>
      <c r="H50" s="434" t="s">
        <v>13</v>
      </c>
    </row>
    <row r="51" spans="1:8">
      <c r="B51" s="437" t="s">
        <v>867</v>
      </c>
      <c r="C51" s="401">
        <f>SUM(C48:C50)</f>
        <v>35000</v>
      </c>
      <c r="D51" s="437" t="s">
        <v>13</v>
      </c>
      <c r="E51" s="400">
        <f>SUM(E48:E50)</f>
        <v>1</v>
      </c>
      <c r="F51" s="437" t="s">
        <v>36</v>
      </c>
      <c r="G51" s="400">
        <f>IF(E51=0,0,C51/E51)</f>
        <v>35000</v>
      </c>
      <c r="H51" s="437" t="s">
        <v>13</v>
      </c>
    </row>
    <row r="53" spans="1:8">
      <c r="A53" s="437" t="s">
        <v>866</v>
      </c>
    </row>
    <row r="54" spans="1:8">
      <c r="B54" s="434" t="s">
        <v>865</v>
      </c>
      <c r="C54" s="454">
        <v>3.4000000000000002E-2</v>
      </c>
    </row>
    <row r="55" spans="1:8">
      <c r="B55" s="434" t="s">
        <v>864</v>
      </c>
      <c r="C55" s="454">
        <v>0.03</v>
      </c>
    </row>
    <row r="56" spans="1:8">
      <c r="B56" s="434" t="s">
        <v>863</v>
      </c>
      <c r="C56" s="454">
        <v>0.12</v>
      </c>
    </row>
    <row r="58" spans="1:8">
      <c r="A58" s="437" t="s">
        <v>862</v>
      </c>
    </row>
    <row r="59" spans="1:8">
      <c r="B59" s="434" t="s">
        <v>7</v>
      </c>
      <c r="C59" s="454">
        <v>0.04</v>
      </c>
    </row>
    <row r="60" spans="1:8">
      <c r="B60" s="434" t="s">
        <v>114</v>
      </c>
      <c r="C60" s="454">
        <v>0.04</v>
      </c>
    </row>
    <row r="63" spans="1:8">
      <c r="A63" s="437" t="s">
        <v>861</v>
      </c>
      <c r="B63" s="417"/>
      <c r="C63" s="417"/>
      <c r="D63" s="455"/>
    </row>
    <row r="64" spans="1:8">
      <c r="B64" s="434" t="s">
        <v>860</v>
      </c>
      <c r="C64" s="399">
        <v>0.14099999999999999</v>
      </c>
    </row>
    <row r="65" spans="1:5">
      <c r="B65" s="434" t="s">
        <v>859</v>
      </c>
      <c r="C65" s="399">
        <v>2.5000000000000001E-2</v>
      </c>
    </row>
    <row r="66" spans="1:5">
      <c r="B66" s="434" t="s">
        <v>858</v>
      </c>
      <c r="C66" s="399">
        <v>0</v>
      </c>
    </row>
    <row r="67" spans="1:5">
      <c r="B67" s="434" t="s">
        <v>857</v>
      </c>
      <c r="C67" s="399">
        <v>4.7E-2</v>
      </c>
    </row>
    <row r="68" spans="1:5" ht="17" thickBot="1">
      <c r="B68" s="437" t="s">
        <v>856</v>
      </c>
      <c r="C68" s="398">
        <f>SUM(C64:C67)</f>
        <v>0.21299999999999997</v>
      </c>
    </row>
    <row r="69" spans="1:5" ht="17" thickTop="1">
      <c r="B69" s="417"/>
      <c r="C69" s="417"/>
      <c r="D69" s="417"/>
    </row>
    <row r="70" spans="1:5">
      <c r="B70" s="417"/>
      <c r="C70" s="417"/>
      <c r="D70" s="417"/>
    </row>
    <row r="71" spans="1:5" ht="17">
      <c r="A71" s="417"/>
      <c r="B71" s="456" t="s">
        <v>845</v>
      </c>
      <c r="C71" s="457" t="s">
        <v>855</v>
      </c>
      <c r="D71" s="397">
        <v>0.14099999999999999</v>
      </c>
    </row>
    <row r="72" spans="1:5" ht="17">
      <c r="A72" s="417"/>
      <c r="B72" s="456" t="s">
        <v>845</v>
      </c>
      <c r="C72" s="457" t="s">
        <v>854</v>
      </c>
      <c r="D72" s="458">
        <v>0.106</v>
      </c>
    </row>
    <row r="73" spans="1:5" ht="17">
      <c r="A73" s="417"/>
      <c r="B73" s="456" t="s">
        <v>845</v>
      </c>
      <c r="C73" s="457" t="s">
        <v>853</v>
      </c>
      <c r="D73" s="459" t="s">
        <v>852</v>
      </c>
    </row>
    <row r="74" spans="1:5" ht="17">
      <c r="A74" s="417"/>
      <c r="B74" s="456" t="s">
        <v>845</v>
      </c>
      <c r="C74" s="457" t="s">
        <v>851</v>
      </c>
      <c r="D74" s="459" t="s">
        <v>850</v>
      </c>
    </row>
    <row r="75" spans="1:5" ht="17">
      <c r="A75" s="417"/>
      <c r="B75" s="456" t="s">
        <v>845</v>
      </c>
      <c r="C75" s="457" t="s">
        <v>849</v>
      </c>
      <c r="D75" s="459" t="s">
        <v>848</v>
      </c>
    </row>
    <row r="76" spans="1:5" ht="17">
      <c r="A76" s="417"/>
      <c r="B76" s="456" t="s">
        <v>845</v>
      </c>
      <c r="C76" s="457" t="s">
        <v>847</v>
      </c>
      <c r="D76" s="459" t="s">
        <v>846</v>
      </c>
    </row>
    <row r="77" spans="1:5" ht="17">
      <c r="A77" s="417"/>
      <c r="B77" s="456" t="s">
        <v>845</v>
      </c>
      <c r="C77" s="457" t="s">
        <v>844</v>
      </c>
      <c r="D77" s="459">
        <v>0</v>
      </c>
    </row>
    <row r="80" spans="1:5" ht="17">
      <c r="B80" s="460" t="s">
        <v>843</v>
      </c>
      <c r="C80" s="461"/>
      <c r="D80" s="461"/>
      <c r="E80" s="461"/>
    </row>
    <row r="81" spans="2:5" ht="17">
      <c r="B81" s="462" t="s">
        <v>842</v>
      </c>
      <c r="C81" s="461"/>
      <c r="D81" s="461"/>
      <c r="E81" s="461"/>
    </row>
    <row r="82" spans="2:5" ht="17" thickBot="1">
      <c r="B82" s="463" t="s">
        <v>841</v>
      </c>
      <c r="C82" s="463" t="s">
        <v>840</v>
      </c>
      <c r="D82" s="463" t="s">
        <v>839</v>
      </c>
      <c r="E82" s="464" t="s">
        <v>159</v>
      </c>
    </row>
    <row r="83" spans="2:5" ht="17" thickTop="1">
      <c r="B83" s="465">
        <v>101</v>
      </c>
      <c r="C83" s="465" t="s">
        <v>192</v>
      </c>
      <c r="D83" s="465" t="s">
        <v>831</v>
      </c>
      <c r="E83" s="466">
        <v>1</v>
      </c>
    </row>
    <row r="84" spans="2:5">
      <c r="B84" s="465">
        <v>104</v>
      </c>
      <c r="C84" s="465" t="s">
        <v>838</v>
      </c>
      <c r="D84" s="465" t="s">
        <v>831</v>
      </c>
      <c r="E84" s="466">
        <v>1</v>
      </c>
    </row>
    <row r="85" spans="2:5">
      <c r="B85" s="465">
        <v>105</v>
      </c>
      <c r="C85" s="465" t="s">
        <v>193</v>
      </c>
      <c r="D85" s="465" t="s">
        <v>831</v>
      </c>
      <c r="E85" s="466">
        <v>1</v>
      </c>
    </row>
    <row r="86" spans="2:5">
      <c r="B86" s="465">
        <v>106</v>
      </c>
      <c r="C86" s="465" t="s">
        <v>194</v>
      </c>
      <c r="D86" s="465" t="s">
        <v>831</v>
      </c>
      <c r="E86" s="466">
        <v>1</v>
      </c>
    </row>
    <row r="87" spans="2:5">
      <c r="B87" s="465">
        <v>111</v>
      </c>
      <c r="C87" s="465" t="s">
        <v>837</v>
      </c>
      <c r="D87" s="465" t="s">
        <v>831</v>
      </c>
      <c r="E87" s="466">
        <v>1</v>
      </c>
    </row>
    <row r="88" spans="2:5">
      <c r="B88" s="465">
        <v>118</v>
      </c>
      <c r="C88" s="465" t="s">
        <v>836</v>
      </c>
      <c r="D88" s="465" t="s">
        <v>831</v>
      </c>
      <c r="E88" s="466">
        <v>1</v>
      </c>
    </row>
    <row r="89" spans="2:5">
      <c r="B89" s="465">
        <v>119</v>
      </c>
      <c r="C89" s="465" t="s">
        <v>195</v>
      </c>
      <c r="D89" s="465" t="s">
        <v>831</v>
      </c>
      <c r="E89" s="466">
        <v>1</v>
      </c>
    </row>
    <row r="90" spans="2:5">
      <c r="B90" s="465">
        <v>121</v>
      </c>
      <c r="C90" s="465" t="s">
        <v>835</v>
      </c>
      <c r="D90" s="465" t="s">
        <v>831</v>
      </c>
      <c r="E90" s="466">
        <v>1</v>
      </c>
    </row>
    <row r="91" spans="2:5">
      <c r="B91" s="465">
        <v>122</v>
      </c>
      <c r="C91" s="465" t="s">
        <v>196</v>
      </c>
      <c r="D91" s="465" t="s">
        <v>831</v>
      </c>
      <c r="E91" s="466">
        <v>1</v>
      </c>
    </row>
    <row r="92" spans="2:5">
      <c r="B92" s="465">
        <v>123</v>
      </c>
      <c r="C92" s="465" t="s">
        <v>197</v>
      </c>
      <c r="D92" s="465" t="s">
        <v>831</v>
      </c>
      <c r="E92" s="466">
        <v>1</v>
      </c>
    </row>
    <row r="93" spans="2:5">
      <c r="B93" s="465">
        <v>124</v>
      </c>
      <c r="C93" s="465" t="s">
        <v>198</v>
      </c>
      <c r="D93" s="465" t="s">
        <v>831</v>
      </c>
      <c r="E93" s="466">
        <v>1</v>
      </c>
    </row>
    <row r="94" spans="2:5">
      <c r="B94" s="465">
        <v>125</v>
      </c>
      <c r="C94" s="465" t="s">
        <v>834</v>
      </c>
      <c r="D94" s="465" t="s">
        <v>831</v>
      </c>
      <c r="E94" s="466">
        <v>1</v>
      </c>
    </row>
    <row r="95" spans="2:5">
      <c r="B95" s="465">
        <v>127</v>
      </c>
      <c r="C95" s="465" t="s">
        <v>833</v>
      </c>
      <c r="D95" s="465" t="s">
        <v>831</v>
      </c>
      <c r="E95" s="466">
        <v>1</v>
      </c>
    </row>
    <row r="96" spans="2:5">
      <c r="B96" s="465">
        <v>128</v>
      </c>
      <c r="C96" s="465" t="s">
        <v>199</v>
      </c>
      <c r="D96" s="465" t="s">
        <v>831</v>
      </c>
      <c r="E96" s="466">
        <v>1</v>
      </c>
    </row>
    <row r="97" spans="2:5">
      <c r="B97" s="465">
        <v>135</v>
      </c>
      <c r="C97" s="465" t="s">
        <v>832</v>
      </c>
      <c r="D97" s="465" t="s">
        <v>831</v>
      </c>
      <c r="E97" s="466">
        <v>1</v>
      </c>
    </row>
    <row r="98" spans="2:5">
      <c r="B98" s="465">
        <v>136</v>
      </c>
      <c r="C98" s="465" t="s">
        <v>200</v>
      </c>
      <c r="D98" s="465" t="s">
        <v>831</v>
      </c>
      <c r="E98" s="466">
        <v>1</v>
      </c>
    </row>
    <row r="99" spans="2:5">
      <c r="B99" s="465">
        <v>137</v>
      </c>
      <c r="C99" s="465" t="s">
        <v>803</v>
      </c>
      <c r="D99" s="465" t="s">
        <v>831</v>
      </c>
      <c r="E99" s="466">
        <v>1</v>
      </c>
    </row>
    <row r="100" spans="2:5">
      <c r="B100" s="465">
        <v>138</v>
      </c>
      <c r="C100" s="465" t="s">
        <v>201</v>
      </c>
      <c r="D100" s="465" t="s">
        <v>831</v>
      </c>
      <c r="E100" s="466">
        <v>1</v>
      </c>
    </row>
    <row r="101" spans="2:5">
      <c r="B101" s="465">
        <v>211</v>
      </c>
      <c r="C101" s="465" t="s">
        <v>202</v>
      </c>
      <c r="D101" s="465" t="s">
        <v>815</v>
      </c>
      <c r="E101" s="466">
        <v>1</v>
      </c>
    </row>
    <row r="102" spans="2:5">
      <c r="B102" s="465">
        <v>213</v>
      </c>
      <c r="C102" s="465" t="s">
        <v>830</v>
      </c>
      <c r="D102" s="465" t="s">
        <v>815</v>
      </c>
      <c r="E102" s="466">
        <v>1</v>
      </c>
    </row>
    <row r="103" spans="2:5">
      <c r="B103" s="465">
        <v>214</v>
      </c>
      <c r="C103" s="465" t="s">
        <v>829</v>
      </c>
      <c r="D103" s="465" t="s">
        <v>815</v>
      </c>
      <c r="E103" s="466">
        <v>1</v>
      </c>
    </row>
    <row r="104" spans="2:5">
      <c r="B104" s="465">
        <v>215</v>
      </c>
      <c r="C104" s="465" t="s">
        <v>828</v>
      </c>
      <c r="D104" s="465" t="s">
        <v>815</v>
      </c>
      <c r="E104" s="466">
        <v>1</v>
      </c>
    </row>
    <row r="105" spans="2:5">
      <c r="B105" s="465">
        <v>216</v>
      </c>
      <c r="C105" s="465" t="s">
        <v>827</v>
      </c>
      <c r="D105" s="465" t="s">
        <v>815</v>
      </c>
      <c r="E105" s="466">
        <v>1</v>
      </c>
    </row>
    <row r="106" spans="2:5">
      <c r="B106" s="465">
        <v>217</v>
      </c>
      <c r="C106" s="465" t="s">
        <v>826</v>
      </c>
      <c r="D106" s="465" t="s">
        <v>815</v>
      </c>
      <c r="E106" s="466">
        <v>1</v>
      </c>
    </row>
    <row r="107" spans="2:5">
      <c r="B107" s="465">
        <v>219</v>
      </c>
      <c r="C107" s="465" t="s">
        <v>203</v>
      </c>
      <c r="D107" s="465" t="s">
        <v>815</v>
      </c>
      <c r="E107" s="466">
        <v>1</v>
      </c>
    </row>
    <row r="108" spans="2:5">
      <c r="B108" s="465">
        <v>220</v>
      </c>
      <c r="C108" s="465" t="s">
        <v>204</v>
      </c>
      <c r="D108" s="465" t="s">
        <v>815</v>
      </c>
      <c r="E108" s="466">
        <v>1</v>
      </c>
    </row>
    <row r="109" spans="2:5">
      <c r="B109" s="465">
        <v>221</v>
      </c>
      <c r="C109" s="465" t="s">
        <v>205</v>
      </c>
      <c r="D109" s="465" t="s">
        <v>815</v>
      </c>
      <c r="E109" s="466">
        <v>1</v>
      </c>
    </row>
    <row r="110" spans="2:5">
      <c r="B110" s="465">
        <v>226</v>
      </c>
      <c r="C110" s="465" t="s">
        <v>825</v>
      </c>
      <c r="D110" s="465" t="s">
        <v>815</v>
      </c>
      <c r="E110" s="466">
        <v>1</v>
      </c>
    </row>
    <row r="111" spans="2:5">
      <c r="B111" s="465">
        <v>227</v>
      </c>
      <c r="C111" s="465" t="s">
        <v>824</v>
      </c>
      <c r="D111" s="465" t="s">
        <v>815</v>
      </c>
      <c r="E111" s="466">
        <v>1</v>
      </c>
    </row>
    <row r="112" spans="2:5">
      <c r="B112" s="465">
        <v>228</v>
      </c>
      <c r="C112" s="465" t="s">
        <v>823</v>
      </c>
      <c r="D112" s="465" t="s">
        <v>815</v>
      </c>
      <c r="E112" s="466">
        <v>1</v>
      </c>
    </row>
    <row r="113" spans="2:5">
      <c r="B113" s="465">
        <v>229</v>
      </c>
      <c r="C113" s="465" t="s">
        <v>206</v>
      </c>
      <c r="D113" s="465" t="s">
        <v>815</v>
      </c>
      <c r="E113" s="466">
        <v>1</v>
      </c>
    </row>
    <row r="114" spans="2:5">
      <c r="B114" s="465">
        <v>230</v>
      </c>
      <c r="C114" s="465" t="s">
        <v>207</v>
      </c>
      <c r="D114" s="465" t="s">
        <v>815</v>
      </c>
      <c r="E114" s="466">
        <v>1</v>
      </c>
    </row>
    <row r="115" spans="2:5">
      <c r="B115" s="465">
        <v>231</v>
      </c>
      <c r="C115" s="465" t="s">
        <v>822</v>
      </c>
      <c r="D115" s="465" t="s">
        <v>815</v>
      </c>
      <c r="E115" s="466">
        <v>1</v>
      </c>
    </row>
    <row r="116" spans="2:5">
      <c r="B116" s="465">
        <v>233</v>
      </c>
      <c r="C116" s="465" t="s">
        <v>821</v>
      </c>
      <c r="D116" s="465" t="s">
        <v>815</v>
      </c>
      <c r="E116" s="466">
        <v>1</v>
      </c>
    </row>
    <row r="117" spans="2:5">
      <c r="B117" s="465">
        <v>234</v>
      </c>
      <c r="C117" s="465" t="s">
        <v>820</v>
      </c>
      <c r="D117" s="465" t="s">
        <v>815</v>
      </c>
      <c r="E117" s="466">
        <v>1</v>
      </c>
    </row>
    <row r="118" spans="2:5">
      <c r="B118" s="465">
        <v>235</v>
      </c>
      <c r="C118" s="465" t="s">
        <v>819</v>
      </c>
      <c r="D118" s="465" t="s">
        <v>815</v>
      </c>
      <c r="E118" s="466">
        <v>1</v>
      </c>
    </row>
    <row r="119" spans="2:5">
      <c r="B119" s="465">
        <v>236</v>
      </c>
      <c r="C119" s="465" t="s">
        <v>208</v>
      </c>
      <c r="D119" s="465" t="s">
        <v>815</v>
      </c>
      <c r="E119" s="466">
        <v>1</v>
      </c>
    </row>
    <row r="120" spans="2:5">
      <c r="B120" s="465">
        <v>237</v>
      </c>
      <c r="C120" s="465" t="s">
        <v>818</v>
      </c>
      <c r="D120" s="465" t="s">
        <v>815</v>
      </c>
      <c r="E120" s="466">
        <v>1</v>
      </c>
    </row>
    <row r="121" spans="2:5">
      <c r="B121" s="465">
        <v>238</v>
      </c>
      <c r="C121" s="465" t="s">
        <v>817</v>
      </c>
      <c r="D121" s="465" t="s">
        <v>815</v>
      </c>
      <c r="E121" s="466">
        <v>1</v>
      </c>
    </row>
    <row r="122" spans="2:5">
      <c r="B122" s="465">
        <v>239</v>
      </c>
      <c r="C122" s="465" t="s">
        <v>816</v>
      </c>
      <c r="D122" s="465" t="s">
        <v>815</v>
      </c>
      <c r="E122" s="466">
        <v>1</v>
      </c>
    </row>
    <row r="123" spans="2:5">
      <c r="B123" s="465">
        <v>301</v>
      </c>
      <c r="C123" s="465" t="s">
        <v>317</v>
      </c>
      <c r="D123" s="465" t="s">
        <v>814</v>
      </c>
      <c r="E123" s="466">
        <v>1</v>
      </c>
    </row>
    <row r="124" spans="2:5">
      <c r="B124" s="465">
        <v>402</v>
      </c>
      <c r="C124" s="465" t="s">
        <v>813</v>
      </c>
      <c r="D124" s="465" t="s">
        <v>792</v>
      </c>
      <c r="E124" s="466">
        <v>1</v>
      </c>
    </row>
    <row r="125" spans="2:5">
      <c r="B125" s="465">
        <v>403</v>
      </c>
      <c r="C125" s="465" t="s">
        <v>812</v>
      </c>
      <c r="D125" s="465" t="s">
        <v>792</v>
      </c>
      <c r="E125" s="466">
        <v>1</v>
      </c>
    </row>
    <row r="126" spans="2:5">
      <c r="B126" s="465">
        <v>412</v>
      </c>
      <c r="C126" s="465" t="s">
        <v>811</v>
      </c>
      <c r="D126" s="465" t="s">
        <v>792</v>
      </c>
      <c r="E126" s="466">
        <v>1</v>
      </c>
    </row>
    <row r="127" spans="2:5">
      <c r="B127" s="465">
        <v>415</v>
      </c>
      <c r="C127" s="465" t="s">
        <v>810</v>
      </c>
      <c r="D127" s="465" t="s">
        <v>792</v>
      </c>
      <c r="E127" s="466">
        <v>1</v>
      </c>
    </row>
    <row r="128" spans="2:5">
      <c r="B128" s="465">
        <v>417</v>
      </c>
      <c r="C128" s="465" t="s">
        <v>809</v>
      </c>
      <c r="D128" s="465" t="s">
        <v>792</v>
      </c>
      <c r="E128" s="466">
        <v>1</v>
      </c>
    </row>
    <row r="129" spans="2:5">
      <c r="B129" s="465">
        <v>418</v>
      </c>
      <c r="C129" s="465" t="s">
        <v>808</v>
      </c>
      <c r="D129" s="465" t="s">
        <v>792</v>
      </c>
      <c r="E129" s="466" t="s">
        <v>605</v>
      </c>
    </row>
    <row r="130" spans="2:5">
      <c r="B130" s="465">
        <v>419</v>
      </c>
      <c r="C130" s="465" t="s">
        <v>807</v>
      </c>
      <c r="D130" s="465" t="s">
        <v>792</v>
      </c>
      <c r="E130" s="466">
        <v>1</v>
      </c>
    </row>
    <row r="131" spans="2:5">
      <c r="B131" s="465">
        <v>420</v>
      </c>
      <c r="C131" s="465" t="s">
        <v>806</v>
      </c>
      <c r="D131" s="465" t="s">
        <v>792</v>
      </c>
      <c r="E131" s="466" t="s">
        <v>605</v>
      </c>
    </row>
    <row r="132" spans="2:5">
      <c r="B132" s="465">
        <v>423</v>
      </c>
      <c r="C132" s="465" t="s">
        <v>805</v>
      </c>
      <c r="D132" s="465" t="s">
        <v>792</v>
      </c>
      <c r="E132" s="466" t="s">
        <v>605</v>
      </c>
    </row>
    <row r="133" spans="2:5">
      <c r="B133" s="465">
        <v>425</v>
      </c>
      <c r="C133" s="465" t="s">
        <v>804</v>
      </c>
      <c r="D133" s="465" t="s">
        <v>792</v>
      </c>
      <c r="E133" s="466" t="s">
        <v>605</v>
      </c>
    </row>
    <row r="134" spans="2:5">
      <c r="B134" s="465">
        <v>426</v>
      </c>
      <c r="C134" s="465" t="s">
        <v>803</v>
      </c>
      <c r="D134" s="465" t="s">
        <v>792</v>
      </c>
      <c r="E134" s="466" t="s">
        <v>605</v>
      </c>
    </row>
    <row r="135" spans="2:5">
      <c r="B135" s="465">
        <v>427</v>
      </c>
      <c r="C135" s="465" t="s">
        <v>802</v>
      </c>
      <c r="D135" s="465" t="s">
        <v>792</v>
      </c>
      <c r="E135" s="466">
        <v>1</v>
      </c>
    </row>
    <row r="136" spans="2:5">
      <c r="B136" s="465">
        <v>428</v>
      </c>
      <c r="C136" s="465" t="s">
        <v>801</v>
      </c>
      <c r="D136" s="465" t="s">
        <v>792</v>
      </c>
      <c r="E136" s="466">
        <v>2</v>
      </c>
    </row>
    <row r="137" spans="2:5">
      <c r="B137" s="465">
        <v>429</v>
      </c>
      <c r="C137" s="465" t="s">
        <v>800</v>
      </c>
      <c r="D137" s="465" t="s">
        <v>792</v>
      </c>
      <c r="E137" s="466" t="s">
        <v>605</v>
      </c>
    </row>
    <row r="138" spans="2:5">
      <c r="B138" s="465">
        <v>430</v>
      </c>
      <c r="C138" s="465" t="s">
        <v>799</v>
      </c>
      <c r="D138" s="465" t="s">
        <v>792</v>
      </c>
      <c r="E138" s="466">
        <v>3</v>
      </c>
    </row>
    <row r="139" spans="2:5">
      <c r="B139" s="465">
        <v>432</v>
      </c>
      <c r="C139" s="465" t="s">
        <v>798</v>
      </c>
      <c r="D139" s="465" t="s">
        <v>792</v>
      </c>
      <c r="E139" s="466">
        <v>3</v>
      </c>
    </row>
    <row r="140" spans="2:5">
      <c r="B140" s="465">
        <v>434</v>
      </c>
      <c r="C140" s="465" t="s">
        <v>797</v>
      </c>
      <c r="D140" s="465" t="s">
        <v>792</v>
      </c>
      <c r="E140" s="466">
        <v>3</v>
      </c>
    </row>
    <row r="141" spans="2:5">
      <c r="B141" s="465">
        <v>436</v>
      </c>
      <c r="C141" s="465" t="s">
        <v>796</v>
      </c>
      <c r="D141" s="465" t="s">
        <v>792</v>
      </c>
      <c r="E141" s="466">
        <v>3</v>
      </c>
    </row>
    <row r="142" spans="2:5">
      <c r="B142" s="465">
        <v>437</v>
      </c>
      <c r="C142" s="465" t="s">
        <v>795</v>
      </c>
      <c r="D142" s="465" t="s">
        <v>792</v>
      </c>
      <c r="E142" s="466">
        <v>3</v>
      </c>
    </row>
    <row r="143" spans="2:5">
      <c r="B143" s="465">
        <v>438</v>
      </c>
      <c r="C143" s="465" t="s">
        <v>794</v>
      </c>
      <c r="D143" s="465" t="s">
        <v>792</v>
      </c>
      <c r="E143" s="466">
        <v>3</v>
      </c>
    </row>
    <row r="144" spans="2:5">
      <c r="B144" s="465">
        <v>439</v>
      </c>
      <c r="C144" s="465" t="s">
        <v>793</v>
      </c>
      <c r="D144" s="465" t="s">
        <v>792</v>
      </c>
      <c r="E144" s="466">
        <v>3</v>
      </c>
    </row>
    <row r="145" spans="2:5">
      <c r="B145" s="465">
        <v>441</v>
      </c>
      <c r="C145" s="465" t="s">
        <v>711</v>
      </c>
      <c r="D145" s="465" t="s">
        <v>792</v>
      </c>
      <c r="E145" s="466">
        <v>3</v>
      </c>
    </row>
    <row r="146" spans="2:5">
      <c r="B146" s="465">
        <v>501</v>
      </c>
      <c r="C146" s="465" t="s">
        <v>791</v>
      </c>
      <c r="D146" s="465" t="s">
        <v>765</v>
      </c>
      <c r="E146" s="466">
        <v>1</v>
      </c>
    </row>
    <row r="147" spans="2:5">
      <c r="B147" s="465">
        <v>502</v>
      </c>
      <c r="C147" s="465" t="s">
        <v>790</v>
      </c>
      <c r="D147" s="465" t="s">
        <v>765</v>
      </c>
      <c r="E147" s="466">
        <v>1</v>
      </c>
    </row>
    <row r="148" spans="2:5">
      <c r="B148" s="465">
        <v>511</v>
      </c>
      <c r="C148" s="465" t="s">
        <v>789</v>
      </c>
      <c r="D148" s="465" t="s">
        <v>765</v>
      </c>
      <c r="E148" s="466">
        <v>3</v>
      </c>
    </row>
    <row r="149" spans="2:5">
      <c r="B149" s="465">
        <v>512</v>
      </c>
      <c r="C149" s="465" t="s">
        <v>788</v>
      </c>
      <c r="D149" s="465" t="s">
        <v>765</v>
      </c>
      <c r="E149" s="466">
        <v>3</v>
      </c>
    </row>
    <row r="150" spans="2:5">
      <c r="B150" s="465">
        <v>513</v>
      </c>
      <c r="C150" s="465" t="s">
        <v>787</v>
      </c>
      <c r="D150" s="465" t="s">
        <v>765</v>
      </c>
      <c r="E150" s="466">
        <v>3</v>
      </c>
    </row>
    <row r="151" spans="2:5">
      <c r="B151" s="465">
        <v>514</v>
      </c>
      <c r="C151" s="465" t="s">
        <v>786</v>
      </c>
      <c r="D151" s="465" t="s">
        <v>765</v>
      </c>
      <c r="E151" s="466">
        <v>3</v>
      </c>
    </row>
    <row r="152" spans="2:5">
      <c r="B152" s="465">
        <v>515</v>
      </c>
      <c r="C152" s="465" t="s">
        <v>785</v>
      </c>
      <c r="D152" s="465" t="s">
        <v>765</v>
      </c>
      <c r="E152" s="466">
        <v>3</v>
      </c>
    </row>
    <row r="153" spans="2:5">
      <c r="B153" s="465">
        <v>516</v>
      </c>
      <c r="C153" s="465" t="s">
        <v>784</v>
      </c>
      <c r="D153" s="465" t="s">
        <v>765</v>
      </c>
      <c r="E153" s="466">
        <v>2</v>
      </c>
    </row>
    <row r="154" spans="2:5">
      <c r="B154" s="465">
        <v>517</v>
      </c>
      <c r="C154" s="465" t="s">
        <v>783</v>
      </c>
      <c r="D154" s="465" t="s">
        <v>765</v>
      </c>
      <c r="E154" s="466">
        <v>3</v>
      </c>
    </row>
    <row r="155" spans="2:5">
      <c r="B155" s="465">
        <v>519</v>
      </c>
      <c r="C155" s="465" t="s">
        <v>782</v>
      </c>
      <c r="D155" s="465" t="s">
        <v>765</v>
      </c>
      <c r="E155" s="466">
        <v>2</v>
      </c>
    </row>
    <row r="156" spans="2:5">
      <c r="B156" s="465">
        <v>520</v>
      </c>
      <c r="C156" s="465" t="s">
        <v>781</v>
      </c>
      <c r="D156" s="465" t="s">
        <v>765</v>
      </c>
      <c r="E156" s="466">
        <v>2</v>
      </c>
    </row>
    <row r="157" spans="2:5">
      <c r="B157" s="465">
        <v>521</v>
      </c>
      <c r="C157" s="465" t="s">
        <v>780</v>
      </c>
      <c r="D157" s="465" t="s">
        <v>765</v>
      </c>
      <c r="E157" s="466">
        <v>1</v>
      </c>
    </row>
    <row r="158" spans="2:5">
      <c r="B158" s="465">
        <v>522</v>
      </c>
      <c r="C158" s="465" t="s">
        <v>779</v>
      </c>
      <c r="D158" s="465" t="s">
        <v>765</v>
      </c>
      <c r="E158" s="466" t="s">
        <v>605</v>
      </c>
    </row>
    <row r="159" spans="2:5">
      <c r="B159" s="465">
        <v>528</v>
      </c>
      <c r="C159" s="465" t="s">
        <v>778</v>
      </c>
      <c r="D159" s="465" t="s">
        <v>765</v>
      </c>
      <c r="E159" s="466">
        <v>1</v>
      </c>
    </row>
    <row r="160" spans="2:5">
      <c r="B160" s="465">
        <v>529</v>
      </c>
      <c r="C160" s="465" t="s">
        <v>777</v>
      </c>
      <c r="D160" s="465" t="s">
        <v>765</v>
      </c>
      <c r="E160" s="466">
        <v>1</v>
      </c>
    </row>
    <row r="161" spans="2:5">
      <c r="B161" s="465">
        <v>532</v>
      </c>
      <c r="C161" s="465" t="s">
        <v>776</v>
      </c>
      <c r="D161" s="465" t="s">
        <v>765</v>
      </c>
      <c r="E161" s="466">
        <v>1</v>
      </c>
    </row>
    <row r="162" spans="2:5">
      <c r="B162" s="465">
        <v>533</v>
      </c>
      <c r="C162" s="465" t="s">
        <v>775</v>
      </c>
      <c r="D162" s="465" t="s">
        <v>765</v>
      </c>
      <c r="E162" s="466">
        <v>1</v>
      </c>
    </row>
    <row r="163" spans="2:5">
      <c r="B163" s="465">
        <v>534</v>
      </c>
      <c r="C163" s="465" t="s">
        <v>774</v>
      </c>
      <c r="D163" s="465" t="s">
        <v>765</v>
      </c>
      <c r="E163" s="466">
        <v>1</v>
      </c>
    </row>
    <row r="164" spans="2:5">
      <c r="B164" s="465">
        <v>536</v>
      </c>
      <c r="C164" s="465" t="s">
        <v>773</v>
      </c>
      <c r="D164" s="465" t="s">
        <v>765</v>
      </c>
      <c r="E164" s="466" t="s">
        <v>605</v>
      </c>
    </row>
    <row r="165" spans="2:5">
      <c r="B165" s="465">
        <v>538</v>
      </c>
      <c r="C165" s="465" t="s">
        <v>772</v>
      </c>
      <c r="D165" s="465" t="s">
        <v>765</v>
      </c>
      <c r="E165" s="466" t="s">
        <v>605</v>
      </c>
    </row>
    <row r="166" spans="2:5">
      <c r="B166" s="465">
        <v>540</v>
      </c>
      <c r="C166" s="465" t="s">
        <v>771</v>
      </c>
      <c r="D166" s="465" t="s">
        <v>765</v>
      </c>
      <c r="E166" s="466">
        <v>3</v>
      </c>
    </row>
    <row r="167" spans="2:5">
      <c r="B167" s="465">
        <v>541</v>
      </c>
      <c r="C167" s="465" t="s">
        <v>770</v>
      </c>
      <c r="D167" s="465" t="s">
        <v>765</v>
      </c>
      <c r="E167" s="466">
        <v>3</v>
      </c>
    </row>
    <row r="168" spans="2:5">
      <c r="B168" s="465">
        <v>542</v>
      </c>
      <c r="C168" s="465" t="s">
        <v>769</v>
      </c>
      <c r="D168" s="465" t="s">
        <v>765</v>
      </c>
      <c r="E168" s="466">
        <v>3</v>
      </c>
    </row>
    <row r="169" spans="2:5">
      <c r="B169" s="465">
        <v>543</v>
      </c>
      <c r="C169" s="465" t="s">
        <v>768</v>
      </c>
      <c r="D169" s="465" t="s">
        <v>765</v>
      </c>
      <c r="E169" s="466">
        <v>3</v>
      </c>
    </row>
    <row r="170" spans="2:5">
      <c r="B170" s="465">
        <v>544</v>
      </c>
      <c r="C170" s="465" t="s">
        <v>767</v>
      </c>
      <c r="D170" s="465" t="s">
        <v>765</v>
      </c>
      <c r="E170" s="466">
        <v>3</v>
      </c>
    </row>
    <row r="171" spans="2:5">
      <c r="B171" s="465">
        <v>545</v>
      </c>
      <c r="C171" s="465" t="s">
        <v>766</v>
      </c>
      <c r="D171" s="465" t="s">
        <v>765</v>
      </c>
      <c r="E171" s="466">
        <v>3</v>
      </c>
    </row>
    <row r="172" spans="2:5">
      <c r="B172" s="465">
        <v>602</v>
      </c>
      <c r="C172" s="465" t="s">
        <v>209</v>
      </c>
      <c r="D172" s="465" t="s">
        <v>763</v>
      </c>
      <c r="E172" s="466">
        <v>1</v>
      </c>
    </row>
    <row r="173" spans="2:5">
      <c r="B173" s="465">
        <v>604</v>
      </c>
      <c r="C173" s="465" t="s">
        <v>210</v>
      </c>
      <c r="D173" s="465" t="s">
        <v>763</v>
      </c>
      <c r="E173" s="466">
        <v>1</v>
      </c>
    </row>
    <row r="174" spans="2:5">
      <c r="B174" s="465">
        <v>605</v>
      </c>
      <c r="C174" s="465" t="s">
        <v>211</v>
      </c>
      <c r="D174" s="465" t="s">
        <v>763</v>
      </c>
      <c r="E174" s="466">
        <v>1</v>
      </c>
    </row>
    <row r="175" spans="2:5">
      <c r="B175" s="465">
        <v>612</v>
      </c>
      <c r="C175" s="465" t="s">
        <v>212</v>
      </c>
      <c r="D175" s="465" t="s">
        <v>763</v>
      </c>
      <c r="E175" s="466">
        <v>1</v>
      </c>
    </row>
    <row r="176" spans="2:5">
      <c r="B176" s="465">
        <v>615</v>
      </c>
      <c r="C176" s="465" t="s">
        <v>213</v>
      </c>
      <c r="D176" s="465" t="s">
        <v>763</v>
      </c>
      <c r="E176" s="466">
        <v>2</v>
      </c>
    </row>
    <row r="177" spans="2:5">
      <c r="B177" s="465">
        <v>616</v>
      </c>
      <c r="C177" s="465" t="s">
        <v>208</v>
      </c>
      <c r="D177" s="465" t="s">
        <v>763</v>
      </c>
      <c r="E177" s="466">
        <v>2</v>
      </c>
    </row>
    <row r="178" spans="2:5">
      <c r="B178" s="465">
        <v>617</v>
      </c>
      <c r="C178" s="465" t="s">
        <v>214</v>
      </c>
      <c r="D178" s="465" t="s">
        <v>763</v>
      </c>
      <c r="E178" s="466">
        <v>2</v>
      </c>
    </row>
    <row r="179" spans="2:5">
      <c r="B179" s="465">
        <v>618</v>
      </c>
      <c r="C179" s="465" t="s">
        <v>215</v>
      </c>
      <c r="D179" s="465" t="s">
        <v>763</v>
      </c>
      <c r="E179" s="466">
        <v>2</v>
      </c>
    </row>
    <row r="180" spans="2:5">
      <c r="B180" s="465">
        <v>619</v>
      </c>
      <c r="C180" s="465" t="s">
        <v>216</v>
      </c>
      <c r="D180" s="465" t="s">
        <v>763</v>
      </c>
      <c r="E180" s="466">
        <v>2</v>
      </c>
    </row>
    <row r="181" spans="2:5">
      <c r="B181" s="465">
        <v>620</v>
      </c>
      <c r="C181" s="465" t="s">
        <v>217</v>
      </c>
      <c r="D181" s="465" t="s">
        <v>763</v>
      </c>
      <c r="E181" s="466">
        <v>2</v>
      </c>
    </row>
    <row r="182" spans="2:5">
      <c r="B182" s="465">
        <v>621</v>
      </c>
      <c r="C182" s="465" t="s">
        <v>218</v>
      </c>
      <c r="D182" s="465" t="s">
        <v>763</v>
      </c>
      <c r="E182" s="466" t="s">
        <v>605</v>
      </c>
    </row>
    <row r="183" spans="2:5">
      <c r="B183" s="465">
        <v>622</v>
      </c>
      <c r="C183" s="465" t="s">
        <v>219</v>
      </c>
      <c r="D183" s="465" t="s">
        <v>763</v>
      </c>
      <c r="E183" s="466">
        <v>1</v>
      </c>
    </row>
    <row r="184" spans="2:5">
      <c r="B184" s="465">
        <v>623</v>
      </c>
      <c r="C184" s="465" t="s">
        <v>220</v>
      </c>
      <c r="D184" s="465" t="s">
        <v>763</v>
      </c>
      <c r="E184" s="466">
        <v>1</v>
      </c>
    </row>
    <row r="185" spans="2:5">
      <c r="B185" s="465">
        <v>624</v>
      </c>
      <c r="C185" s="465" t="s">
        <v>319</v>
      </c>
      <c r="D185" s="465" t="s">
        <v>763</v>
      </c>
      <c r="E185" s="466">
        <v>1</v>
      </c>
    </row>
    <row r="186" spans="2:5">
      <c r="B186" s="465">
        <v>625</v>
      </c>
      <c r="C186" s="465" t="s">
        <v>318</v>
      </c>
      <c r="D186" s="465" t="s">
        <v>763</v>
      </c>
      <c r="E186" s="466">
        <v>1</v>
      </c>
    </row>
    <row r="187" spans="2:5">
      <c r="B187" s="465">
        <v>626</v>
      </c>
      <c r="C187" s="465" t="s">
        <v>221</v>
      </c>
      <c r="D187" s="465" t="s">
        <v>763</v>
      </c>
      <c r="E187" s="466">
        <v>1</v>
      </c>
    </row>
    <row r="188" spans="2:5">
      <c r="B188" s="465">
        <v>627</v>
      </c>
      <c r="C188" s="465" t="s">
        <v>222</v>
      </c>
      <c r="D188" s="465" t="s">
        <v>763</v>
      </c>
      <c r="E188" s="466">
        <v>1</v>
      </c>
    </row>
    <row r="189" spans="2:5">
      <c r="B189" s="465">
        <v>628</v>
      </c>
      <c r="C189" s="465" t="s">
        <v>223</v>
      </c>
      <c r="D189" s="465" t="s">
        <v>763</v>
      </c>
      <c r="E189" s="466">
        <v>1</v>
      </c>
    </row>
    <row r="190" spans="2:5">
      <c r="B190" s="465">
        <v>631</v>
      </c>
      <c r="C190" s="465" t="s">
        <v>764</v>
      </c>
      <c r="D190" s="465" t="s">
        <v>763</v>
      </c>
      <c r="E190" s="466">
        <v>1</v>
      </c>
    </row>
    <row r="191" spans="2:5">
      <c r="B191" s="465">
        <v>632</v>
      </c>
      <c r="C191" s="465" t="s">
        <v>224</v>
      </c>
      <c r="D191" s="465" t="s">
        <v>763</v>
      </c>
      <c r="E191" s="466" t="s">
        <v>605</v>
      </c>
    </row>
    <row r="192" spans="2:5">
      <c r="B192" s="465">
        <v>633</v>
      </c>
      <c r="C192" s="465" t="s">
        <v>315</v>
      </c>
      <c r="D192" s="465" t="s">
        <v>763</v>
      </c>
      <c r="E192" s="466">
        <v>2</v>
      </c>
    </row>
    <row r="193" spans="2:5">
      <c r="B193" s="465">
        <v>701</v>
      </c>
      <c r="C193" s="465" t="s">
        <v>225</v>
      </c>
      <c r="D193" s="465" t="s">
        <v>753</v>
      </c>
      <c r="E193" s="466">
        <v>1</v>
      </c>
    </row>
    <row r="194" spans="2:5">
      <c r="B194" s="465">
        <v>702</v>
      </c>
      <c r="C194" s="465" t="s">
        <v>762</v>
      </c>
      <c r="D194" s="465" t="s">
        <v>753</v>
      </c>
      <c r="E194" s="466">
        <v>1</v>
      </c>
    </row>
    <row r="195" spans="2:5">
      <c r="B195" s="465">
        <v>704</v>
      </c>
      <c r="C195" s="465" t="s">
        <v>155</v>
      </c>
      <c r="D195" s="465" t="s">
        <v>753</v>
      </c>
      <c r="E195" s="466">
        <v>1</v>
      </c>
    </row>
    <row r="196" spans="2:5">
      <c r="B196" s="465">
        <v>706</v>
      </c>
      <c r="C196" s="465" t="s">
        <v>226</v>
      </c>
      <c r="D196" s="465" t="s">
        <v>753</v>
      </c>
      <c r="E196" s="466">
        <v>1</v>
      </c>
    </row>
    <row r="197" spans="2:5">
      <c r="B197" s="465">
        <v>709</v>
      </c>
      <c r="C197" s="465" t="s">
        <v>761</v>
      </c>
      <c r="D197" s="465" t="s">
        <v>753</v>
      </c>
      <c r="E197" s="466">
        <v>1</v>
      </c>
    </row>
    <row r="198" spans="2:5">
      <c r="B198" s="465">
        <v>711</v>
      </c>
      <c r="C198" s="465" t="s">
        <v>760</v>
      </c>
      <c r="D198" s="465" t="s">
        <v>753</v>
      </c>
      <c r="E198" s="466">
        <v>1</v>
      </c>
    </row>
    <row r="199" spans="2:5">
      <c r="B199" s="465">
        <v>713</v>
      </c>
      <c r="C199" s="465" t="s">
        <v>227</v>
      </c>
      <c r="D199" s="465" t="s">
        <v>753</v>
      </c>
      <c r="E199" s="466">
        <v>1</v>
      </c>
    </row>
    <row r="200" spans="2:5">
      <c r="B200" s="465">
        <v>714</v>
      </c>
      <c r="C200" s="465" t="s">
        <v>759</v>
      </c>
      <c r="D200" s="465" t="s">
        <v>753</v>
      </c>
      <c r="E200" s="466">
        <v>1</v>
      </c>
    </row>
    <row r="201" spans="2:5">
      <c r="B201" s="465">
        <v>716</v>
      </c>
      <c r="C201" s="465" t="s">
        <v>228</v>
      </c>
      <c r="D201" s="465" t="s">
        <v>753</v>
      </c>
      <c r="E201" s="466">
        <v>1</v>
      </c>
    </row>
    <row r="202" spans="2:5">
      <c r="B202" s="465">
        <v>719</v>
      </c>
      <c r="C202" s="465" t="s">
        <v>758</v>
      </c>
      <c r="D202" s="465" t="s">
        <v>753</v>
      </c>
      <c r="E202" s="466">
        <v>1</v>
      </c>
    </row>
    <row r="203" spans="2:5">
      <c r="B203" s="465">
        <v>720</v>
      </c>
      <c r="C203" s="465" t="s">
        <v>757</v>
      </c>
      <c r="D203" s="465" t="s">
        <v>753</v>
      </c>
      <c r="E203" s="466">
        <v>1</v>
      </c>
    </row>
    <row r="204" spans="2:5">
      <c r="B204" s="465">
        <v>722</v>
      </c>
      <c r="C204" s="465" t="s">
        <v>756</v>
      </c>
      <c r="D204" s="465" t="s">
        <v>753</v>
      </c>
      <c r="E204" s="466">
        <v>1</v>
      </c>
    </row>
    <row r="205" spans="2:5">
      <c r="B205" s="465">
        <v>723</v>
      </c>
      <c r="C205" s="465" t="s">
        <v>755</v>
      </c>
      <c r="D205" s="465" t="s">
        <v>753</v>
      </c>
      <c r="E205" s="466">
        <v>1</v>
      </c>
    </row>
    <row r="206" spans="2:5">
      <c r="B206" s="465">
        <v>728</v>
      </c>
      <c r="C206" s="465" t="s">
        <v>754</v>
      </c>
      <c r="D206" s="465" t="s">
        <v>753</v>
      </c>
      <c r="E206" s="466">
        <v>1</v>
      </c>
    </row>
    <row r="207" spans="2:5">
      <c r="B207" s="465">
        <v>805</v>
      </c>
      <c r="C207" s="465" t="s">
        <v>229</v>
      </c>
      <c r="D207" s="465" t="s">
        <v>751</v>
      </c>
      <c r="E207" s="466">
        <v>1</v>
      </c>
    </row>
    <row r="208" spans="2:5">
      <c r="B208" s="465">
        <v>806</v>
      </c>
      <c r="C208" s="465" t="s">
        <v>230</v>
      </c>
      <c r="D208" s="465" t="s">
        <v>751</v>
      </c>
      <c r="E208" s="466">
        <v>1</v>
      </c>
    </row>
    <row r="209" spans="2:5">
      <c r="B209" s="465">
        <v>807</v>
      </c>
      <c r="C209" s="465" t="s">
        <v>231</v>
      </c>
      <c r="D209" s="465" t="s">
        <v>751</v>
      </c>
      <c r="E209" s="466">
        <v>1</v>
      </c>
    </row>
    <row r="210" spans="2:5">
      <c r="B210" s="465">
        <v>811</v>
      </c>
      <c r="C210" s="465" t="s">
        <v>232</v>
      </c>
      <c r="D210" s="465" t="s">
        <v>751</v>
      </c>
      <c r="E210" s="466">
        <v>1</v>
      </c>
    </row>
    <row r="211" spans="2:5">
      <c r="B211" s="465">
        <v>814</v>
      </c>
      <c r="C211" s="465" t="s">
        <v>233</v>
      </c>
      <c r="D211" s="465" t="s">
        <v>751</v>
      </c>
      <c r="E211" s="466">
        <v>1</v>
      </c>
    </row>
    <row r="212" spans="2:5">
      <c r="B212" s="465">
        <v>815</v>
      </c>
      <c r="C212" s="465" t="s">
        <v>234</v>
      </c>
      <c r="D212" s="465" t="s">
        <v>751</v>
      </c>
      <c r="E212" s="466">
        <v>1</v>
      </c>
    </row>
    <row r="213" spans="2:5">
      <c r="B213" s="465">
        <v>817</v>
      </c>
      <c r="C213" s="465" t="s">
        <v>235</v>
      </c>
      <c r="D213" s="465" t="s">
        <v>751</v>
      </c>
      <c r="E213" s="466" t="s">
        <v>605</v>
      </c>
    </row>
    <row r="214" spans="2:5">
      <c r="B214" s="465">
        <v>819</v>
      </c>
      <c r="C214" s="465" t="s">
        <v>236</v>
      </c>
      <c r="D214" s="465" t="s">
        <v>751</v>
      </c>
      <c r="E214" s="466" t="s">
        <v>605</v>
      </c>
    </row>
    <row r="215" spans="2:5">
      <c r="B215" s="465">
        <v>821</v>
      </c>
      <c r="C215" s="465" t="s">
        <v>546</v>
      </c>
      <c r="D215" s="465" t="s">
        <v>751</v>
      </c>
      <c r="E215" s="466">
        <v>1</v>
      </c>
    </row>
    <row r="216" spans="2:5">
      <c r="B216" s="465">
        <v>822</v>
      </c>
      <c r="C216" s="465" t="s">
        <v>237</v>
      </c>
      <c r="D216" s="465" t="s">
        <v>751</v>
      </c>
      <c r="E216" s="466">
        <v>1</v>
      </c>
    </row>
    <row r="217" spans="2:5">
      <c r="B217" s="465">
        <v>826</v>
      </c>
      <c r="C217" s="465" t="s">
        <v>238</v>
      </c>
      <c r="D217" s="465" t="s">
        <v>751</v>
      </c>
      <c r="E217" s="466">
        <v>2</v>
      </c>
    </row>
    <row r="218" spans="2:5">
      <c r="B218" s="465">
        <v>827</v>
      </c>
      <c r="C218" s="465" t="s">
        <v>239</v>
      </c>
      <c r="D218" s="465" t="s">
        <v>751</v>
      </c>
      <c r="E218" s="466" t="s">
        <v>605</v>
      </c>
    </row>
    <row r="219" spans="2:5">
      <c r="B219" s="465">
        <v>828</v>
      </c>
      <c r="C219" s="465" t="s">
        <v>240</v>
      </c>
      <c r="D219" s="465" t="s">
        <v>751</v>
      </c>
      <c r="E219" s="466">
        <v>2</v>
      </c>
    </row>
    <row r="220" spans="2:5">
      <c r="B220" s="465">
        <v>829</v>
      </c>
      <c r="C220" s="465" t="s">
        <v>241</v>
      </c>
      <c r="D220" s="465" t="s">
        <v>751</v>
      </c>
      <c r="E220" s="466">
        <v>2</v>
      </c>
    </row>
    <row r="221" spans="2:5">
      <c r="B221" s="465">
        <v>830</v>
      </c>
      <c r="C221" s="465" t="s">
        <v>752</v>
      </c>
      <c r="D221" s="465" t="s">
        <v>751</v>
      </c>
      <c r="E221" s="466">
        <v>2</v>
      </c>
    </row>
    <row r="222" spans="2:5">
      <c r="B222" s="465">
        <v>831</v>
      </c>
      <c r="C222" s="465" t="s">
        <v>242</v>
      </c>
      <c r="D222" s="465" t="s">
        <v>751</v>
      </c>
      <c r="E222" s="466">
        <v>2</v>
      </c>
    </row>
    <row r="223" spans="2:5">
      <c r="B223" s="465">
        <v>833</v>
      </c>
      <c r="C223" s="465" t="s">
        <v>243</v>
      </c>
      <c r="D223" s="465" t="s">
        <v>751</v>
      </c>
      <c r="E223" s="466">
        <v>2</v>
      </c>
    </row>
    <row r="224" spans="2:5">
      <c r="B224" s="465">
        <v>834</v>
      </c>
      <c r="C224" s="465" t="s">
        <v>244</v>
      </c>
      <c r="D224" s="465" t="s">
        <v>751</v>
      </c>
      <c r="E224" s="466">
        <v>2</v>
      </c>
    </row>
    <row r="225" spans="2:5" ht="26">
      <c r="B225" s="465">
        <v>901</v>
      </c>
      <c r="C225" s="465" t="s">
        <v>750</v>
      </c>
      <c r="D225" s="465" t="s">
        <v>742</v>
      </c>
      <c r="E225" s="466">
        <v>1</v>
      </c>
    </row>
    <row r="226" spans="2:5" ht="26">
      <c r="B226" s="465">
        <v>904</v>
      </c>
      <c r="C226" s="465" t="s">
        <v>245</v>
      </c>
      <c r="D226" s="465" t="s">
        <v>742</v>
      </c>
      <c r="E226" s="466">
        <v>1</v>
      </c>
    </row>
    <row r="227" spans="2:5" ht="26">
      <c r="B227" s="465">
        <v>906</v>
      </c>
      <c r="C227" s="465" t="s">
        <v>749</v>
      </c>
      <c r="D227" s="465" t="s">
        <v>742</v>
      </c>
      <c r="E227" s="466">
        <v>1</v>
      </c>
    </row>
    <row r="228" spans="2:5" ht="26">
      <c r="B228" s="465">
        <v>911</v>
      </c>
      <c r="C228" s="465" t="s">
        <v>748</v>
      </c>
      <c r="D228" s="465" t="s">
        <v>742</v>
      </c>
      <c r="E228" s="466" t="s">
        <v>605</v>
      </c>
    </row>
    <row r="229" spans="2:5" ht="26">
      <c r="B229" s="465">
        <v>912</v>
      </c>
      <c r="C229" s="465" t="s">
        <v>246</v>
      </c>
      <c r="D229" s="465" t="s">
        <v>742</v>
      </c>
      <c r="E229" s="466" t="s">
        <v>605</v>
      </c>
    </row>
    <row r="230" spans="2:5" ht="26">
      <c r="B230" s="465">
        <v>914</v>
      </c>
      <c r="C230" s="465" t="s">
        <v>247</v>
      </c>
      <c r="D230" s="465" t="s">
        <v>742</v>
      </c>
      <c r="E230" s="466">
        <v>1</v>
      </c>
    </row>
    <row r="231" spans="2:5" ht="26">
      <c r="B231" s="465">
        <v>919</v>
      </c>
      <c r="C231" s="465" t="s">
        <v>248</v>
      </c>
      <c r="D231" s="465" t="s">
        <v>742</v>
      </c>
      <c r="E231" s="466">
        <v>1</v>
      </c>
    </row>
    <row r="232" spans="2:5" ht="26">
      <c r="B232" s="465">
        <v>926</v>
      </c>
      <c r="C232" s="465" t="s">
        <v>747</v>
      </c>
      <c r="D232" s="465" t="s">
        <v>742</v>
      </c>
      <c r="E232" s="466">
        <v>1</v>
      </c>
    </row>
    <row r="233" spans="2:5" ht="26">
      <c r="B233" s="465">
        <v>928</v>
      </c>
      <c r="C233" s="465" t="s">
        <v>249</v>
      </c>
      <c r="D233" s="465" t="s">
        <v>742</v>
      </c>
      <c r="E233" s="466">
        <v>1</v>
      </c>
    </row>
    <row r="234" spans="2:5" ht="26">
      <c r="B234" s="465">
        <v>929</v>
      </c>
      <c r="C234" s="465" t="s">
        <v>746</v>
      </c>
      <c r="D234" s="465" t="s">
        <v>742</v>
      </c>
      <c r="E234" s="466" t="s">
        <v>605</v>
      </c>
    </row>
    <row r="235" spans="2:5" ht="26">
      <c r="B235" s="465">
        <v>935</v>
      </c>
      <c r="C235" s="465" t="s">
        <v>250</v>
      </c>
      <c r="D235" s="465" t="s">
        <v>742</v>
      </c>
      <c r="E235" s="466" t="s">
        <v>605</v>
      </c>
    </row>
    <row r="236" spans="2:5" ht="26">
      <c r="B236" s="465">
        <v>937</v>
      </c>
      <c r="C236" s="465" t="s">
        <v>745</v>
      </c>
      <c r="D236" s="465" t="s">
        <v>742</v>
      </c>
      <c r="E236" s="466">
        <v>2</v>
      </c>
    </row>
    <row r="237" spans="2:5" ht="26">
      <c r="B237" s="465">
        <v>938</v>
      </c>
      <c r="C237" s="465" t="s">
        <v>251</v>
      </c>
      <c r="D237" s="465" t="s">
        <v>742</v>
      </c>
      <c r="E237" s="466">
        <v>2</v>
      </c>
    </row>
    <row r="238" spans="2:5" ht="26">
      <c r="B238" s="465">
        <v>940</v>
      </c>
      <c r="C238" s="465" t="s">
        <v>744</v>
      </c>
      <c r="D238" s="465" t="s">
        <v>742</v>
      </c>
      <c r="E238" s="466">
        <v>2</v>
      </c>
    </row>
    <row r="239" spans="2:5" ht="26">
      <c r="B239" s="465">
        <v>941</v>
      </c>
      <c r="C239" s="465" t="s">
        <v>743</v>
      </c>
      <c r="D239" s="465" t="s">
        <v>742</v>
      </c>
      <c r="E239" s="466">
        <v>2</v>
      </c>
    </row>
    <row r="240" spans="2:5" ht="26">
      <c r="B240" s="465">
        <v>1001</v>
      </c>
      <c r="C240" s="465" t="s">
        <v>263</v>
      </c>
      <c r="D240" s="465" t="s">
        <v>738</v>
      </c>
      <c r="E240" s="466">
        <v>1</v>
      </c>
    </row>
    <row r="241" spans="2:5" ht="26">
      <c r="B241" s="465">
        <v>1002</v>
      </c>
      <c r="C241" s="465" t="s">
        <v>252</v>
      </c>
      <c r="D241" s="465" t="s">
        <v>738</v>
      </c>
      <c r="E241" s="466">
        <v>1</v>
      </c>
    </row>
    <row r="242" spans="2:5" ht="26">
      <c r="B242" s="465">
        <v>1003</v>
      </c>
      <c r="C242" s="465" t="s">
        <v>253</v>
      </c>
      <c r="D242" s="465" t="s">
        <v>738</v>
      </c>
      <c r="E242" s="466">
        <v>1</v>
      </c>
    </row>
    <row r="243" spans="2:5" ht="26">
      <c r="B243" s="465">
        <v>1004</v>
      </c>
      <c r="C243" s="465" t="s">
        <v>254</v>
      </c>
      <c r="D243" s="465" t="s">
        <v>738</v>
      </c>
      <c r="E243" s="466">
        <v>1</v>
      </c>
    </row>
    <row r="244" spans="2:5" ht="26">
      <c r="B244" s="465">
        <v>1014</v>
      </c>
      <c r="C244" s="465" t="s">
        <v>255</v>
      </c>
      <c r="D244" s="465" t="s">
        <v>738</v>
      </c>
      <c r="E244" s="466">
        <v>1</v>
      </c>
    </row>
    <row r="245" spans="2:5" ht="26">
      <c r="B245" s="465">
        <v>1017</v>
      </c>
      <c r="C245" s="465" t="s">
        <v>741</v>
      </c>
      <c r="D245" s="465" t="s">
        <v>738</v>
      </c>
      <c r="E245" s="466">
        <v>1</v>
      </c>
    </row>
    <row r="246" spans="2:5" ht="26">
      <c r="B246" s="465">
        <v>1018</v>
      </c>
      <c r="C246" s="465" t="s">
        <v>256</v>
      </c>
      <c r="D246" s="465" t="s">
        <v>738</v>
      </c>
      <c r="E246" s="466">
        <v>1</v>
      </c>
    </row>
    <row r="247" spans="2:5" ht="26">
      <c r="B247" s="465">
        <v>1021</v>
      </c>
      <c r="C247" s="465" t="s">
        <v>257</v>
      </c>
      <c r="D247" s="465" t="s">
        <v>738</v>
      </c>
      <c r="E247" s="466">
        <v>1</v>
      </c>
    </row>
    <row r="248" spans="2:5" ht="26">
      <c r="B248" s="465">
        <v>1026</v>
      </c>
      <c r="C248" s="465" t="s">
        <v>740</v>
      </c>
      <c r="D248" s="465" t="s">
        <v>738</v>
      </c>
      <c r="E248" s="466" t="s">
        <v>605</v>
      </c>
    </row>
    <row r="249" spans="2:5" ht="26">
      <c r="B249" s="465">
        <v>1027</v>
      </c>
      <c r="C249" s="465" t="s">
        <v>258</v>
      </c>
      <c r="D249" s="465" t="s">
        <v>738</v>
      </c>
      <c r="E249" s="466" t="s">
        <v>605</v>
      </c>
    </row>
    <row r="250" spans="2:5" ht="26">
      <c r="B250" s="465">
        <v>1029</v>
      </c>
      <c r="C250" s="465" t="s">
        <v>259</v>
      </c>
      <c r="D250" s="465" t="s">
        <v>738</v>
      </c>
      <c r="E250" s="466">
        <v>1</v>
      </c>
    </row>
    <row r="251" spans="2:5" ht="26">
      <c r="B251" s="465">
        <v>1032</v>
      </c>
      <c r="C251" s="465" t="s">
        <v>260</v>
      </c>
      <c r="D251" s="465" t="s">
        <v>738</v>
      </c>
      <c r="E251" s="466">
        <v>1</v>
      </c>
    </row>
    <row r="252" spans="2:5" ht="26">
      <c r="B252" s="465">
        <v>1034</v>
      </c>
      <c r="C252" s="465" t="s">
        <v>261</v>
      </c>
      <c r="D252" s="465" t="s">
        <v>738</v>
      </c>
      <c r="E252" s="466" t="s">
        <v>605</v>
      </c>
    </row>
    <row r="253" spans="2:5" ht="26">
      <c r="B253" s="465">
        <v>1037</v>
      </c>
      <c r="C253" s="465" t="s">
        <v>262</v>
      </c>
      <c r="D253" s="465" t="s">
        <v>738</v>
      </c>
      <c r="E253" s="466">
        <v>1</v>
      </c>
    </row>
    <row r="254" spans="2:5" ht="26">
      <c r="B254" s="465">
        <v>1046</v>
      </c>
      <c r="C254" s="465" t="s">
        <v>739</v>
      </c>
      <c r="D254" s="465" t="s">
        <v>738</v>
      </c>
      <c r="E254" s="466" t="s">
        <v>605</v>
      </c>
    </row>
    <row r="255" spans="2:5">
      <c r="B255" s="465">
        <v>1101</v>
      </c>
      <c r="C255" s="465" t="s">
        <v>737</v>
      </c>
      <c r="D255" s="465" t="s">
        <v>725</v>
      </c>
      <c r="E255" s="466">
        <v>1</v>
      </c>
    </row>
    <row r="256" spans="2:5">
      <c r="B256" s="465">
        <v>1102</v>
      </c>
      <c r="C256" s="465" t="s">
        <v>264</v>
      </c>
      <c r="D256" s="465" t="s">
        <v>725</v>
      </c>
      <c r="E256" s="466">
        <v>1</v>
      </c>
    </row>
    <row r="257" spans="2:5">
      <c r="B257" s="465">
        <v>1103</v>
      </c>
      <c r="C257" s="465" t="s">
        <v>736</v>
      </c>
      <c r="D257" s="465" t="s">
        <v>725</v>
      </c>
      <c r="E257" s="466">
        <v>1</v>
      </c>
    </row>
    <row r="258" spans="2:5">
      <c r="B258" s="465">
        <v>1106</v>
      </c>
      <c r="C258" s="465" t="s">
        <v>735</v>
      </c>
      <c r="D258" s="465" t="s">
        <v>725</v>
      </c>
      <c r="E258" s="466">
        <v>1</v>
      </c>
    </row>
    <row r="259" spans="2:5">
      <c r="B259" s="465">
        <v>1111</v>
      </c>
      <c r="C259" s="465" t="s">
        <v>265</v>
      </c>
      <c r="D259" s="465" t="s">
        <v>725</v>
      </c>
      <c r="E259" s="466">
        <v>1</v>
      </c>
    </row>
    <row r="260" spans="2:5">
      <c r="B260" s="465">
        <v>1112</v>
      </c>
      <c r="C260" s="465" t="s">
        <v>266</v>
      </c>
      <c r="D260" s="465" t="s">
        <v>725</v>
      </c>
      <c r="E260" s="466">
        <v>1</v>
      </c>
    </row>
    <row r="261" spans="2:5">
      <c r="B261" s="465">
        <v>1114</v>
      </c>
      <c r="C261" s="465" t="s">
        <v>267</v>
      </c>
      <c r="D261" s="465" t="s">
        <v>725</v>
      </c>
      <c r="E261" s="466">
        <v>1</v>
      </c>
    </row>
    <row r="262" spans="2:5">
      <c r="B262" s="465">
        <v>1119</v>
      </c>
      <c r="C262" s="465" t="s">
        <v>268</v>
      </c>
      <c r="D262" s="465" t="s">
        <v>725</v>
      </c>
      <c r="E262" s="466">
        <v>1</v>
      </c>
    </row>
    <row r="263" spans="2:5">
      <c r="B263" s="465">
        <v>1120</v>
      </c>
      <c r="C263" s="465" t="s">
        <v>269</v>
      </c>
      <c r="D263" s="465" t="s">
        <v>725</v>
      </c>
      <c r="E263" s="466">
        <v>1</v>
      </c>
    </row>
    <row r="264" spans="2:5">
      <c r="B264" s="465">
        <v>1121</v>
      </c>
      <c r="C264" s="465" t="s">
        <v>270</v>
      </c>
      <c r="D264" s="465" t="s">
        <v>725</v>
      </c>
      <c r="E264" s="466">
        <v>1</v>
      </c>
    </row>
    <row r="265" spans="2:5">
      <c r="B265" s="465">
        <v>1122</v>
      </c>
      <c r="C265" s="465" t="s">
        <v>271</v>
      </c>
      <c r="D265" s="465" t="s">
        <v>725</v>
      </c>
      <c r="E265" s="466">
        <v>1</v>
      </c>
    </row>
    <row r="266" spans="2:5">
      <c r="B266" s="465">
        <v>1124</v>
      </c>
      <c r="C266" s="465" t="s">
        <v>734</v>
      </c>
      <c r="D266" s="465" t="s">
        <v>725</v>
      </c>
      <c r="E266" s="466">
        <v>1</v>
      </c>
    </row>
    <row r="267" spans="2:5">
      <c r="B267" s="465">
        <v>1127</v>
      </c>
      <c r="C267" s="465" t="s">
        <v>733</v>
      </c>
      <c r="D267" s="465" t="s">
        <v>725</v>
      </c>
      <c r="E267" s="466">
        <v>1</v>
      </c>
    </row>
    <row r="268" spans="2:5">
      <c r="B268" s="465">
        <v>1129</v>
      </c>
      <c r="C268" s="465" t="s">
        <v>732</v>
      </c>
      <c r="D268" s="465" t="s">
        <v>725</v>
      </c>
      <c r="E268" s="466">
        <v>1</v>
      </c>
    </row>
    <row r="269" spans="2:5">
      <c r="B269" s="465">
        <v>1130</v>
      </c>
      <c r="C269" s="465" t="s">
        <v>731</v>
      </c>
      <c r="D269" s="465" t="s">
        <v>725</v>
      </c>
      <c r="E269" s="466">
        <v>1</v>
      </c>
    </row>
    <row r="270" spans="2:5">
      <c r="B270" s="465">
        <v>1133</v>
      </c>
      <c r="C270" s="465" t="s">
        <v>272</v>
      </c>
      <c r="D270" s="465" t="s">
        <v>725</v>
      </c>
      <c r="E270" s="466">
        <v>2</v>
      </c>
    </row>
    <row r="271" spans="2:5">
      <c r="B271" s="465">
        <v>1134</v>
      </c>
      <c r="C271" s="465" t="s">
        <v>273</v>
      </c>
      <c r="D271" s="465" t="s">
        <v>725</v>
      </c>
      <c r="E271" s="466">
        <v>2</v>
      </c>
    </row>
    <row r="272" spans="2:5">
      <c r="B272" s="465">
        <v>1135</v>
      </c>
      <c r="C272" s="465" t="s">
        <v>274</v>
      </c>
      <c r="D272" s="465" t="s">
        <v>725</v>
      </c>
      <c r="E272" s="466" t="s">
        <v>605</v>
      </c>
    </row>
    <row r="273" spans="2:5">
      <c r="B273" s="465">
        <v>1141</v>
      </c>
      <c r="C273" s="465" t="s">
        <v>275</v>
      </c>
      <c r="D273" s="465" t="s">
        <v>725</v>
      </c>
      <c r="E273" s="466" t="s">
        <v>605</v>
      </c>
    </row>
    <row r="274" spans="2:5">
      <c r="B274" s="465">
        <v>1142</v>
      </c>
      <c r="C274" s="465" t="s">
        <v>730</v>
      </c>
      <c r="D274" s="465" t="s">
        <v>725</v>
      </c>
      <c r="E274" s="466">
        <v>1</v>
      </c>
    </row>
    <row r="275" spans="2:5">
      <c r="B275" s="465">
        <v>1144</v>
      </c>
      <c r="C275" s="465" t="s">
        <v>729</v>
      </c>
      <c r="D275" s="465" t="s">
        <v>725</v>
      </c>
      <c r="E275" s="466">
        <v>2</v>
      </c>
    </row>
    <row r="276" spans="2:5">
      <c r="B276" s="465">
        <v>1145</v>
      </c>
      <c r="C276" s="465" t="s">
        <v>728</v>
      </c>
      <c r="D276" s="465" t="s">
        <v>725</v>
      </c>
      <c r="E276" s="466">
        <v>1</v>
      </c>
    </row>
    <row r="277" spans="2:5">
      <c r="B277" s="465">
        <v>1146</v>
      </c>
      <c r="C277" s="465" t="s">
        <v>276</v>
      </c>
      <c r="D277" s="465" t="s">
        <v>725</v>
      </c>
      <c r="E277" s="466">
        <v>1</v>
      </c>
    </row>
    <row r="278" spans="2:5">
      <c r="B278" s="465">
        <v>1149</v>
      </c>
      <c r="C278" s="465" t="s">
        <v>727</v>
      </c>
      <c r="D278" s="465" t="s">
        <v>725</v>
      </c>
      <c r="E278" s="466">
        <v>1</v>
      </c>
    </row>
    <row r="279" spans="2:5">
      <c r="B279" s="465">
        <v>1151</v>
      </c>
      <c r="C279" s="465" t="s">
        <v>726</v>
      </c>
      <c r="D279" s="465" t="s">
        <v>725</v>
      </c>
      <c r="E279" s="466">
        <v>2</v>
      </c>
    </row>
    <row r="280" spans="2:5">
      <c r="B280" s="465">
        <v>1160</v>
      </c>
      <c r="C280" s="465" t="s">
        <v>277</v>
      </c>
      <c r="D280" s="465" t="s">
        <v>725</v>
      </c>
      <c r="E280" s="466" t="s">
        <v>605</v>
      </c>
    </row>
    <row r="281" spans="2:5" ht="26">
      <c r="B281" s="465">
        <v>1201</v>
      </c>
      <c r="C281" s="465" t="s">
        <v>724</v>
      </c>
      <c r="D281" s="465" t="s">
        <v>696</v>
      </c>
      <c r="E281" s="466">
        <v>1</v>
      </c>
    </row>
    <row r="282" spans="2:5" ht="26">
      <c r="B282" s="465">
        <v>1211</v>
      </c>
      <c r="C282" s="465" t="s">
        <v>278</v>
      </c>
      <c r="D282" s="465" t="s">
        <v>696</v>
      </c>
      <c r="E282" s="466" t="s">
        <v>605</v>
      </c>
    </row>
    <row r="283" spans="2:5" ht="26">
      <c r="B283" s="465">
        <v>1216</v>
      </c>
      <c r="C283" s="465" t="s">
        <v>279</v>
      </c>
      <c r="D283" s="465" t="s">
        <v>696</v>
      </c>
      <c r="E283" s="466">
        <v>1</v>
      </c>
    </row>
    <row r="284" spans="2:5" ht="26">
      <c r="B284" s="465">
        <v>1219</v>
      </c>
      <c r="C284" s="465" t="s">
        <v>723</v>
      </c>
      <c r="D284" s="465" t="s">
        <v>696</v>
      </c>
      <c r="E284" s="466" t="s">
        <v>605</v>
      </c>
    </row>
    <row r="285" spans="2:5" ht="26">
      <c r="B285" s="465">
        <v>1221</v>
      </c>
      <c r="C285" s="465" t="s">
        <v>722</v>
      </c>
      <c r="D285" s="465" t="s">
        <v>696</v>
      </c>
      <c r="E285" s="466">
        <v>1</v>
      </c>
    </row>
    <row r="286" spans="2:5" ht="26">
      <c r="B286" s="465">
        <v>1222</v>
      </c>
      <c r="C286" s="465" t="s">
        <v>721</v>
      </c>
      <c r="D286" s="465" t="s">
        <v>696</v>
      </c>
      <c r="E286" s="466">
        <v>1</v>
      </c>
    </row>
    <row r="287" spans="2:5" ht="26">
      <c r="B287" s="465">
        <v>1223</v>
      </c>
      <c r="C287" s="465" t="s">
        <v>720</v>
      </c>
      <c r="D287" s="465" t="s">
        <v>696</v>
      </c>
      <c r="E287" s="466" t="s">
        <v>605</v>
      </c>
    </row>
    <row r="288" spans="2:5" ht="26">
      <c r="B288" s="465">
        <v>1224</v>
      </c>
      <c r="C288" s="465" t="s">
        <v>280</v>
      </c>
      <c r="D288" s="465" t="s">
        <v>696</v>
      </c>
      <c r="E288" s="466" t="s">
        <v>605</v>
      </c>
    </row>
    <row r="289" spans="2:5" ht="26">
      <c r="B289" s="465">
        <v>1227</v>
      </c>
      <c r="C289" s="465" t="s">
        <v>719</v>
      </c>
      <c r="D289" s="465" t="s">
        <v>696</v>
      </c>
      <c r="E289" s="466" t="s">
        <v>605</v>
      </c>
    </row>
    <row r="290" spans="2:5" ht="26">
      <c r="B290" s="465">
        <v>1228</v>
      </c>
      <c r="C290" s="465" t="s">
        <v>281</v>
      </c>
      <c r="D290" s="465" t="s">
        <v>696</v>
      </c>
      <c r="E290" s="466">
        <v>2</v>
      </c>
    </row>
    <row r="291" spans="2:5" ht="26">
      <c r="B291" s="465">
        <v>1231</v>
      </c>
      <c r="C291" s="465" t="s">
        <v>718</v>
      </c>
      <c r="D291" s="465" t="s">
        <v>696</v>
      </c>
      <c r="E291" s="466">
        <v>2</v>
      </c>
    </row>
    <row r="292" spans="2:5" ht="26">
      <c r="B292" s="465">
        <v>1232</v>
      </c>
      <c r="C292" s="465" t="s">
        <v>717</v>
      </c>
      <c r="D292" s="465" t="s">
        <v>696</v>
      </c>
      <c r="E292" s="466">
        <v>2</v>
      </c>
    </row>
    <row r="293" spans="2:5" ht="26">
      <c r="B293" s="465">
        <v>1233</v>
      </c>
      <c r="C293" s="465" t="s">
        <v>716</v>
      </c>
      <c r="D293" s="465" t="s">
        <v>696</v>
      </c>
      <c r="E293" s="466">
        <v>2</v>
      </c>
    </row>
    <row r="294" spans="2:5" ht="26">
      <c r="B294" s="465">
        <v>1234</v>
      </c>
      <c r="C294" s="465" t="s">
        <v>715</v>
      </c>
      <c r="D294" s="465" t="s">
        <v>696</v>
      </c>
      <c r="E294" s="466">
        <v>2</v>
      </c>
    </row>
    <row r="295" spans="2:5" ht="26">
      <c r="B295" s="465">
        <v>1235</v>
      </c>
      <c r="C295" s="465" t="s">
        <v>282</v>
      </c>
      <c r="D295" s="465" t="s">
        <v>696</v>
      </c>
      <c r="E295" s="466">
        <v>1</v>
      </c>
    </row>
    <row r="296" spans="2:5" ht="26">
      <c r="B296" s="465">
        <v>1238</v>
      </c>
      <c r="C296" s="465" t="s">
        <v>714</v>
      </c>
      <c r="D296" s="465" t="s">
        <v>696</v>
      </c>
      <c r="E296" s="466" t="s">
        <v>605</v>
      </c>
    </row>
    <row r="297" spans="2:5" ht="26">
      <c r="B297" s="465">
        <v>1241</v>
      </c>
      <c r="C297" s="465" t="s">
        <v>713</v>
      </c>
      <c r="D297" s="465" t="s">
        <v>696</v>
      </c>
      <c r="E297" s="466">
        <v>1</v>
      </c>
    </row>
    <row r="298" spans="2:5" ht="26">
      <c r="B298" s="465">
        <v>1242</v>
      </c>
      <c r="C298" s="465" t="s">
        <v>712</v>
      </c>
      <c r="D298" s="465" t="s">
        <v>696</v>
      </c>
      <c r="E298" s="466">
        <v>1</v>
      </c>
    </row>
    <row r="299" spans="2:5" ht="26">
      <c r="B299" s="465">
        <v>1243</v>
      </c>
      <c r="C299" s="465" t="s">
        <v>711</v>
      </c>
      <c r="D299" s="465" t="s">
        <v>696</v>
      </c>
      <c r="E299" s="466">
        <v>1</v>
      </c>
    </row>
    <row r="300" spans="2:5" ht="26">
      <c r="B300" s="465">
        <v>1244</v>
      </c>
      <c r="C300" s="465" t="s">
        <v>710</v>
      </c>
      <c r="D300" s="465" t="s">
        <v>696</v>
      </c>
      <c r="E300" s="466">
        <v>1</v>
      </c>
    </row>
    <row r="301" spans="2:5" ht="26">
      <c r="B301" s="465">
        <v>1245</v>
      </c>
      <c r="C301" s="465" t="s">
        <v>709</v>
      </c>
      <c r="D301" s="465" t="s">
        <v>696</v>
      </c>
      <c r="E301" s="466">
        <v>1</v>
      </c>
    </row>
    <row r="302" spans="2:5" ht="26">
      <c r="B302" s="465">
        <v>1246</v>
      </c>
      <c r="C302" s="465" t="s">
        <v>708</v>
      </c>
      <c r="D302" s="465" t="s">
        <v>696</v>
      </c>
      <c r="E302" s="466">
        <v>1</v>
      </c>
    </row>
    <row r="303" spans="2:5" ht="26">
      <c r="B303" s="465">
        <v>1247</v>
      </c>
      <c r="C303" s="465" t="s">
        <v>707</v>
      </c>
      <c r="D303" s="465" t="s">
        <v>696</v>
      </c>
      <c r="E303" s="466">
        <v>1</v>
      </c>
    </row>
    <row r="304" spans="2:5" ht="26">
      <c r="B304" s="465">
        <v>1251</v>
      </c>
      <c r="C304" s="465" t="s">
        <v>706</v>
      </c>
      <c r="D304" s="465" t="s">
        <v>696</v>
      </c>
      <c r="E304" s="466">
        <v>1</v>
      </c>
    </row>
    <row r="305" spans="2:5" ht="26">
      <c r="B305" s="465">
        <v>1252</v>
      </c>
      <c r="C305" s="465" t="s">
        <v>705</v>
      </c>
      <c r="D305" s="465" t="s">
        <v>696</v>
      </c>
      <c r="E305" s="466" t="s">
        <v>605</v>
      </c>
    </row>
    <row r="306" spans="2:5" ht="26">
      <c r="B306" s="465">
        <v>1253</v>
      </c>
      <c r="C306" s="465" t="s">
        <v>704</v>
      </c>
      <c r="D306" s="465" t="s">
        <v>696</v>
      </c>
      <c r="E306" s="466">
        <v>1</v>
      </c>
    </row>
    <row r="307" spans="2:5" ht="26">
      <c r="B307" s="465">
        <v>1256</v>
      </c>
      <c r="C307" s="465" t="s">
        <v>703</v>
      </c>
      <c r="D307" s="465" t="s">
        <v>696</v>
      </c>
      <c r="E307" s="466">
        <v>1</v>
      </c>
    </row>
    <row r="308" spans="2:5" ht="26">
      <c r="B308" s="465">
        <v>1259</v>
      </c>
      <c r="C308" s="465" t="s">
        <v>702</v>
      </c>
      <c r="D308" s="465" t="s">
        <v>696</v>
      </c>
      <c r="E308" s="466">
        <v>1</v>
      </c>
    </row>
    <row r="309" spans="2:5" ht="26">
      <c r="B309" s="465">
        <v>1260</v>
      </c>
      <c r="C309" s="465" t="s">
        <v>701</v>
      </c>
      <c r="D309" s="465" t="s">
        <v>696</v>
      </c>
      <c r="E309" s="466">
        <v>1</v>
      </c>
    </row>
    <row r="310" spans="2:5" ht="26">
      <c r="B310" s="465">
        <v>1263</v>
      </c>
      <c r="C310" s="465" t="s">
        <v>700</v>
      </c>
      <c r="D310" s="465" t="s">
        <v>696</v>
      </c>
      <c r="E310" s="466">
        <v>1</v>
      </c>
    </row>
    <row r="311" spans="2:5" ht="26">
      <c r="B311" s="465">
        <v>1264</v>
      </c>
      <c r="C311" s="465" t="s">
        <v>699</v>
      </c>
      <c r="D311" s="465" t="s">
        <v>696</v>
      </c>
      <c r="E311" s="466">
        <v>1</v>
      </c>
    </row>
    <row r="312" spans="2:5" ht="26">
      <c r="B312" s="465">
        <v>1265</v>
      </c>
      <c r="C312" s="465" t="s">
        <v>698</v>
      </c>
      <c r="D312" s="465" t="s">
        <v>696</v>
      </c>
      <c r="E312" s="466">
        <v>2</v>
      </c>
    </row>
    <row r="313" spans="2:5" ht="26">
      <c r="B313" s="465">
        <v>1266</v>
      </c>
      <c r="C313" s="465" t="s">
        <v>697</v>
      </c>
      <c r="D313" s="465" t="s">
        <v>696</v>
      </c>
      <c r="E313" s="466">
        <v>2</v>
      </c>
    </row>
    <row r="314" spans="2:5" ht="26">
      <c r="B314" s="465">
        <v>1401</v>
      </c>
      <c r="C314" s="465" t="s">
        <v>695</v>
      </c>
      <c r="D314" s="465" t="s">
        <v>673</v>
      </c>
      <c r="E314" s="466" t="s">
        <v>605</v>
      </c>
    </row>
    <row r="315" spans="2:5" ht="26">
      <c r="B315" s="465">
        <v>1411</v>
      </c>
      <c r="C315" s="465" t="s">
        <v>694</v>
      </c>
      <c r="D315" s="465" t="s">
        <v>673</v>
      </c>
      <c r="E315" s="466">
        <v>2</v>
      </c>
    </row>
    <row r="316" spans="2:5" ht="26">
      <c r="B316" s="465">
        <v>1412</v>
      </c>
      <c r="C316" s="465" t="s">
        <v>693</v>
      </c>
      <c r="D316" s="465" t="s">
        <v>673</v>
      </c>
      <c r="E316" s="466">
        <v>2</v>
      </c>
    </row>
    <row r="317" spans="2:5" ht="26">
      <c r="B317" s="465">
        <v>1413</v>
      </c>
      <c r="C317" s="465" t="s">
        <v>692</v>
      </c>
      <c r="D317" s="465" t="s">
        <v>673</v>
      </c>
      <c r="E317" s="466">
        <v>2</v>
      </c>
    </row>
    <row r="318" spans="2:5" ht="26">
      <c r="B318" s="465">
        <v>1416</v>
      </c>
      <c r="C318" s="465" t="s">
        <v>691</v>
      </c>
      <c r="D318" s="465" t="s">
        <v>673</v>
      </c>
      <c r="E318" s="466">
        <v>2</v>
      </c>
    </row>
    <row r="319" spans="2:5" ht="26">
      <c r="B319" s="465">
        <v>1417</v>
      </c>
      <c r="C319" s="465" t="s">
        <v>690</v>
      </c>
      <c r="D319" s="465" t="s">
        <v>673</v>
      </c>
      <c r="E319" s="466">
        <v>2</v>
      </c>
    </row>
    <row r="320" spans="2:5" ht="26">
      <c r="B320" s="465">
        <v>1418</v>
      </c>
      <c r="C320" s="465" t="s">
        <v>689</v>
      </c>
      <c r="D320" s="465" t="s">
        <v>673</v>
      </c>
      <c r="E320" s="466">
        <v>2</v>
      </c>
    </row>
    <row r="321" spans="2:5" ht="26">
      <c r="B321" s="465">
        <v>1419</v>
      </c>
      <c r="C321" s="465" t="s">
        <v>688</v>
      </c>
      <c r="D321" s="465" t="s">
        <v>673</v>
      </c>
      <c r="E321" s="466">
        <v>2</v>
      </c>
    </row>
    <row r="322" spans="2:5" ht="26">
      <c r="B322" s="465">
        <v>1420</v>
      </c>
      <c r="C322" s="465" t="s">
        <v>283</v>
      </c>
      <c r="D322" s="465" t="s">
        <v>673</v>
      </c>
      <c r="E322" s="466" t="s">
        <v>605</v>
      </c>
    </row>
    <row r="323" spans="2:5" ht="26">
      <c r="B323" s="465">
        <v>1421</v>
      </c>
      <c r="C323" s="465" t="s">
        <v>284</v>
      </c>
      <c r="D323" s="465" t="s">
        <v>673</v>
      </c>
      <c r="E323" s="466">
        <v>2</v>
      </c>
    </row>
    <row r="324" spans="2:5" ht="26">
      <c r="B324" s="465">
        <v>1422</v>
      </c>
      <c r="C324" s="465" t="s">
        <v>285</v>
      </c>
      <c r="D324" s="465" t="s">
        <v>673</v>
      </c>
      <c r="E324" s="466">
        <v>2</v>
      </c>
    </row>
    <row r="325" spans="2:5" ht="26">
      <c r="B325" s="465">
        <v>1424</v>
      </c>
      <c r="C325" s="465" t="s">
        <v>687</v>
      </c>
      <c r="D325" s="465" t="s">
        <v>673</v>
      </c>
      <c r="E325" s="466">
        <v>2</v>
      </c>
    </row>
    <row r="326" spans="2:5" ht="26">
      <c r="B326" s="465">
        <v>1426</v>
      </c>
      <c r="C326" s="465" t="s">
        <v>286</v>
      </c>
      <c r="D326" s="465" t="s">
        <v>673</v>
      </c>
      <c r="E326" s="466">
        <v>2</v>
      </c>
    </row>
    <row r="327" spans="2:5" ht="26">
      <c r="B327" s="465">
        <v>1428</v>
      </c>
      <c r="C327" s="465" t="s">
        <v>686</v>
      </c>
      <c r="D327" s="465" t="s">
        <v>673</v>
      </c>
      <c r="E327" s="466">
        <v>2</v>
      </c>
    </row>
    <row r="328" spans="2:5" ht="26">
      <c r="B328" s="465">
        <v>1429</v>
      </c>
      <c r="C328" s="465" t="s">
        <v>685</v>
      </c>
      <c r="D328" s="465" t="s">
        <v>673</v>
      </c>
      <c r="E328" s="466">
        <v>2</v>
      </c>
    </row>
    <row r="329" spans="2:5" ht="26">
      <c r="B329" s="465">
        <v>1430</v>
      </c>
      <c r="C329" s="465" t="s">
        <v>684</v>
      </c>
      <c r="D329" s="465" t="s">
        <v>673</v>
      </c>
      <c r="E329" s="466">
        <v>2</v>
      </c>
    </row>
    <row r="330" spans="2:5" ht="26">
      <c r="B330" s="465">
        <v>1431</v>
      </c>
      <c r="C330" s="465" t="s">
        <v>683</v>
      </c>
      <c r="D330" s="465" t="s">
        <v>673</v>
      </c>
      <c r="E330" s="466">
        <v>2</v>
      </c>
    </row>
    <row r="331" spans="2:5" ht="26">
      <c r="B331" s="465">
        <v>1432</v>
      </c>
      <c r="C331" s="465" t="s">
        <v>682</v>
      </c>
      <c r="D331" s="465" t="s">
        <v>673</v>
      </c>
      <c r="E331" s="466" t="s">
        <v>605</v>
      </c>
    </row>
    <row r="332" spans="2:5" ht="26">
      <c r="B332" s="465">
        <v>1433</v>
      </c>
      <c r="C332" s="465" t="s">
        <v>681</v>
      </c>
      <c r="D332" s="465" t="s">
        <v>673</v>
      </c>
      <c r="E332" s="466">
        <v>2</v>
      </c>
    </row>
    <row r="333" spans="2:5" ht="26">
      <c r="B333" s="465">
        <v>1438</v>
      </c>
      <c r="C333" s="465" t="s">
        <v>680</v>
      </c>
      <c r="D333" s="465" t="s">
        <v>673</v>
      </c>
      <c r="E333" s="466">
        <v>2</v>
      </c>
    </row>
    <row r="334" spans="2:5" ht="26">
      <c r="B334" s="465">
        <v>1439</v>
      </c>
      <c r="C334" s="465" t="s">
        <v>679</v>
      </c>
      <c r="D334" s="465" t="s">
        <v>673</v>
      </c>
      <c r="E334" s="466">
        <v>2</v>
      </c>
    </row>
    <row r="335" spans="2:5" ht="26">
      <c r="B335" s="465">
        <v>1441</v>
      </c>
      <c r="C335" s="465" t="s">
        <v>678</v>
      </c>
      <c r="D335" s="465" t="s">
        <v>673</v>
      </c>
      <c r="E335" s="466">
        <v>2</v>
      </c>
    </row>
    <row r="336" spans="2:5" ht="26">
      <c r="B336" s="465">
        <v>1443</v>
      </c>
      <c r="C336" s="465" t="s">
        <v>677</v>
      </c>
      <c r="D336" s="465" t="s">
        <v>673</v>
      </c>
      <c r="E336" s="466">
        <v>2</v>
      </c>
    </row>
    <row r="337" spans="2:5" ht="26">
      <c r="B337" s="465">
        <v>1444</v>
      </c>
      <c r="C337" s="465" t="s">
        <v>676</v>
      </c>
      <c r="D337" s="465" t="s">
        <v>673</v>
      </c>
      <c r="E337" s="466">
        <v>2</v>
      </c>
    </row>
    <row r="338" spans="2:5" ht="26">
      <c r="B338" s="465">
        <v>1445</v>
      </c>
      <c r="C338" s="465" t="s">
        <v>675</v>
      </c>
      <c r="D338" s="465" t="s">
        <v>673</v>
      </c>
      <c r="E338" s="466">
        <v>2</v>
      </c>
    </row>
    <row r="339" spans="2:5" ht="26">
      <c r="B339" s="465">
        <v>1449</v>
      </c>
      <c r="C339" s="465" t="s">
        <v>674</v>
      </c>
      <c r="D339" s="465" t="s">
        <v>673</v>
      </c>
      <c r="E339" s="466">
        <v>2</v>
      </c>
    </row>
    <row r="340" spans="2:5" ht="26">
      <c r="B340" s="465">
        <v>1502</v>
      </c>
      <c r="C340" s="465" t="s">
        <v>672</v>
      </c>
      <c r="D340" s="465" t="s">
        <v>638</v>
      </c>
      <c r="E340" s="466">
        <v>1</v>
      </c>
    </row>
    <row r="341" spans="2:5" ht="26">
      <c r="B341" s="465">
        <v>1505</v>
      </c>
      <c r="C341" s="465" t="s">
        <v>671</v>
      </c>
      <c r="D341" s="465" t="s">
        <v>638</v>
      </c>
      <c r="E341" s="466">
        <v>1</v>
      </c>
    </row>
    <row r="342" spans="2:5" ht="26">
      <c r="B342" s="465">
        <v>1504</v>
      </c>
      <c r="C342" s="465" t="s">
        <v>670</v>
      </c>
      <c r="D342" s="465" t="s">
        <v>638</v>
      </c>
      <c r="E342" s="466">
        <v>1</v>
      </c>
    </row>
    <row r="343" spans="2:5" ht="26">
      <c r="B343" s="465">
        <v>1511</v>
      </c>
      <c r="C343" s="465" t="s">
        <v>669</v>
      </c>
      <c r="D343" s="465" t="s">
        <v>638</v>
      </c>
      <c r="E343" s="466" t="s">
        <v>605</v>
      </c>
    </row>
    <row r="344" spans="2:5" ht="26">
      <c r="B344" s="465">
        <v>1514</v>
      </c>
      <c r="C344" s="465" t="s">
        <v>227</v>
      </c>
      <c r="D344" s="465" t="s">
        <v>638</v>
      </c>
      <c r="E344" s="466" t="s">
        <v>605</v>
      </c>
    </row>
    <row r="345" spans="2:5" ht="26">
      <c r="B345" s="465">
        <v>1515</v>
      </c>
      <c r="C345" s="465" t="s">
        <v>578</v>
      </c>
      <c r="D345" s="465" t="s">
        <v>638</v>
      </c>
      <c r="E345" s="466" t="s">
        <v>605</v>
      </c>
    </row>
    <row r="346" spans="2:5" ht="26">
      <c r="B346" s="465">
        <v>1516</v>
      </c>
      <c r="C346" s="465" t="s">
        <v>668</v>
      </c>
      <c r="D346" s="465" t="s">
        <v>638</v>
      </c>
      <c r="E346" s="466">
        <v>1</v>
      </c>
    </row>
    <row r="347" spans="2:5" ht="26">
      <c r="B347" s="465">
        <v>1517</v>
      </c>
      <c r="C347" s="465" t="s">
        <v>667</v>
      </c>
      <c r="D347" s="465" t="s">
        <v>638</v>
      </c>
      <c r="E347" s="466">
        <v>1</v>
      </c>
    </row>
    <row r="348" spans="2:5" ht="26">
      <c r="B348" s="465">
        <v>1519</v>
      </c>
      <c r="C348" s="465" t="s">
        <v>666</v>
      </c>
      <c r="D348" s="465" t="s">
        <v>638</v>
      </c>
      <c r="E348" s="466">
        <v>1</v>
      </c>
    </row>
    <row r="349" spans="2:5" ht="26">
      <c r="B349" s="465">
        <v>1520</v>
      </c>
      <c r="C349" s="465" t="s">
        <v>665</v>
      </c>
      <c r="D349" s="465" t="s">
        <v>638</v>
      </c>
      <c r="E349" s="466">
        <v>1</v>
      </c>
    </row>
    <row r="350" spans="2:5" ht="26">
      <c r="B350" s="465">
        <v>1523</v>
      </c>
      <c r="C350" s="465" t="s">
        <v>664</v>
      </c>
      <c r="D350" s="465" t="s">
        <v>638</v>
      </c>
      <c r="E350" s="466">
        <v>1</v>
      </c>
    </row>
    <row r="351" spans="2:5" ht="26">
      <c r="B351" s="465">
        <v>1524</v>
      </c>
      <c r="C351" s="465" t="s">
        <v>663</v>
      </c>
      <c r="D351" s="465" t="s">
        <v>638</v>
      </c>
      <c r="E351" s="466">
        <v>2</v>
      </c>
    </row>
    <row r="352" spans="2:5" ht="26">
      <c r="B352" s="465">
        <v>1525</v>
      </c>
      <c r="C352" s="465" t="s">
        <v>662</v>
      </c>
      <c r="D352" s="465" t="s">
        <v>638</v>
      </c>
      <c r="E352" s="466">
        <v>2</v>
      </c>
    </row>
    <row r="353" spans="2:5" ht="26">
      <c r="B353" s="465">
        <v>1526</v>
      </c>
      <c r="C353" s="465" t="s">
        <v>661</v>
      </c>
      <c r="D353" s="465" t="s">
        <v>638</v>
      </c>
      <c r="E353" s="466" t="s">
        <v>605</v>
      </c>
    </row>
    <row r="354" spans="2:5" ht="26">
      <c r="B354" s="465">
        <v>1528</v>
      </c>
      <c r="C354" s="465" t="s">
        <v>660</v>
      </c>
      <c r="D354" s="465" t="s">
        <v>638</v>
      </c>
      <c r="E354" s="466">
        <v>1</v>
      </c>
    </row>
    <row r="355" spans="2:5" ht="26">
      <c r="B355" s="465">
        <v>1529</v>
      </c>
      <c r="C355" s="465" t="s">
        <v>659</v>
      </c>
      <c r="D355" s="465" t="s">
        <v>638</v>
      </c>
      <c r="E355" s="466">
        <v>1</v>
      </c>
    </row>
    <row r="356" spans="2:5" ht="26">
      <c r="B356" s="465">
        <v>1531</v>
      </c>
      <c r="C356" s="465" t="s">
        <v>658</v>
      </c>
      <c r="D356" s="465" t="s">
        <v>638</v>
      </c>
      <c r="E356" s="466">
        <v>1</v>
      </c>
    </row>
    <row r="357" spans="2:5" ht="26">
      <c r="B357" s="465">
        <v>1532</v>
      </c>
      <c r="C357" s="465" t="s">
        <v>657</v>
      </c>
      <c r="D357" s="465" t="s">
        <v>638</v>
      </c>
      <c r="E357" s="466">
        <v>1</v>
      </c>
    </row>
    <row r="358" spans="2:5" ht="26">
      <c r="B358" s="465">
        <v>1534</v>
      </c>
      <c r="C358" s="465" t="s">
        <v>656</v>
      </c>
      <c r="D358" s="465" t="s">
        <v>638</v>
      </c>
      <c r="E358" s="466" t="s">
        <v>605</v>
      </c>
    </row>
    <row r="359" spans="2:5" ht="26">
      <c r="B359" s="465">
        <v>1535</v>
      </c>
      <c r="C359" s="465" t="s">
        <v>655</v>
      </c>
      <c r="D359" s="465" t="s">
        <v>638</v>
      </c>
      <c r="E359" s="466">
        <v>1</v>
      </c>
    </row>
    <row r="360" spans="2:5" ht="26">
      <c r="B360" s="465">
        <v>1539</v>
      </c>
      <c r="C360" s="465" t="s">
        <v>654</v>
      </c>
      <c r="D360" s="465" t="s">
        <v>638</v>
      </c>
      <c r="E360" s="466">
        <v>2</v>
      </c>
    </row>
    <row r="361" spans="2:5" ht="26">
      <c r="B361" s="465">
        <v>1543</v>
      </c>
      <c r="C361" s="465" t="s">
        <v>653</v>
      </c>
      <c r="D361" s="465" t="s">
        <v>638</v>
      </c>
      <c r="E361" s="466" t="s">
        <v>605</v>
      </c>
    </row>
    <row r="362" spans="2:5" ht="26">
      <c r="B362" s="465">
        <v>1545</v>
      </c>
      <c r="C362" s="465" t="s">
        <v>652</v>
      </c>
      <c r="D362" s="465" t="s">
        <v>638</v>
      </c>
      <c r="E362" s="466" t="s">
        <v>605</v>
      </c>
    </row>
    <row r="363" spans="2:5" ht="26">
      <c r="B363" s="465">
        <v>1546</v>
      </c>
      <c r="C363" s="465" t="s">
        <v>651</v>
      </c>
      <c r="D363" s="465" t="s">
        <v>638</v>
      </c>
      <c r="E363" s="466">
        <v>2</v>
      </c>
    </row>
    <row r="364" spans="2:5" ht="26">
      <c r="B364" s="465">
        <v>1547</v>
      </c>
      <c r="C364" s="465" t="s">
        <v>650</v>
      </c>
      <c r="D364" s="465" t="s">
        <v>638</v>
      </c>
      <c r="E364" s="466" t="s">
        <v>605</v>
      </c>
    </row>
    <row r="365" spans="2:5" ht="26">
      <c r="B365" s="465">
        <v>1548</v>
      </c>
      <c r="C365" s="465" t="s">
        <v>649</v>
      </c>
      <c r="D365" s="465" t="s">
        <v>638</v>
      </c>
      <c r="E365" s="466">
        <v>1</v>
      </c>
    </row>
    <row r="366" spans="2:5" ht="26">
      <c r="B366" s="465">
        <v>1551</v>
      </c>
      <c r="C366" s="465" t="s">
        <v>648</v>
      </c>
      <c r="D366" s="465" t="s">
        <v>638</v>
      </c>
      <c r="E366" s="466" t="s">
        <v>605</v>
      </c>
    </row>
    <row r="367" spans="2:5" ht="26">
      <c r="B367" s="465">
        <v>1554</v>
      </c>
      <c r="C367" s="465" t="s">
        <v>647</v>
      </c>
      <c r="D367" s="465" t="s">
        <v>638</v>
      </c>
      <c r="E367" s="466">
        <v>1</v>
      </c>
    </row>
    <row r="368" spans="2:5" ht="26">
      <c r="B368" s="465">
        <v>1557</v>
      </c>
      <c r="C368" s="465" t="s">
        <v>646</v>
      </c>
      <c r="D368" s="465" t="s">
        <v>638</v>
      </c>
      <c r="E368" s="466" t="s">
        <v>605</v>
      </c>
    </row>
    <row r="369" spans="2:5" ht="26">
      <c r="B369" s="465">
        <v>1560</v>
      </c>
      <c r="C369" s="465" t="s">
        <v>645</v>
      </c>
      <c r="D369" s="465" t="s">
        <v>638</v>
      </c>
      <c r="E369" s="466">
        <v>2</v>
      </c>
    </row>
    <row r="370" spans="2:5" ht="26">
      <c r="B370" s="465">
        <v>1563</v>
      </c>
      <c r="C370" s="465" t="s">
        <v>644</v>
      </c>
      <c r="D370" s="465" t="s">
        <v>638</v>
      </c>
      <c r="E370" s="466">
        <v>2</v>
      </c>
    </row>
    <row r="371" spans="2:5" ht="26">
      <c r="B371" s="465">
        <v>1566</v>
      </c>
      <c r="C371" s="465" t="s">
        <v>643</v>
      </c>
      <c r="D371" s="465" t="s">
        <v>638</v>
      </c>
      <c r="E371" s="466">
        <v>3</v>
      </c>
    </row>
    <row r="372" spans="2:5" ht="26">
      <c r="B372" s="465">
        <v>1567</v>
      </c>
      <c r="C372" s="465" t="s">
        <v>642</v>
      </c>
      <c r="D372" s="465" t="s">
        <v>638</v>
      </c>
      <c r="E372" s="466">
        <v>3</v>
      </c>
    </row>
    <row r="373" spans="2:5" ht="26">
      <c r="B373" s="465">
        <v>1571</v>
      </c>
      <c r="C373" s="465" t="s">
        <v>641</v>
      </c>
      <c r="D373" s="465" t="s">
        <v>638</v>
      </c>
      <c r="E373" s="466">
        <v>3</v>
      </c>
    </row>
    <row r="374" spans="2:5" ht="26">
      <c r="B374" s="465">
        <v>1573</v>
      </c>
      <c r="C374" s="465" t="s">
        <v>640</v>
      </c>
      <c r="D374" s="465" t="s">
        <v>638</v>
      </c>
      <c r="E374" s="466">
        <v>4</v>
      </c>
    </row>
    <row r="375" spans="2:5" ht="26">
      <c r="B375" s="465">
        <v>1576</v>
      </c>
      <c r="C375" s="465" t="s">
        <v>639</v>
      </c>
      <c r="D375" s="465" t="s">
        <v>638</v>
      </c>
      <c r="E375" s="466">
        <v>3</v>
      </c>
    </row>
    <row r="376" spans="2:5" ht="26">
      <c r="B376" s="465">
        <v>1601</v>
      </c>
      <c r="C376" s="465" t="s">
        <v>637</v>
      </c>
      <c r="D376" s="465" t="s">
        <v>612</v>
      </c>
      <c r="E376" s="466">
        <v>1</v>
      </c>
    </row>
    <row r="377" spans="2:5" ht="26">
      <c r="B377" s="465">
        <v>1612</v>
      </c>
      <c r="C377" s="465" t="s">
        <v>636</v>
      </c>
      <c r="D377" s="465" t="s">
        <v>612</v>
      </c>
      <c r="E377" s="466">
        <v>3</v>
      </c>
    </row>
    <row r="378" spans="2:5" ht="26">
      <c r="B378" s="465">
        <v>1613</v>
      </c>
      <c r="C378" s="465" t="s">
        <v>635</v>
      </c>
      <c r="D378" s="465" t="s">
        <v>612</v>
      </c>
      <c r="E378" s="466">
        <v>3</v>
      </c>
    </row>
    <row r="379" spans="2:5" ht="26">
      <c r="B379" s="465">
        <v>1617</v>
      </c>
      <c r="C379" s="465" t="s">
        <v>634</v>
      </c>
      <c r="D379" s="465" t="s">
        <v>612</v>
      </c>
      <c r="E379" s="466">
        <v>4</v>
      </c>
    </row>
    <row r="380" spans="2:5" ht="26">
      <c r="B380" s="465">
        <v>1620</v>
      </c>
      <c r="C380" s="465" t="s">
        <v>633</v>
      </c>
      <c r="D380" s="465" t="s">
        <v>612</v>
      </c>
      <c r="E380" s="466">
        <v>4</v>
      </c>
    </row>
    <row r="381" spans="2:5" ht="26">
      <c r="B381" s="465">
        <v>1621</v>
      </c>
      <c r="C381" s="465" t="s">
        <v>632</v>
      </c>
      <c r="D381" s="465" t="s">
        <v>612</v>
      </c>
      <c r="E381" s="466" t="s">
        <v>605</v>
      </c>
    </row>
    <row r="382" spans="2:5" ht="26">
      <c r="B382" s="465">
        <v>1622</v>
      </c>
      <c r="C382" s="465" t="s">
        <v>631</v>
      </c>
      <c r="D382" s="465" t="s">
        <v>612</v>
      </c>
      <c r="E382" s="466" t="s">
        <v>605</v>
      </c>
    </row>
    <row r="383" spans="2:5" ht="26">
      <c r="B383" s="465">
        <v>1624</v>
      </c>
      <c r="C383" s="465" t="s">
        <v>630</v>
      </c>
      <c r="D383" s="465" t="s">
        <v>612</v>
      </c>
      <c r="E383" s="466" t="s">
        <v>605</v>
      </c>
    </row>
    <row r="384" spans="2:5" ht="26">
      <c r="B384" s="465">
        <v>1627</v>
      </c>
      <c r="C384" s="465" t="s">
        <v>629</v>
      </c>
      <c r="D384" s="465" t="s">
        <v>612</v>
      </c>
      <c r="E384" s="466" t="s">
        <v>605</v>
      </c>
    </row>
    <row r="385" spans="2:5" ht="26">
      <c r="B385" s="465">
        <v>1630</v>
      </c>
      <c r="C385" s="465" t="s">
        <v>628</v>
      </c>
      <c r="D385" s="465" t="s">
        <v>612</v>
      </c>
      <c r="E385" s="466">
        <v>4</v>
      </c>
    </row>
    <row r="386" spans="2:5" ht="26">
      <c r="B386" s="465">
        <v>1632</v>
      </c>
      <c r="C386" s="465" t="s">
        <v>627</v>
      </c>
      <c r="D386" s="465" t="s">
        <v>612</v>
      </c>
      <c r="E386" s="466">
        <v>4</v>
      </c>
    </row>
    <row r="387" spans="2:5" ht="26">
      <c r="B387" s="465">
        <v>1633</v>
      </c>
      <c r="C387" s="465" t="s">
        <v>626</v>
      </c>
      <c r="D387" s="465" t="s">
        <v>612</v>
      </c>
      <c r="E387" s="466">
        <v>4</v>
      </c>
    </row>
    <row r="388" spans="2:5" ht="26">
      <c r="B388" s="465">
        <v>1634</v>
      </c>
      <c r="C388" s="465" t="s">
        <v>625</v>
      </c>
      <c r="D388" s="465" t="s">
        <v>612</v>
      </c>
      <c r="E388" s="466">
        <v>3</v>
      </c>
    </row>
    <row r="389" spans="2:5" ht="26">
      <c r="B389" s="465">
        <v>1635</v>
      </c>
      <c r="C389" s="465" t="s">
        <v>624</v>
      </c>
      <c r="D389" s="465" t="s">
        <v>612</v>
      </c>
      <c r="E389" s="466">
        <v>3</v>
      </c>
    </row>
    <row r="390" spans="2:5" ht="26">
      <c r="B390" s="465">
        <v>1636</v>
      </c>
      <c r="C390" s="465" t="s">
        <v>623</v>
      </c>
      <c r="D390" s="465" t="s">
        <v>612</v>
      </c>
      <c r="E390" s="466" t="s">
        <v>605</v>
      </c>
    </row>
    <row r="391" spans="2:5" ht="26">
      <c r="B391" s="465">
        <v>1638</v>
      </c>
      <c r="C391" s="465" t="s">
        <v>622</v>
      </c>
      <c r="D391" s="465" t="s">
        <v>612</v>
      </c>
      <c r="E391" s="466">
        <v>1</v>
      </c>
    </row>
    <row r="392" spans="2:5" ht="26">
      <c r="B392" s="465">
        <v>1640</v>
      </c>
      <c r="C392" s="465" t="s">
        <v>621</v>
      </c>
      <c r="D392" s="465" t="s">
        <v>612</v>
      </c>
      <c r="E392" s="466">
        <v>3</v>
      </c>
    </row>
    <row r="393" spans="2:5" ht="26">
      <c r="B393" s="465">
        <v>1644</v>
      </c>
      <c r="C393" s="465" t="s">
        <v>620</v>
      </c>
      <c r="D393" s="465" t="s">
        <v>612</v>
      </c>
      <c r="E393" s="466">
        <v>3</v>
      </c>
    </row>
    <row r="394" spans="2:5" ht="26">
      <c r="B394" s="465">
        <v>1648</v>
      </c>
      <c r="C394" s="465" t="s">
        <v>619</v>
      </c>
      <c r="D394" s="465" t="s">
        <v>612</v>
      </c>
      <c r="E394" s="466" t="s">
        <v>605</v>
      </c>
    </row>
    <row r="395" spans="2:5" ht="26">
      <c r="B395" s="465">
        <v>1653</v>
      </c>
      <c r="C395" s="465" t="s">
        <v>618</v>
      </c>
      <c r="D395" s="465" t="s">
        <v>612</v>
      </c>
      <c r="E395" s="466">
        <v>1</v>
      </c>
    </row>
    <row r="396" spans="2:5" ht="26">
      <c r="B396" s="465">
        <v>1657</v>
      </c>
      <c r="C396" s="465" t="s">
        <v>617</v>
      </c>
      <c r="D396" s="465" t="s">
        <v>612</v>
      </c>
      <c r="E396" s="466">
        <v>1</v>
      </c>
    </row>
    <row r="397" spans="2:5" ht="26">
      <c r="B397" s="465">
        <v>1662</v>
      </c>
      <c r="C397" s="465" t="s">
        <v>616</v>
      </c>
      <c r="D397" s="465" t="s">
        <v>612</v>
      </c>
      <c r="E397" s="466">
        <v>1</v>
      </c>
    </row>
    <row r="398" spans="2:5" ht="26">
      <c r="B398" s="465">
        <v>1663</v>
      </c>
      <c r="C398" s="465" t="s">
        <v>615</v>
      </c>
      <c r="D398" s="465" t="s">
        <v>612</v>
      </c>
      <c r="E398" s="466">
        <v>1</v>
      </c>
    </row>
    <row r="399" spans="2:5" ht="26">
      <c r="B399" s="465">
        <v>1664</v>
      </c>
      <c r="C399" s="465" t="s">
        <v>614</v>
      </c>
      <c r="D399" s="465" t="s">
        <v>612</v>
      </c>
      <c r="E399" s="466" t="s">
        <v>605</v>
      </c>
    </row>
    <row r="400" spans="2:5" ht="26">
      <c r="B400" s="465">
        <v>1665</v>
      </c>
      <c r="C400" s="465" t="s">
        <v>613</v>
      </c>
      <c r="D400" s="465" t="s">
        <v>612</v>
      </c>
      <c r="E400" s="466">
        <v>3</v>
      </c>
    </row>
    <row r="401" spans="2:5" ht="26">
      <c r="B401" s="465">
        <v>1702</v>
      </c>
      <c r="C401" s="465" t="s">
        <v>611</v>
      </c>
      <c r="D401" s="465" t="s">
        <v>586</v>
      </c>
      <c r="E401" s="466">
        <v>1</v>
      </c>
    </row>
    <row r="402" spans="2:5" ht="26">
      <c r="B402" s="465">
        <v>1703</v>
      </c>
      <c r="C402" s="465" t="s">
        <v>610</v>
      </c>
      <c r="D402" s="465" t="s">
        <v>586</v>
      </c>
      <c r="E402" s="466">
        <v>4</v>
      </c>
    </row>
    <row r="403" spans="2:5" ht="26">
      <c r="B403" s="465">
        <v>1711</v>
      </c>
      <c r="C403" s="465" t="s">
        <v>609</v>
      </c>
      <c r="D403" s="465" t="s">
        <v>586</v>
      </c>
      <c r="E403" s="466">
        <v>2</v>
      </c>
    </row>
    <row r="404" spans="2:5" ht="26">
      <c r="B404" s="465">
        <v>1714</v>
      </c>
      <c r="C404" s="465" t="s">
        <v>608</v>
      </c>
      <c r="D404" s="465" t="s">
        <v>586</v>
      </c>
      <c r="E404" s="466">
        <v>1</v>
      </c>
    </row>
    <row r="405" spans="2:5" ht="26">
      <c r="B405" s="465">
        <v>1717</v>
      </c>
      <c r="C405" s="465" t="s">
        <v>607</v>
      </c>
      <c r="D405" s="465" t="s">
        <v>586</v>
      </c>
      <c r="E405" s="466" t="s">
        <v>605</v>
      </c>
    </row>
    <row r="406" spans="2:5" ht="26">
      <c r="B406" s="465">
        <v>1718</v>
      </c>
      <c r="C406" s="465" t="s">
        <v>606</v>
      </c>
      <c r="D406" s="465" t="s">
        <v>586</v>
      </c>
      <c r="E406" s="466" t="s">
        <v>605</v>
      </c>
    </row>
    <row r="407" spans="2:5" ht="26">
      <c r="B407" s="465">
        <v>1719</v>
      </c>
      <c r="C407" s="465" t="s">
        <v>604</v>
      </c>
      <c r="D407" s="465" t="s">
        <v>586</v>
      </c>
      <c r="E407" s="466">
        <v>1</v>
      </c>
    </row>
    <row r="408" spans="2:5" ht="26">
      <c r="B408" s="465">
        <v>1721</v>
      </c>
      <c r="C408" s="465" t="s">
        <v>603</v>
      </c>
      <c r="D408" s="465" t="s">
        <v>586</v>
      </c>
      <c r="E408" s="466">
        <v>1</v>
      </c>
    </row>
    <row r="409" spans="2:5" ht="26">
      <c r="B409" s="465">
        <v>1724</v>
      </c>
      <c r="C409" s="465" t="s">
        <v>602</v>
      </c>
      <c r="D409" s="465" t="s">
        <v>586</v>
      </c>
      <c r="E409" s="466">
        <v>2</v>
      </c>
    </row>
    <row r="410" spans="2:5" ht="26">
      <c r="B410" s="465">
        <v>1725</v>
      </c>
      <c r="C410" s="465" t="s">
        <v>601</v>
      </c>
      <c r="D410" s="465" t="s">
        <v>586</v>
      </c>
      <c r="E410" s="466">
        <v>4</v>
      </c>
    </row>
    <row r="411" spans="2:5" ht="65">
      <c r="B411" s="465">
        <v>1756</v>
      </c>
      <c r="C411" s="465" t="s">
        <v>600</v>
      </c>
      <c r="D411" s="465" t="s">
        <v>586</v>
      </c>
      <c r="E411" s="466">
        <v>1</v>
      </c>
    </row>
    <row r="412" spans="2:5" ht="39">
      <c r="B412" s="465">
        <v>1756</v>
      </c>
      <c r="C412" s="465" t="s">
        <v>599</v>
      </c>
      <c r="D412" s="465" t="s">
        <v>586</v>
      </c>
      <c r="E412" s="466">
        <v>2</v>
      </c>
    </row>
    <row r="413" spans="2:5" ht="26">
      <c r="B413" s="465">
        <v>1736</v>
      </c>
      <c r="C413" s="465" t="s">
        <v>598</v>
      </c>
      <c r="D413" s="465" t="s">
        <v>586</v>
      </c>
      <c r="E413" s="466">
        <v>3</v>
      </c>
    </row>
    <row r="414" spans="2:5" ht="26">
      <c r="B414" s="465">
        <v>1738</v>
      </c>
      <c r="C414" s="465" t="s">
        <v>597</v>
      </c>
      <c r="D414" s="465" t="s">
        <v>586</v>
      </c>
      <c r="E414" s="466">
        <v>4</v>
      </c>
    </row>
    <row r="415" spans="2:5" ht="26">
      <c r="B415" s="465">
        <v>1739</v>
      </c>
      <c r="C415" s="465" t="s">
        <v>596</v>
      </c>
      <c r="D415" s="465" t="s">
        <v>586</v>
      </c>
      <c r="E415" s="466">
        <v>4</v>
      </c>
    </row>
    <row r="416" spans="2:5" ht="26">
      <c r="B416" s="465">
        <v>1740</v>
      </c>
      <c r="C416" s="465" t="s">
        <v>595</v>
      </c>
      <c r="D416" s="465" t="s">
        <v>586</v>
      </c>
      <c r="E416" s="466">
        <v>4</v>
      </c>
    </row>
    <row r="417" spans="2:5" ht="26">
      <c r="B417" s="465">
        <v>1742</v>
      </c>
      <c r="C417" s="465" t="s">
        <v>594</v>
      </c>
      <c r="D417" s="465" t="s">
        <v>586</v>
      </c>
      <c r="E417" s="466">
        <v>4</v>
      </c>
    </row>
    <row r="418" spans="2:5" ht="26">
      <c r="B418" s="465">
        <v>1743</v>
      </c>
      <c r="C418" s="465" t="s">
        <v>593</v>
      </c>
      <c r="D418" s="465" t="s">
        <v>586</v>
      </c>
      <c r="E418" s="466">
        <v>4</v>
      </c>
    </row>
    <row r="419" spans="2:5" ht="26">
      <c r="B419" s="465">
        <v>1744</v>
      </c>
      <c r="C419" s="465" t="s">
        <v>592</v>
      </c>
      <c r="D419" s="465" t="s">
        <v>586</v>
      </c>
      <c r="E419" s="466">
        <v>4</v>
      </c>
    </row>
    <row r="420" spans="2:5" ht="26">
      <c r="B420" s="465">
        <v>1748</v>
      </c>
      <c r="C420" s="465" t="s">
        <v>591</v>
      </c>
      <c r="D420" s="465" t="s">
        <v>586</v>
      </c>
      <c r="E420" s="466">
        <v>4</v>
      </c>
    </row>
    <row r="421" spans="2:5" ht="26">
      <c r="B421" s="465">
        <v>1749</v>
      </c>
      <c r="C421" s="465" t="s">
        <v>590</v>
      </c>
      <c r="D421" s="465" t="s">
        <v>586</v>
      </c>
      <c r="E421" s="466">
        <v>4</v>
      </c>
    </row>
    <row r="422" spans="2:5" ht="26">
      <c r="B422" s="465">
        <v>1750</v>
      </c>
      <c r="C422" s="465" t="s">
        <v>589</v>
      </c>
      <c r="D422" s="465" t="s">
        <v>586</v>
      </c>
      <c r="E422" s="466">
        <v>4</v>
      </c>
    </row>
    <row r="423" spans="2:5" ht="26">
      <c r="B423" s="465">
        <v>1751</v>
      </c>
      <c r="C423" s="465" t="s">
        <v>588</v>
      </c>
      <c r="D423" s="465" t="s">
        <v>586</v>
      </c>
      <c r="E423" s="466">
        <v>4</v>
      </c>
    </row>
    <row r="424" spans="2:5" ht="26">
      <c r="B424" s="465">
        <v>1755</v>
      </c>
      <c r="C424" s="465" t="s">
        <v>587</v>
      </c>
      <c r="D424" s="465" t="s">
        <v>586</v>
      </c>
      <c r="E424" s="466">
        <v>4</v>
      </c>
    </row>
    <row r="425" spans="2:5">
      <c r="B425" s="465">
        <v>1804</v>
      </c>
      <c r="C425" s="465" t="s">
        <v>585</v>
      </c>
      <c r="D425" s="465" t="s">
        <v>541</v>
      </c>
      <c r="E425" s="466" t="s">
        <v>538</v>
      </c>
    </row>
    <row r="426" spans="2:5">
      <c r="B426" s="465">
        <v>1805</v>
      </c>
      <c r="C426" s="465" t="s">
        <v>584</v>
      </c>
      <c r="D426" s="465" t="s">
        <v>541</v>
      </c>
      <c r="E426" s="466">
        <v>4</v>
      </c>
    </row>
    <row r="427" spans="2:5">
      <c r="B427" s="465">
        <v>1811</v>
      </c>
      <c r="C427" s="465" t="s">
        <v>583</v>
      </c>
      <c r="D427" s="465" t="s">
        <v>541</v>
      </c>
      <c r="E427" s="466">
        <v>4</v>
      </c>
    </row>
    <row r="428" spans="2:5">
      <c r="B428" s="465">
        <v>1812</v>
      </c>
      <c r="C428" s="465" t="s">
        <v>582</v>
      </c>
      <c r="D428" s="465" t="s">
        <v>541</v>
      </c>
      <c r="E428" s="466">
        <v>4</v>
      </c>
    </row>
    <row r="429" spans="2:5">
      <c r="B429" s="465">
        <v>1813</v>
      </c>
      <c r="C429" s="465" t="s">
        <v>581</v>
      </c>
      <c r="D429" s="465" t="s">
        <v>541</v>
      </c>
      <c r="E429" s="466">
        <v>4</v>
      </c>
    </row>
    <row r="430" spans="2:5">
      <c r="B430" s="465">
        <v>1815</v>
      </c>
      <c r="C430" s="465" t="s">
        <v>580</v>
      </c>
      <c r="D430" s="465" t="s">
        <v>541</v>
      </c>
      <c r="E430" s="466">
        <v>4</v>
      </c>
    </row>
    <row r="431" spans="2:5">
      <c r="B431" s="465">
        <v>1816</v>
      </c>
      <c r="C431" s="465" t="s">
        <v>579</v>
      </c>
      <c r="D431" s="465" t="s">
        <v>541</v>
      </c>
      <c r="E431" s="466">
        <v>4</v>
      </c>
    </row>
    <row r="432" spans="2:5">
      <c r="B432" s="465">
        <v>1818</v>
      </c>
      <c r="C432" s="465" t="s">
        <v>578</v>
      </c>
      <c r="D432" s="465" t="s">
        <v>541</v>
      </c>
      <c r="E432" s="466">
        <v>4</v>
      </c>
    </row>
    <row r="433" spans="2:5">
      <c r="B433" s="465">
        <v>1820</v>
      </c>
      <c r="C433" s="465" t="s">
        <v>577</v>
      </c>
      <c r="D433" s="465" t="s">
        <v>541</v>
      </c>
      <c r="E433" s="466">
        <v>4</v>
      </c>
    </row>
    <row r="434" spans="2:5">
      <c r="B434" s="465">
        <v>1822</v>
      </c>
      <c r="C434" s="465" t="s">
        <v>576</v>
      </c>
      <c r="D434" s="465" t="s">
        <v>541</v>
      </c>
      <c r="E434" s="466">
        <v>4</v>
      </c>
    </row>
    <row r="435" spans="2:5">
      <c r="B435" s="465">
        <v>1824</v>
      </c>
      <c r="C435" s="465" t="s">
        <v>575</v>
      </c>
      <c r="D435" s="465" t="s">
        <v>541</v>
      </c>
      <c r="E435" s="466">
        <v>4</v>
      </c>
    </row>
    <row r="436" spans="2:5">
      <c r="B436" s="465">
        <v>1825</v>
      </c>
      <c r="C436" s="465" t="s">
        <v>574</v>
      </c>
      <c r="D436" s="465" t="s">
        <v>541</v>
      </c>
      <c r="E436" s="466">
        <v>4</v>
      </c>
    </row>
    <row r="437" spans="2:5">
      <c r="B437" s="465">
        <v>1826</v>
      </c>
      <c r="C437" s="465" t="s">
        <v>573</v>
      </c>
      <c r="D437" s="465" t="s">
        <v>541</v>
      </c>
      <c r="E437" s="466">
        <v>4</v>
      </c>
    </row>
    <row r="438" spans="2:5">
      <c r="B438" s="465">
        <v>1827</v>
      </c>
      <c r="C438" s="465" t="s">
        <v>572</v>
      </c>
      <c r="D438" s="465" t="s">
        <v>541</v>
      </c>
      <c r="E438" s="466">
        <v>4</v>
      </c>
    </row>
    <row r="439" spans="2:5">
      <c r="B439" s="465">
        <v>1828</v>
      </c>
      <c r="C439" s="465" t="s">
        <v>571</v>
      </c>
      <c r="D439" s="465" t="s">
        <v>541</v>
      </c>
      <c r="E439" s="466">
        <v>4</v>
      </c>
    </row>
    <row r="440" spans="2:5">
      <c r="B440" s="465">
        <v>1832</v>
      </c>
      <c r="C440" s="465" t="s">
        <v>570</v>
      </c>
      <c r="D440" s="465" t="s">
        <v>541</v>
      </c>
      <c r="E440" s="466">
        <v>4</v>
      </c>
    </row>
    <row r="441" spans="2:5">
      <c r="B441" s="465">
        <v>1833</v>
      </c>
      <c r="C441" s="465" t="s">
        <v>569</v>
      </c>
      <c r="D441" s="465" t="s">
        <v>541</v>
      </c>
      <c r="E441" s="466">
        <v>4</v>
      </c>
    </row>
    <row r="442" spans="2:5">
      <c r="B442" s="465">
        <v>1834</v>
      </c>
      <c r="C442" s="465" t="s">
        <v>568</v>
      </c>
      <c r="D442" s="465" t="s">
        <v>541</v>
      </c>
      <c r="E442" s="466">
        <v>4</v>
      </c>
    </row>
    <row r="443" spans="2:5">
      <c r="B443" s="465">
        <v>1835</v>
      </c>
      <c r="C443" s="465" t="s">
        <v>567</v>
      </c>
      <c r="D443" s="465" t="s">
        <v>541</v>
      </c>
      <c r="E443" s="466">
        <v>4</v>
      </c>
    </row>
    <row r="444" spans="2:5">
      <c r="B444" s="465">
        <v>1836</v>
      </c>
      <c r="C444" s="465" t="s">
        <v>566</v>
      </c>
      <c r="D444" s="465" t="s">
        <v>541</v>
      </c>
      <c r="E444" s="466">
        <v>4</v>
      </c>
    </row>
    <row r="445" spans="2:5">
      <c r="B445" s="465">
        <v>1837</v>
      </c>
      <c r="C445" s="465" t="s">
        <v>565</v>
      </c>
      <c r="D445" s="465" t="s">
        <v>541</v>
      </c>
      <c r="E445" s="466">
        <v>4</v>
      </c>
    </row>
    <row r="446" spans="2:5">
      <c r="B446" s="465">
        <v>1838</v>
      </c>
      <c r="C446" s="465" t="s">
        <v>564</v>
      </c>
      <c r="D446" s="465" t="s">
        <v>541</v>
      </c>
      <c r="E446" s="466">
        <v>4</v>
      </c>
    </row>
    <row r="447" spans="2:5">
      <c r="B447" s="465">
        <v>1839</v>
      </c>
      <c r="C447" s="465" t="s">
        <v>563</v>
      </c>
      <c r="D447" s="465" t="s">
        <v>541</v>
      </c>
      <c r="E447" s="466">
        <v>4</v>
      </c>
    </row>
    <row r="448" spans="2:5">
      <c r="B448" s="465">
        <v>1840</v>
      </c>
      <c r="C448" s="465" t="s">
        <v>562</v>
      </c>
      <c r="D448" s="465" t="s">
        <v>541</v>
      </c>
      <c r="E448" s="466">
        <v>4</v>
      </c>
    </row>
    <row r="449" spans="2:5">
      <c r="B449" s="465">
        <v>1841</v>
      </c>
      <c r="C449" s="465" t="s">
        <v>561</v>
      </c>
      <c r="D449" s="465" t="s">
        <v>541</v>
      </c>
      <c r="E449" s="466">
        <v>4</v>
      </c>
    </row>
    <row r="450" spans="2:5">
      <c r="B450" s="465">
        <v>1845</v>
      </c>
      <c r="C450" s="465" t="s">
        <v>560</v>
      </c>
      <c r="D450" s="465" t="s">
        <v>541</v>
      </c>
      <c r="E450" s="466">
        <v>4</v>
      </c>
    </row>
    <row r="451" spans="2:5">
      <c r="B451" s="465">
        <v>1848</v>
      </c>
      <c r="C451" s="465" t="s">
        <v>559</v>
      </c>
      <c r="D451" s="465" t="s">
        <v>541</v>
      </c>
      <c r="E451" s="466">
        <v>4</v>
      </c>
    </row>
    <row r="452" spans="2:5">
      <c r="B452" s="465">
        <v>1849</v>
      </c>
      <c r="C452" s="465" t="s">
        <v>558</v>
      </c>
      <c r="D452" s="465" t="s">
        <v>541</v>
      </c>
      <c r="E452" s="466">
        <v>4</v>
      </c>
    </row>
    <row r="453" spans="2:5">
      <c r="B453" s="465">
        <v>1850</v>
      </c>
      <c r="C453" s="465" t="s">
        <v>557</v>
      </c>
      <c r="D453" s="465" t="s">
        <v>541</v>
      </c>
      <c r="E453" s="466">
        <v>4</v>
      </c>
    </row>
    <row r="454" spans="2:5">
      <c r="B454" s="465">
        <v>1851</v>
      </c>
      <c r="C454" s="465" t="s">
        <v>556</v>
      </c>
      <c r="D454" s="465" t="s">
        <v>541</v>
      </c>
      <c r="E454" s="466">
        <v>4</v>
      </c>
    </row>
    <row r="455" spans="2:5">
      <c r="B455" s="465">
        <v>1852</v>
      </c>
      <c r="C455" s="465" t="s">
        <v>555</v>
      </c>
      <c r="D455" s="465" t="s">
        <v>541</v>
      </c>
      <c r="E455" s="466">
        <v>4</v>
      </c>
    </row>
    <row r="456" spans="2:5">
      <c r="B456" s="465">
        <v>1853</v>
      </c>
      <c r="C456" s="465" t="s">
        <v>554</v>
      </c>
      <c r="D456" s="465" t="s">
        <v>541</v>
      </c>
      <c r="E456" s="466">
        <v>4</v>
      </c>
    </row>
    <row r="457" spans="2:5">
      <c r="B457" s="465">
        <v>1854</v>
      </c>
      <c r="C457" s="465" t="s">
        <v>553</v>
      </c>
      <c r="D457" s="465" t="s">
        <v>541</v>
      </c>
      <c r="E457" s="466">
        <v>4</v>
      </c>
    </row>
    <row r="458" spans="2:5">
      <c r="B458" s="465">
        <v>1856</v>
      </c>
      <c r="C458" s="465" t="s">
        <v>552</v>
      </c>
      <c r="D458" s="465" t="s">
        <v>541</v>
      </c>
      <c r="E458" s="466">
        <v>4</v>
      </c>
    </row>
    <row r="459" spans="2:5">
      <c r="B459" s="465">
        <v>1857</v>
      </c>
      <c r="C459" s="465" t="s">
        <v>551</v>
      </c>
      <c r="D459" s="465" t="s">
        <v>541</v>
      </c>
      <c r="E459" s="466">
        <v>4</v>
      </c>
    </row>
    <row r="460" spans="2:5">
      <c r="B460" s="465">
        <v>1859</v>
      </c>
      <c r="C460" s="465" t="s">
        <v>550</v>
      </c>
      <c r="D460" s="465" t="s">
        <v>541</v>
      </c>
      <c r="E460" s="466">
        <v>4</v>
      </c>
    </row>
    <row r="461" spans="2:5">
      <c r="B461" s="465">
        <v>1860</v>
      </c>
      <c r="C461" s="465" t="s">
        <v>549</v>
      </c>
      <c r="D461" s="465" t="s">
        <v>541</v>
      </c>
      <c r="E461" s="466">
        <v>4</v>
      </c>
    </row>
    <row r="462" spans="2:5">
      <c r="B462" s="465">
        <v>1865</v>
      </c>
      <c r="C462" s="465" t="s">
        <v>548</v>
      </c>
      <c r="D462" s="465" t="s">
        <v>541</v>
      </c>
      <c r="E462" s="466">
        <v>4</v>
      </c>
    </row>
    <row r="463" spans="2:5">
      <c r="B463" s="465">
        <v>1866</v>
      </c>
      <c r="C463" s="465" t="s">
        <v>547</v>
      </c>
      <c r="D463" s="465" t="s">
        <v>541</v>
      </c>
      <c r="E463" s="466">
        <v>4</v>
      </c>
    </row>
    <row r="464" spans="2:5">
      <c r="B464" s="465">
        <v>1867</v>
      </c>
      <c r="C464" s="465" t="s">
        <v>546</v>
      </c>
      <c r="D464" s="465" t="s">
        <v>541</v>
      </c>
      <c r="E464" s="466">
        <v>4</v>
      </c>
    </row>
    <row r="465" spans="2:5">
      <c r="B465" s="465">
        <v>1868</v>
      </c>
      <c r="C465" s="465" t="s">
        <v>545</v>
      </c>
      <c r="D465" s="465" t="s">
        <v>541</v>
      </c>
      <c r="E465" s="466">
        <v>4</v>
      </c>
    </row>
    <row r="466" spans="2:5">
      <c r="B466" s="465">
        <v>1870</v>
      </c>
      <c r="C466" s="465" t="s">
        <v>544</v>
      </c>
      <c r="D466" s="465" t="s">
        <v>541</v>
      </c>
      <c r="E466" s="466">
        <v>4</v>
      </c>
    </row>
    <row r="467" spans="2:5">
      <c r="B467" s="465">
        <v>1871</v>
      </c>
      <c r="C467" s="465" t="s">
        <v>543</v>
      </c>
      <c r="D467" s="465" t="s">
        <v>541</v>
      </c>
      <c r="E467" s="466">
        <v>4</v>
      </c>
    </row>
    <row r="468" spans="2:5">
      <c r="B468" s="465">
        <v>1874</v>
      </c>
      <c r="C468" s="465" t="s">
        <v>542</v>
      </c>
      <c r="D468" s="465" t="s">
        <v>541</v>
      </c>
      <c r="E468" s="466">
        <v>4</v>
      </c>
    </row>
    <row r="469" spans="2:5">
      <c r="B469" s="465">
        <v>1903</v>
      </c>
      <c r="C469" s="465" t="s">
        <v>540</v>
      </c>
      <c r="D469" s="465" t="s">
        <v>515</v>
      </c>
      <c r="E469" s="466">
        <v>4</v>
      </c>
    </row>
    <row r="470" spans="2:5">
      <c r="B470" s="465">
        <v>1902</v>
      </c>
      <c r="C470" s="465" t="s">
        <v>539</v>
      </c>
      <c r="D470" s="465" t="s">
        <v>515</v>
      </c>
      <c r="E470" s="466" t="s">
        <v>538</v>
      </c>
    </row>
    <row r="471" spans="2:5">
      <c r="B471" s="465">
        <v>1911</v>
      </c>
      <c r="C471" s="465" t="s">
        <v>537</v>
      </c>
      <c r="D471" s="465" t="s">
        <v>515</v>
      </c>
      <c r="E471" s="466">
        <v>4</v>
      </c>
    </row>
    <row r="472" spans="2:5">
      <c r="B472" s="465">
        <v>1913</v>
      </c>
      <c r="C472" s="465" t="s">
        <v>536</v>
      </c>
      <c r="D472" s="465" t="s">
        <v>515</v>
      </c>
      <c r="E472" s="466">
        <v>4</v>
      </c>
    </row>
    <row r="473" spans="2:5">
      <c r="B473" s="465">
        <v>1917</v>
      </c>
      <c r="C473" s="465" t="s">
        <v>535</v>
      </c>
      <c r="D473" s="465" t="s">
        <v>515</v>
      </c>
      <c r="E473" s="466">
        <v>4</v>
      </c>
    </row>
    <row r="474" spans="2:5">
      <c r="B474" s="465">
        <v>1919</v>
      </c>
      <c r="C474" s="465" t="s">
        <v>534</v>
      </c>
      <c r="D474" s="465" t="s">
        <v>515</v>
      </c>
      <c r="E474" s="466">
        <v>4</v>
      </c>
    </row>
    <row r="475" spans="2:5">
      <c r="B475" s="465">
        <v>1920</v>
      </c>
      <c r="C475" s="465" t="s">
        <v>533</v>
      </c>
      <c r="D475" s="465" t="s">
        <v>515</v>
      </c>
      <c r="E475" s="466">
        <v>4</v>
      </c>
    </row>
    <row r="476" spans="2:5">
      <c r="B476" s="465">
        <v>1922</v>
      </c>
      <c r="C476" s="465" t="s">
        <v>532</v>
      </c>
      <c r="D476" s="465" t="s">
        <v>515</v>
      </c>
      <c r="E476" s="466">
        <v>4</v>
      </c>
    </row>
    <row r="477" spans="2:5">
      <c r="B477" s="465">
        <v>1923</v>
      </c>
      <c r="C477" s="465" t="s">
        <v>531</v>
      </c>
      <c r="D477" s="465" t="s">
        <v>515</v>
      </c>
      <c r="E477" s="466">
        <v>4</v>
      </c>
    </row>
    <row r="478" spans="2:5">
      <c r="B478" s="465">
        <v>1924</v>
      </c>
      <c r="C478" s="465" t="s">
        <v>530</v>
      </c>
      <c r="D478" s="465" t="s">
        <v>515</v>
      </c>
      <c r="E478" s="466">
        <v>4</v>
      </c>
    </row>
    <row r="479" spans="2:5">
      <c r="B479" s="465">
        <v>1925</v>
      </c>
      <c r="C479" s="465" t="s">
        <v>529</v>
      </c>
      <c r="D479" s="465" t="s">
        <v>515</v>
      </c>
      <c r="E479" s="466">
        <v>4</v>
      </c>
    </row>
    <row r="480" spans="2:5">
      <c r="B480" s="465">
        <v>1926</v>
      </c>
      <c r="C480" s="465" t="s">
        <v>528</v>
      </c>
      <c r="D480" s="465" t="s">
        <v>515</v>
      </c>
      <c r="E480" s="466">
        <v>4</v>
      </c>
    </row>
    <row r="481" spans="2:5">
      <c r="B481" s="465">
        <v>1927</v>
      </c>
      <c r="C481" s="465" t="s">
        <v>527</v>
      </c>
      <c r="D481" s="465" t="s">
        <v>515</v>
      </c>
      <c r="E481" s="466">
        <v>4</v>
      </c>
    </row>
    <row r="482" spans="2:5">
      <c r="B482" s="465">
        <v>1928</v>
      </c>
      <c r="C482" s="465" t="s">
        <v>526</v>
      </c>
      <c r="D482" s="465" t="s">
        <v>515</v>
      </c>
      <c r="E482" s="466">
        <v>4</v>
      </c>
    </row>
    <row r="483" spans="2:5">
      <c r="B483" s="465">
        <v>1929</v>
      </c>
      <c r="C483" s="465" t="s">
        <v>525</v>
      </c>
      <c r="D483" s="465" t="s">
        <v>515</v>
      </c>
      <c r="E483" s="466">
        <v>4</v>
      </c>
    </row>
    <row r="484" spans="2:5">
      <c r="B484" s="465">
        <v>1931</v>
      </c>
      <c r="C484" s="465" t="s">
        <v>524</v>
      </c>
      <c r="D484" s="465" t="s">
        <v>515</v>
      </c>
      <c r="E484" s="466">
        <v>4</v>
      </c>
    </row>
    <row r="485" spans="2:5">
      <c r="B485" s="465">
        <v>1933</v>
      </c>
      <c r="C485" s="465" t="s">
        <v>523</v>
      </c>
      <c r="D485" s="465" t="s">
        <v>515</v>
      </c>
      <c r="E485" s="466">
        <v>4</v>
      </c>
    </row>
    <row r="486" spans="2:5">
      <c r="B486" s="465">
        <v>1936</v>
      </c>
      <c r="C486" s="465" t="s">
        <v>522</v>
      </c>
      <c r="D486" s="465" t="s">
        <v>515</v>
      </c>
      <c r="E486" s="466">
        <v>5</v>
      </c>
    </row>
    <row r="487" spans="2:5">
      <c r="B487" s="465">
        <v>1938</v>
      </c>
      <c r="C487" s="465" t="s">
        <v>521</v>
      </c>
      <c r="D487" s="465" t="s">
        <v>515</v>
      </c>
      <c r="E487" s="466">
        <v>5</v>
      </c>
    </row>
    <row r="488" spans="2:5">
      <c r="B488" s="465">
        <v>1939</v>
      </c>
      <c r="C488" s="465" t="s">
        <v>520</v>
      </c>
      <c r="D488" s="465" t="s">
        <v>515</v>
      </c>
      <c r="E488" s="466">
        <v>5</v>
      </c>
    </row>
    <row r="489" spans="2:5">
      <c r="B489" s="465">
        <v>1940</v>
      </c>
      <c r="C489" s="465" t="s">
        <v>519</v>
      </c>
      <c r="D489" s="465" t="s">
        <v>515</v>
      </c>
      <c r="E489" s="466">
        <v>5</v>
      </c>
    </row>
    <row r="490" spans="2:5">
      <c r="B490" s="465">
        <v>1941</v>
      </c>
      <c r="C490" s="465" t="s">
        <v>518</v>
      </c>
      <c r="D490" s="465" t="s">
        <v>515</v>
      </c>
      <c r="E490" s="466">
        <v>5</v>
      </c>
    </row>
    <row r="491" spans="2:5">
      <c r="B491" s="465">
        <v>1942</v>
      </c>
      <c r="C491" s="465" t="s">
        <v>517</v>
      </c>
      <c r="D491" s="465" t="s">
        <v>515</v>
      </c>
      <c r="E491" s="466">
        <v>5</v>
      </c>
    </row>
    <row r="492" spans="2:5">
      <c r="B492" s="465">
        <v>1943</v>
      </c>
      <c r="C492" s="465" t="s">
        <v>516</v>
      </c>
      <c r="D492" s="465" t="s">
        <v>515</v>
      </c>
      <c r="E492" s="466">
        <v>5</v>
      </c>
    </row>
    <row r="493" spans="2:5">
      <c r="B493" s="465">
        <v>2002</v>
      </c>
      <c r="C493" s="465" t="s">
        <v>514</v>
      </c>
      <c r="D493" s="465" t="s">
        <v>495</v>
      </c>
      <c r="E493" s="466">
        <v>5</v>
      </c>
    </row>
    <row r="494" spans="2:5">
      <c r="B494" s="465">
        <v>2003</v>
      </c>
      <c r="C494" s="465" t="s">
        <v>513</v>
      </c>
      <c r="D494" s="465" t="s">
        <v>495</v>
      </c>
      <c r="E494" s="466">
        <v>5</v>
      </c>
    </row>
    <row r="495" spans="2:5">
      <c r="B495" s="465">
        <v>2004</v>
      </c>
      <c r="C495" s="465" t="s">
        <v>512</v>
      </c>
      <c r="D495" s="465" t="s">
        <v>495</v>
      </c>
      <c r="E495" s="466">
        <v>5</v>
      </c>
    </row>
    <row r="496" spans="2:5" ht="26">
      <c r="B496" s="465">
        <v>2011</v>
      </c>
      <c r="C496" s="465" t="s">
        <v>511</v>
      </c>
      <c r="D496" s="465" t="s">
        <v>495</v>
      </c>
      <c r="E496" s="466">
        <v>5</v>
      </c>
    </row>
    <row r="497" spans="2:5">
      <c r="B497" s="465">
        <v>2012</v>
      </c>
      <c r="C497" s="465" t="s">
        <v>510</v>
      </c>
      <c r="D497" s="465" t="s">
        <v>495</v>
      </c>
      <c r="E497" s="466">
        <v>5</v>
      </c>
    </row>
    <row r="498" spans="2:5">
      <c r="B498" s="465">
        <v>2014</v>
      </c>
      <c r="C498" s="465" t="s">
        <v>509</v>
      </c>
      <c r="D498" s="465" t="s">
        <v>495</v>
      </c>
      <c r="E498" s="466">
        <v>5</v>
      </c>
    </row>
    <row r="499" spans="2:5">
      <c r="B499" s="465">
        <v>2015</v>
      </c>
      <c r="C499" s="465" t="s">
        <v>508</v>
      </c>
      <c r="D499" s="465" t="s">
        <v>495</v>
      </c>
      <c r="E499" s="466">
        <v>5</v>
      </c>
    </row>
    <row r="500" spans="2:5">
      <c r="B500" s="465">
        <v>2017</v>
      </c>
      <c r="C500" s="465" t="s">
        <v>507</v>
      </c>
      <c r="D500" s="465" t="s">
        <v>495</v>
      </c>
      <c r="E500" s="466">
        <v>5</v>
      </c>
    </row>
    <row r="501" spans="2:5">
      <c r="B501" s="465">
        <v>2018</v>
      </c>
      <c r="C501" s="465" t="s">
        <v>506</v>
      </c>
      <c r="D501" s="465" t="s">
        <v>495</v>
      </c>
      <c r="E501" s="466">
        <v>5</v>
      </c>
    </row>
    <row r="502" spans="2:5">
      <c r="B502" s="465">
        <v>2019</v>
      </c>
      <c r="C502" s="465" t="s">
        <v>505</v>
      </c>
      <c r="D502" s="465" t="s">
        <v>495</v>
      </c>
      <c r="E502" s="466">
        <v>5</v>
      </c>
    </row>
    <row r="503" spans="2:5" ht="39">
      <c r="B503" s="465">
        <v>2020</v>
      </c>
      <c r="C503" s="465" t="s">
        <v>504</v>
      </c>
      <c r="D503" s="465" t="s">
        <v>495</v>
      </c>
      <c r="E503" s="466">
        <v>5</v>
      </c>
    </row>
    <row r="504" spans="2:5" ht="26">
      <c r="B504" s="465">
        <v>2021</v>
      </c>
      <c r="C504" s="465" t="s">
        <v>503</v>
      </c>
      <c r="D504" s="465" t="s">
        <v>495</v>
      </c>
      <c r="E504" s="466">
        <v>5</v>
      </c>
    </row>
    <row r="505" spans="2:5">
      <c r="B505" s="465">
        <v>2022</v>
      </c>
      <c r="C505" s="465" t="s">
        <v>502</v>
      </c>
      <c r="D505" s="465" t="s">
        <v>495</v>
      </c>
      <c r="E505" s="466">
        <v>5</v>
      </c>
    </row>
    <row r="506" spans="2:5">
      <c r="B506" s="465">
        <v>2023</v>
      </c>
      <c r="C506" s="465" t="s">
        <v>501</v>
      </c>
      <c r="D506" s="465" t="s">
        <v>495</v>
      </c>
      <c r="E506" s="466">
        <v>5</v>
      </c>
    </row>
    <row r="507" spans="2:5">
      <c r="B507" s="465">
        <v>2024</v>
      </c>
      <c r="C507" s="465" t="s">
        <v>500</v>
      </c>
      <c r="D507" s="465" t="s">
        <v>495</v>
      </c>
      <c r="E507" s="466">
        <v>5</v>
      </c>
    </row>
    <row r="508" spans="2:5">
      <c r="B508" s="465">
        <v>2025</v>
      </c>
      <c r="C508" s="465" t="s">
        <v>499</v>
      </c>
      <c r="D508" s="465" t="s">
        <v>495</v>
      </c>
      <c r="E508" s="466">
        <v>5</v>
      </c>
    </row>
    <row r="509" spans="2:5">
      <c r="B509" s="465">
        <v>2027</v>
      </c>
      <c r="C509" s="465" t="s">
        <v>498</v>
      </c>
      <c r="D509" s="465" t="s">
        <v>495</v>
      </c>
      <c r="E509" s="466">
        <v>5</v>
      </c>
    </row>
    <row r="510" spans="2:5">
      <c r="B510" s="465">
        <v>2028</v>
      </c>
      <c r="C510" s="465" t="s">
        <v>497</v>
      </c>
      <c r="D510" s="465" t="s">
        <v>495</v>
      </c>
      <c r="E510" s="466">
        <v>5</v>
      </c>
    </row>
    <row r="511" spans="2:5">
      <c r="B511" s="465">
        <v>2030</v>
      </c>
      <c r="C511" s="465" t="s">
        <v>496</v>
      </c>
      <c r="D511" s="465" t="s">
        <v>495</v>
      </c>
      <c r="E511" s="466">
        <v>5</v>
      </c>
    </row>
  </sheetData>
  <pageMargins left="0.70866141732283472" right="0.70866141732283472" top="0.74803149606299213" bottom="0.74803149606299213" header="0.31496062992125984" footer="0.31496062992125984"/>
  <pageSetup paperSize="9" scale="62" orientation="portrait"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02F46-9619-D94C-BBC0-8FC3ED9D7D8E}">
  <sheetPr>
    <pageSetUpPr fitToPage="1"/>
  </sheetPr>
  <dimension ref="A2:E26"/>
  <sheetViews>
    <sheetView workbookViewId="0">
      <pane xSplit="2" ySplit="9" topLeftCell="C10" activePane="bottomRight" state="frozen"/>
      <selection pane="topRight" activeCell="C1" sqref="C1"/>
      <selection pane="bottomLeft" activeCell="A10" sqref="A10"/>
      <selection pane="bottomRight" activeCell="B34" sqref="B34"/>
    </sheetView>
  </sheetViews>
  <sheetFormatPr baseColWidth="10" defaultColWidth="9.1640625" defaultRowHeight="15"/>
  <cols>
    <col min="1" max="1" width="25.33203125" bestFit="1" customWidth="1"/>
    <col min="2" max="2" width="37.6640625" bestFit="1" customWidth="1"/>
    <col min="3" max="5" width="16.5" customWidth="1"/>
    <col min="6" max="8" width="19.5" customWidth="1"/>
    <col min="9" max="9" width="14.5" customWidth="1"/>
    <col min="10" max="10" width="7.5" bestFit="1" customWidth="1"/>
  </cols>
  <sheetData>
    <row r="2" spans="1:5">
      <c r="A2" t="s">
        <v>1001</v>
      </c>
      <c r="B2" t="s" vm="5">
        <v>1002</v>
      </c>
    </row>
    <row r="3" spans="1:5">
      <c r="A3" t="s">
        <v>1004</v>
      </c>
      <c r="B3" t="s" vm="6">
        <v>1005</v>
      </c>
    </row>
    <row r="4" spans="1:5">
      <c r="A4" t="s">
        <v>1006</v>
      </c>
      <c r="B4" t="s" vm="7">
        <v>1002</v>
      </c>
    </row>
    <row r="5" spans="1:5">
      <c r="A5" t="s">
        <v>1428</v>
      </c>
      <c r="B5" t="s" vm="8">
        <v>1429</v>
      </c>
    </row>
    <row r="7" spans="1:5">
      <c r="A7" t="s">
        <v>1430</v>
      </c>
      <c r="C7" t="s">
        <v>1431</v>
      </c>
      <c r="D7" t="s">
        <v>1432</v>
      </c>
    </row>
    <row r="8" spans="1:5">
      <c r="C8" t="s">
        <v>1433</v>
      </c>
      <c r="D8" t="s">
        <v>1433</v>
      </c>
      <c r="E8" t="s">
        <v>1427</v>
      </c>
    </row>
    <row r="9" spans="1:5">
      <c r="A9" t="s">
        <v>120</v>
      </c>
      <c r="B9" t="s">
        <v>1434</v>
      </c>
      <c r="C9" t="s">
        <v>1435</v>
      </c>
      <c r="D9" t="s">
        <v>1436</v>
      </c>
    </row>
    <row r="10" spans="1:5">
      <c r="A10" t="s">
        <v>1061</v>
      </c>
      <c r="B10" t="s">
        <v>1437</v>
      </c>
      <c r="C10" s="49">
        <v>3184668.7799999993</v>
      </c>
      <c r="D10" s="49">
        <v>1118706.0200000003</v>
      </c>
      <c r="E10" s="49">
        <v>4303374.8</v>
      </c>
    </row>
    <row r="11" spans="1:5">
      <c r="A11" t="s">
        <v>1064</v>
      </c>
      <c r="B11" t="s">
        <v>1438</v>
      </c>
      <c r="C11" s="49">
        <v>3173196.060000001</v>
      </c>
      <c r="D11" s="49">
        <v>158901.93</v>
      </c>
      <c r="E11" s="49">
        <v>3332097.9900000012</v>
      </c>
    </row>
    <row r="12" spans="1:5">
      <c r="A12" t="s">
        <v>1071</v>
      </c>
      <c r="B12" t="s">
        <v>1439</v>
      </c>
      <c r="C12" s="49">
        <v>3148637.0300000003</v>
      </c>
      <c r="D12" s="49">
        <v>792522.11</v>
      </c>
      <c r="E12" s="49">
        <v>3941159.1400000015</v>
      </c>
    </row>
    <row r="13" spans="1:5">
      <c r="A13" t="s">
        <v>1072</v>
      </c>
      <c r="B13" t="s">
        <v>1440</v>
      </c>
      <c r="C13" s="49">
        <v>3727859.0399999991</v>
      </c>
      <c r="D13" s="49"/>
      <c r="E13" s="49">
        <v>3727859.0399999991</v>
      </c>
    </row>
    <row r="14" spans="1:5">
      <c r="A14" t="s">
        <v>1075</v>
      </c>
      <c r="B14" t="s">
        <v>1441</v>
      </c>
      <c r="C14" s="49">
        <v>5693099.299999998</v>
      </c>
      <c r="D14" s="49">
        <v>1845778.5</v>
      </c>
      <c r="E14" s="49">
        <v>7538877.8000000007</v>
      </c>
    </row>
    <row r="15" spans="1:5">
      <c r="A15" t="s">
        <v>1078</v>
      </c>
      <c r="B15" t="s">
        <v>1442</v>
      </c>
      <c r="C15" s="49">
        <v>3028614.68</v>
      </c>
      <c r="D15" s="49">
        <v>41526</v>
      </c>
      <c r="E15" s="49">
        <v>3070140.68</v>
      </c>
    </row>
    <row r="16" spans="1:5">
      <c r="A16" t="s">
        <v>1079</v>
      </c>
      <c r="B16" t="s">
        <v>1443</v>
      </c>
      <c r="C16" s="49">
        <v>1154.4099999999999</v>
      </c>
      <c r="D16" s="49">
        <v>2491352.5200000005</v>
      </c>
      <c r="E16" s="49">
        <v>2492506.9300000006</v>
      </c>
    </row>
    <row r="17" spans="1:5">
      <c r="A17" t="s">
        <v>1080</v>
      </c>
      <c r="B17" t="s">
        <v>1444</v>
      </c>
      <c r="C17" s="49">
        <v>5387674.5700000003</v>
      </c>
      <c r="D17" s="49">
        <v>3691</v>
      </c>
      <c r="E17" s="49">
        <v>5391365.5700000003</v>
      </c>
    </row>
    <row r="18" spans="1:5">
      <c r="A18" t="s">
        <v>1084</v>
      </c>
      <c r="B18" t="s">
        <v>1445</v>
      </c>
      <c r="C18" s="49">
        <v>1849471.3699999994</v>
      </c>
      <c r="D18" s="49"/>
      <c r="E18" s="49">
        <v>1849471.3699999994</v>
      </c>
    </row>
    <row r="19" spans="1:5">
      <c r="A19" t="s">
        <v>1085</v>
      </c>
      <c r="B19" t="s">
        <v>1446</v>
      </c>
      <c r="C19" s="49">
        <v>1781111.1899999997</v>
      </c>
      <c r="D19" s="49">
        <v>1344</v>
      </c>
      <c r="E19" s="49">
        <v>1782455.1899999997</v>
      </c>
    </row>
    <row r="20" spans="1:5">
      <c r="A20" t="s">
        <v>1086</v>
      </c>
      <c r="B20" t="s">
        <v>1447</v>
      </c>
      <c r="C20" s="49">
        <v>1447269.4500000002</v>
      </c>
      <c r="D20" s="49">
        <v>22719.5</v>
      </c>
      <c r="E20" s="49">
        <v>1469988.9499999997</v>
      </c>
    </row>
    <row r="21" spans="1:5">
      <c r="A21" t="s">
        <v>1087</v>
      </c>
      <c r="B21" t="s">
        <v>1448</v>
      </c>
      <c r="C21" s="49">
        <v>2232937.0999999992</v>
      </c>
      <c r="D21" s="49">
        <v>13059</v>
      </c>
      <c r="E21" s="49">
        <v>2245996.0999999992</v>
      </c>
    </row>
    <row r="22" spans="1:5">
      <c r="A22" t="s">
        <v>1089</v>
      </c>
      <c r="B22" t="s">
        <v>1449</v>
      </c>
      <c r="C22" s="49">
        <v>2717385.3100000005</v>
      </c>
      <c r="D22" s="49">
        <v>15060</v>
      </c>
      <c r="E22" s="49">
        <v>2732445.3100000005</v>
      </c>
    </row>
    <row r="23" spans="1:5">
      <c r="A23" t="s">
        <v>1091</v>
      </c>
      <c r="B23" t="s">
        <v>1450</v>
      </c>
      <c r="C23" s="49">
        <v>610889.84999999986</v>
      </c>
      <c r="D23" s="49">
        <v>15070</v>
      </c>
      <c r="E23" s="49">
        <v>625959.84999999986</v>
      </c>
    </row>
    <row r="24" spans="1:5">
      <c r="A24" t="s">
        <v>1094</v>
      </c>
      <c r="B24" t="s">
        <v>1451</v>
      </c>
      <c r="C24" s="49">
        <v>3943018.7299999995</v>
      </c>
      <c r="D24" s="49">
        <v>3107564.43</v>
      </c>
      <c r="E24" s="49">
        <v>7050583.160000002</v>
      </c>
    </row>
    <row r="25" spans="1:5">
      <c r="A25" t="s">
        <v>1099</v>
      </c>
      <c r="B25" t="s">
        <v>1452</v>
      </c>
      <c r="C25" s="49">
        <v>3384344.4800000004</v>
      </c>
      <c r="D25" s="49">
        <v>631876.5</v>
      </c>
      <c r="E25" s="49">
        <v>4016220.98</v>
      </c>
    </row>
    <row r="26" spans="1:5">
      <c r="A26" t="s">
        <v>1427</v>
      </c>
      <c r="C26" s="49">
        <v>45311331.349999927</v>
      </c>
      <c r="D26" s="49">
        <v>10259171.510000002</v>
      </c>
      <c r="E26" s="49">
        <v>55570502.85999988</v>
      </c>
    </row>
  </sheetData>
  <pageMargins left="0.7" right="0.7" top="0.75" bottom="0.75" header="0.3" footer="0.3"/>
  <pageSetup scale="8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90B8D-855D-B04A-B89D-335FC11A70AA}">
  <dimension ref="A1:G426"/>
  <sheetViews>
    <sheetView topLeftCell="A261" workbookViewId="0">
      <selection activeCell="L296" sqref="L296"/>
    </sheetView>
  </sheetViews>
  <sheetFormatPr baseColWidth="10" defaultColWidth="10.83203125" defaultRowHeight="15"/>
  <cols>
    <col min="1" max="1" width="25.33203125" customWidth="1"/>
    <col min="2" max="4" width="13.33203125" customWidth="1"/>
    <col min="5" max="5" width="10.83203125" customWidth="1"/>
    <col min="6" max="6" width="8.33203125" customWidth="1"/>
    <col min="7" max="7" width="8.83203125" customWidth="1"/>
    <col min="8" max="8" width="7.5" customWidth="1"/>
    <col min="9" max="9" width="6.5" customWidth="1"/>
    <col min="10" max="10" width="11.33203125" bestFit="1" customWidth="1"/>
    <col min="11" max="12" width="6.83203125" customWidth="1"/>
    <col min="13" max="13" width="7" customWidth="1"/>
    <col min="14" max="14" width="5.6640625" customWidth="1"/>
    <col min="15" max="15" width="7.1640625" customWidth="1"/>
    <col min="16" max="16" width="9.83203125" bestFit="1" customWidth="1"/>
    <col min="17" max="17" width="11.83203125" bestFit="1" customWidth="1"/>
    <col min="18" max="18" width="11.33203125" bestFit="1" customWidth="1"/>
    <col min="19" max="19" width="10.83203125" bestFit="1" customWidth="1"/>
    <col min="20" max="20" width="9.83203125" bestFit="1" customWidth="1"/>
    <col min="21" max="21" width="10.83203125" bestFit="1" customWidth="1"/>
    <col min="22" max="22" width="8.83203125" bestFit="1" customWidth="1"/>
    <col min="23" max="23" width="9.83203125" bestFit="1" customWidth="1"/>
    <col min="24" max="24" width="8.83203125" bestFit="1" customWidth="1"/>
    <col min="25" max="25" width="10.83203125" bestFit="1" customWidth="1"/>
    <col min="26" max="26" width="8.83203125" bestFit="1" customWidth="1"/>
    <col min="27" max="27" width="9.83203125" bestFit="1" customWidth="1"/>
    <col min="28" max="28" width="7.83203125" bestFit="1" customWidth="1"/>
    <col min="29" max="30" width="9.83203125" bestFit="1" customWidth="1"/>
    <col min="31" max="31" width="11.83203125" bestFit="1" customWidth="1"/>
    <col min="32" max="32" width="11.83203125" customWidth="1"/>
    <col min="33" max="33" width="12.83203125" customWidth="1"/>
    <col min="34" max="34" width="11.83203125" bestFit="1" customWidth="1"/>
    <col min="35" max="35" width="13.83203125" bestFit="1" customWidth="1"/>
    <col min="36" max="36" width="9.6640625" bestFit="1" customWidth="1"/>
    <col min="37" max="37" width="9.83203125" bestFit="1" customWidth="1"/>
    <col min="38" max="38" width="8.83203125" bestFit="1" customWidth="1"/>
    <col min="39" max="39" width="9.83203125" bestFit="1" customWidth="1"/>
    <col min="40" max="40" width="8.83203125" bestFit="1" customWidth="1"/>
    <col min="41" max="41" width="10.83203125" bestFit="1" customWidth="1"/>
    <col min="42" max="42" width="8.83203125" bestFit="1" customWidth="1"/>
    <col min="43" max="43" width="9.83203125" bestFit="1" customWidth="1"/>
    <col min="44" max="44" width="7.83203125" bestFit="1" customWidth="1"/>
    <col min="45" max="45" width="10.83203125" bestFit="1" customWidth="1"/>
    <col min="46" max="46" width="16.6640625" bestFit="1" customWidth="1"/>
    <col min="47" max="47" width="15.5" bestFit="1" customWidth="1"/>
    <col min="48" max="48" width="11.83203125" bestFit="1" customWidth="1"/>
    <col min="49" max="49" width="13.83203125" bestFit="1" customWidth="1"/>
    <col min="50" max="50" width="8.5" customWidth="1"/>
    <col min="51" max="51" width="9.1640625" customWidth="1"/>
    <col min="52" max="52" width="7.6640625" customWidth="1"/>
    <col min="53" max="53" width="7.5" customWidth="1"/>
    <col min="54" max="54" width="5.83203125" customWidth="1"/>
    <col min="55" max="55" width="8.83203125" customWidth="1"/>
    <col min="56" max="56" width="13.83203125" customWidth="1"/>
    <col min="57" max="57" width="15.33203125" customWidth="1"/>
    <col min="58" max="58" width="10.83203125" customWidth="1"/>
    <col min="59" max="59" width="8.83203125" customWidth="1"/>
    <col min="60" max="61" width="9.83203125" customWidth="1"/>
    <col min="62" max="62" width="22.5" customWidth="1"/>
    <col min="63" max="63" width="14.5" customWidth="1"/>
    <col min="64" max="64" width="11.5" customWidth="1"/>
    <col min="65" max="65" width="11.83203125" customWidth="1"/>
    <col min="66" max="66" width="11" customWidth="1"/>
    <col min="67" max="67" width="8.6640625" customWidth="1"/>
    <col min="68" max="68" width="10.83203125" customWidth="1"/>
    <col min="69" max="69" width="22.33203125" customWidth="1"/>
    <col min="70" max="70" width="22.83203125" customWidth="1"/>
    <col min="71" max="71" width="23" bestFit="1" customWidth="1"/>
    <col min="72" max="72" width="9.83203125" customWidth="1"/>
    <col min="73" max="73" width="19" customWidth="1"/>
    <col min="74" max="74" width="9.5" customWidth="1"/>
    <col min="75" max="75" width="10.6640625" customWidth="1"/>
    <col min="76" max="76" width="12.83203125" customWidth="1"/>
    <col min="77" max="77" width="8.83203125" customWidth="1"/>
    <col min="78" max="78" width="11.83203125" customWidth="1"/>
    <col min="79" max="79" width="19.5" bestFit="1" customWidth="1"/>
    <col min="80" max="80" width="17.1640625" customWidth="1"/>
    <col min="81" max="81" width="14.5" customWidth="1"/>
    <col min="82" max="82" width="17.83203125" customWidth="1"/>
    <col min="83" max="85" width="11.83203125" customWidth="1"/>
    <col min="86" max="86" width="9.83203125" customWidth="1"/>
    <col min="87" max="87" width="10.83203125" customWidth="1"/>
    <col min="88" max="88" width="10" customWidth="1"/>
    <col min="89" max="89" width="10.33203125" customWidth="1"/>
    <col min="90" max="90" width="8.33203125" customWidth="1"/>
    <col min="91" max="91" width="25.33203125" customWidth="1"/>
    <col min="92" max="92" width="21.5" bestFit="1" customWidth="1"/>
    <col min="93" max="93" width="21.5" customWidth="1"/>
    <col min="94" max="95" width="20.5" customWidth="1"/>
    <col min="96" max="96" width="15.1640625" bestFit="1" customWidth="1"/>
    <col min="97" max="97" width="16.5" customWidth="1"/>
    <col min="98" max="98" width="14.33203125" customWidth="1"/>
    <col min="99" max="100" width="15.5" customWidth="1"/>
    <col min="101" max="101" width="11.1640625" customWidth="1"/>
    <col min="102" max="102" width="19.6640625" bestFit="1" customWidth="1"/>
    <col min="103" max="103" width="15.6640625" customWidth="1"/>
    <col min="104" max="105" width="9.83203125" customWidth="1"/>
    <col min="106" max="106" width="15.5" customWidth="1"/>
    <col min="107" max="107" width="12.83203125" customWidth="1"/>
    <col min="108" max="108" width="17.5" customWidth="1"/>
    <col min="109" max="110" width="9.83203125" customWidth="1"/>
    <col min="111" max="111" width="9.5" customWidth="1"/>
    <col min="112" max="112" width="10.83203125" customWidth="1"/>
    <col min="113" max="113" width="14.83203125" customWidth="1"/>
    <col min="114" max="114" width="11.83203125" customWidth="1"/>
    <col min="115" max="115" width="8.83203125" customWidth="1"/>
    <col min="116" max="116" width="9.5" customWidth="1"/>
    <col min="117" max="117" width="8.83203125" customWidth="1"/>
    <col min="118" max="118" width="10.83203125" customWidth="1"/>
    <col min="119" max="119" width="11.83203125" customWidth="1"/>
    <col min="120" max="120" width="15" bestFit="1" customWidth="1"/>
    <col min="121" max="121" width="14.5" customWidth="1"/>
    <col min="122" max="122" width="10.83203125" customWidth="1"/>
    <col min="123" max="123" width="7.33203125" customWidth="1"/>
    <col min="124" max="124" width="19.6640625" bestFit="1" customWidth="1"/>
    <col min="125" max="125" width="8.83203125" customWidth="1"/>
    <col min="126" max="127" width="9.83203125" customWidth="1"/>
    <col min="128" max="128" width="7.6640625" customWidth="1"/>
    <col min="129" max="129" width="7.5" customWidth="1"/>
    <col min="130" max="130" width="7.83203125" customWidth="1"/>
    <col min="131" max="131" width="11.83203125" bestFit="1" customWidth="1"/>
    <col min="132" max="132" width="13.83203125" bestFit="1" customWidth="1"/>
    <col min="133" max="133" width="15.33203125" bestFit="1" customWidth="1"/>
    <col min="134" max="134" width="9.83203125" customWidth="1"/>
    <col min="135" max="135" width="10.83203125" customWidth="1"/>
    <col min="136" max="137" width="11.83203125" bestFit="1" customWidth="1"/>
    <col min="138" max="138" width="22.5" bestFit="1" customWidth="1"/>
    <col min="139" max="139" width="14.5" bestFit="1" customWidth="1"/>
    <col min="140" max="140" width="12.83203125" bestFit="1" customWidth="1"/>
    <col min="141" max="141" width="11.83203125" bestFit="1" customWidth="1"/>
    <col min="142" max="142" width="11" customWidth="1"/>
    <col min="143" max="143" width="9.83203125" customWidth="1"/>
    <col min="144" max="144" width="12.83203125" bestFit="1" customWidth="1"/>
    <col min="145" max="145" width="22.33203125" bestFit="1" customWidth="1"/>
    <col min="146" max="146" width="22.83203125" bestFit="1" customWidth="1"/>
    <col min="147" max="147" width="23" bestFit="1" customWidth="1"/>
    <col min="148" max="148" width="11.83203125" bestFit="1" customWidth="1"/>
    <col min="149" max="149" width="19" bestFit="1" customWidth="1"/>
    <col min="150" max="150" width="10.83203125" customWidth="1"/>
    <col min="151" max="151" width="10.6640625" customWidth="1"/>
    <col min="152" max="152" width="12.83203125" bestFit="1" customWidth="1"/>
    <col min="153" max="153" width="9.83203125" customWidth="1"/>
    <col min="154" max="155" width="13.83203125" bestFit="1" customWidth="1"/>
  </cols>
  <sheetData>
    <row r="1" spans="1:7">
      <c r="A1" t="s">
        <v>1001</v>
      </c>
      <c r="B1" t="s" vm="1">
        <v>1002</v>
      </c>
    </row>
    <row r="2" spans="1:7">
      <c r="A2" t="s">
        <v>1003</v>
      </c>
      <c r="B2" t="s" vm="2">
        <v>1002</v>
      </c>
    </row>
    <row r="3" spans="1:7">
      <c r="A3" t="s">
        <v>1004</v>
      </c>
      <c r="B3" t="s" vm="3">
        <v>1005</v>
      </c>
    </row>
    <row r="4" spans="1:7">
      <c r="A4" t="s">
        <v>1006</v>
      </c>
      <c r="B4" t="s" vm="4">
        <v>1007</v>
      </c>
    </row>
    <row r="6" spans="1:7">
      <c r="B6" t="s">
        <v>1008</v>
      </c>
      <c r="C6" t="s">
        <v>1009</v>
      </c>
    </row>
    <row r="7" spans="1:7">
      <c r="B7" t="s">
        <v>873</v>
      </c>
      <c r="E7" t="s">
        <v>309</v>
      </c>
    </row>
    <row r="8" spans="1:7">
      <c r="A8" t="s">
        <v>120</v>
      </c>
      <c r="B8" t="s">
        <v>1010</v>
      </c>
      <c r="C8" t="s">
        <v>1011</v>
      </c>
      <c r="D8" t="s">
        <v>1012</v>
      </c>
      <c r="E8" t="s">
        <v>1010</v>
      </c>
      <c r="F8" t="s">
        <v>1011</v>
      </c>
      <c r="G8" t="s">
        <v>1012</v>
      </c>
    </row>
    <row r="9" spans="1:7">
      <c r="A9" t="s">
        <v>1013</v>
      </c>
      <c r="B9" s="49"/>
      <c r="C9" s="49">
        <v>124</v>
      </c>
      <c r="D9" s="49">
        <v>15</v>
      </c>
      <c r="E9" s="55"/>
      <c r="F9" s="55">
        <v>4</v>
      </c>
      <c r="G9" s="55">
        <v>2</v>
      </c>
    </row>
    <row r="10" spans="1:7">
      <c r="A10" t="s">
        <v>1014</v>
      </c>
      <c r="B10" s="49">
        <v>8428</v>
      </c>
      <c r="C10" s="49">
        <v>273</v>
      </c>
      <c r="D10" s="49">
        <v>433</v>
      </c>
      <c r="E10" s="55">
        <v>176</v>
      </c>
      <c r="F10" s="55">
        <v>12</v>
      </c>
      <c r="G10" s="55">
        <v>82</v>
      </c>
    </row>
    <row r="11" spans="1:7">
      <c r="A11" t="s">
        <v>1015</v>
      </c>
      <c r="B11" s="49"/>
      <c r="C11" s="49">
        <v>211</v>
      </c>
      <c r="D11" s="49">
        <v>18</v>
      </c>
      <c r="E11" s="55"/>
      <c r="F11" s="55">
        <v>5</v>
      </c>
      <c r="G11" s="55">
        <v>2</v>
      </c>
    </row>
    <row r="12" spans="1:7">
      <c r="A12" t="s">
        <v>1016</v>
      </c>
      <c r="B12" s="49">
        <v>5835</v>
      </c>
      <c r="C12" s="49">
        <v>1258</v>
      </c>
      <c r="D12" s="49">
        <v>859</v>
      </c>
      <c r="E12" s="55">
        <v>111</v>
      </c>
      <c r="F12" s="55">
        <v>61</v>
      </c>
      <c r="G12" s="55">
        <v>223</v>
      </c>
    </row>
    <row r="13" spans="1:7">
      <c r="A13" t="s">
        <v>1017</v>
      </c>
      <c r="B13" s="49">
        <v>923</v>
      </c>
      <c r="C13" s="49">
        <v>543</v>
      </c>
      <c r="D13" s="49">
        <v>355</v>
      </c>
      <c r="E13" s="55">
        <v>28</v>
      </c>
      <c r="F13" s="55">
        <v>37</v>
      </c>
      <c r="G13" s="55">
        <v>77</v>
      </c>
    </row>
    <row r="14" spans="1:7">
      <c r="A14" t="s">
        <v>1018</v>
      </c>
      <c r="B14" s="49"/>
      <c r="C14" s="49">
        <v>280</v>
      </c>
      <c r="D14" s="49">
        <v>82</v>
      </c>
      <c r="E14" s="55"/>
      <c r="F14" s="55">
        <v>12</v>
      </c>
      <c r="G14" s="55">
        <v>15</v>
      </c>
    </row>
    <row r="15" spans="1:7">
      <c r="A15" t="s">
        <v>1019</v>
      </c>
      <c r="B15" s="49"/>
      <c r="C15" s="49">
        <v>534</v>
      </c>
      <c r="D15" s="49">
        <v>371</v>
      </c>
      <c r="E15" s="55"/>
      <c r="F15" s="55">
        <v>16</v>
      </c>
      <c r="G15" s="55">
        <v>42</v>
      </c>
    </row>
    <row r="16" spans="1:7">
      <c r="A16" t="s">
        <v>1020</v>
      </c>
      <c r="B16" s="49">
        <v>11360</v>
      </c>
      <c r="C16" s="49">
        <v>566</v>
      </c>
      <c r="D16" s="49">
        <v>162</v>
      </c>
      <c r="E16" s="55">
        <v>223</v>
      </c>
      <c r="F16" s="55">
        <v>22</v>
      </c>
      <c r="G16" s="55">
        <v>40</v>
      </c>
    </row>
    <row r="17" spans="1:7">
      <c r="A17" t="s">
        <v>1021</v>
      </c>
      <c r="B17" s="49"/>
      <c r="C17" s="49">
        <v>202</v>
      </c>
      <c r="D17" s="49"/>
      <c r="E17" s="55"/>
      <c r="F17" s="55">
        <v>8</v>
      </c>
      <c r="G17" s="55"/>
    </row>
    <row r="18" spans="1:7">
      <c r="A18" t="s">
        <v>1022</v>
      </c>
      <c r="B18" s="49">
        <v>2229.9899999999998</v>
      </c>
      <c r="C18" s="49">
        <v>346</v>
      </c>
      <c r="D18" s="49">
        <v>526</v>
      </c>
      <c r="E18" s="55">
        <v>96</v>
      </c>
      <c r="F18" s="55">
        <v>22</v>
      </c>
      <c r="G18" s="55">
        <v>69</v>
      </c>
    </row>
    <row r="19" spans="1:7">
      <c r="A19" t="s">
        <v>1023</v>
      </c>
      <c r="B19" s="49">
        <v>4109</v>
      </c>
      <c r="C19" s="49">
        <v>554</v>
      </c>
      <c r="D19" s="49">
        <v>703</v>
      </c>
      <c r="E19" s="55">
        <v>59</v>
      </c>
      <c r="F19" s="55">
        <v>22</v>
      </c>
      <c r="G19" s="55">
        <v>95</v>
      </c>
    </row>
    <row r="20" spans="1:7">
      <c r="A20" t="s">
        <v>1024</v>
      </c>
      <c r="B20" s="49">
        <v>2006</v>
      </c>
      <c r="C20" s="49">
        <v>233</v>
      </c>
      <c r="D20" s="49"/>
      <c r="E20" s="55">
        <v>39</v>
      </c>
      <c r="F20" s="55">
        <v>13</v>
      </c>
      <c r="G20" s="55"/>
    </row>
    <row r="21" spans="1:7">
      <c r="A21" t="s">
        <v>1025</v>
      </c>
      <c r="B21" s="49">
        <v>7810</v>
      </c>
      <c r="C21" s="49">
        <v>403</v>
      </c>
      <c r="D21" s="49">
        <v>557</v>
      </c>
      <c r="E21" s="55">
        <v>137</v>
      </c>
      <c r="F21" s="55">
        <v>18</v>
      </c>
      <c r="G21" s="55">
        <v>98</v>
      </c>
    </row>
    <row r="22" spans="1:7">
      <c r="A22" t="s">
        <v>1026</v>
      </c>
      <c r="B22" s="49">
        <v>3424</v>
      </c>
      <c r="C22" s="49">
        <v>166</v>
      </c>
      <c r="D22" s="49">
        <v>374</v>
      </c>
      <c r="E22" s="55">
        <v>74</v>
      </c>
      <c r="F22" s="55">
        <v>10</v>
      </c>
      <c r="G22" s="55">
        <v>69</v>
      </c>
    </row>
    <row r="23" spans="1:7">
      <c r="A23" t="s">
        <v>1027</v>
      </c>
      <c r="B23" s="49">
        <v>23912</v>
      </c>
      <c r="C23" s="49">
        <v>118</v>
      </c>
      <c r="D23" s="49">
        <v>795</v>
      </c>
      <c r="E23" s="55">
        <v>435</v>
      </c>
      <c r="F23" s="55">
        <v>8</v>
      </c>
      <c r="G23" s="55">
        <v>177</v>
      </c>
    </row>
    <row r="24" spans="1:7">
      <c r="A24" t="s">
        <v>1028</v>
      </c>
      <c r="B24" s="49">
        <v>454</v>
      </c>
      <c r="C24" s="49">
        <v>312</v>
      </c>
      <c r="D24" s="49">
        <v>84</v>
      </c>
      <c r="E24" s="55">
        <v>39</v>
      </c>
      <c r="F24" s="55">
        <v>19</v>
      </c>
      <c r="G24" s="55">
        <v>22</v>
      </c>
    </row>
    <row r="25" spans="1:7">
      <c r="A25" t="s">
        <v>1029</v>
      </c>
      <c r="B25" s="49">
        <v>84</v>
      </c>
      <c r="C25" s="49">
        <v>409</v>
      </c>
      <c r="D25" s="49">
        <v>41</v>
      </c>
      <c r="E25" s="55">
        <v>8</v>
      </c>
      <c r="F25" s="55">
        <v>6</v>
      </c>
      <c r="G25" s="55">
        <v>14</v>
      </c>
    </row>
    <row r="26" spans="1:7">
      <c r="A26" t="s">
        <v>1030</v>
      </c>
      <c r="B26" s="49">
        <v>6371</v>
      </c>
      <c r="C26" s="49">
        <v>201</v>
      </c>
      <c r="D26" s="49">
        <v>194</v>
      </c>
      <c r="E26" s="55">
        <v>107</v>
      </c>
      <c r="F26" s="55">
        <v>7</v>
      </c>
      <c r="G26" s="55">
        <v>35</v>
      </c>
    </row>
    <row r="27" spans="1:7">
      <c r="A27" t="s">
        <v>1031</v>
      </c>
      <c r="B27" s="49">
        <v>222</v>
      </c>
      <c r="C27" s="49">
        <v>183</v>
      </c>
      <c r="D27" s="49">
        <v>151</v>
      </c>
      <c r="E27" s="55">
        <v>14</v>
      </c>
      <c r="F27" s="55">
        <v>14</v>
      </c>
      <c r="G27" s="55">
        <v>23</v>
      </c>
    </row>
    <row r="28" spans="1:7">
      <c r="A28" t="s">
        <v>1032</v>
      </c>
      <c r="B28" s="49">
        <v>406</v>
      </c>
      <c r="C28" s="49">
        <v>19</v>
      </c>
      <c r="D28" s="49">
        <v>68</v>
      </c>
      <c r="E28" s="55">
        <v>24</v>
      </c>
      <c r="F28" s="55">
        <v>2</v>
      </c>
      <c r="G28" s="55">
        <v>20</v>
      </c>
    </row>
    <row r="29" spans="1:7">
      <c r="A29" t="s">
        <v>1033</v>
      </c>
      <c r="B29" s="49"/>
      <c r="C29" s="49"/>
      <c r="D29" s="49">
        <v>138</v>
      </c>
      <c r="E29" s="55"/>
      <c r="F29" s="55"/>
      <c r="G29" s="55">
        <v>26</v>
      </c>
    </row>
    <row r="30" spans="1:7">
      <c r="A30" t="s">
        <v>1034</v>
      </c>
      <c r="B30" s="49">
        <v>2945</v>
      </c>
      <c r="C30" s="49">
        <v>373</v>
      </c>
      <c r="D30" s="49">
        <v>127</v>
      </c>
      <c r="E30" s="55">
        <v>97</v>
      </c>
      <c r="F30" s="55">
        <v>10</v>
      </c>
      <c r="G30" s="55">
        <v>30</v>
      </c>
    </row>
    <row r="31" spans="1:7">
      <c r="A31" t="s">
        <v>1035</v>
      </c>
      <c r="B31" s="49"/>
      <c r="C31" s="49">
        <v>17</v>
      </c>
      <c r="D31" s="49">
        <v>46</v>
      </c>
      <c r="E31" s="55"/>
      <c r="F31" s="55">
        <v>1</v>
      </c>
      <c r="G31" s="55">
        <v>9</v>
      </c>
    </row>
    <row r="32" spans="1:7">
      <c r="A32" t="s">
        <v>1036</v>
      </c>
      <c r="B32" s="49">
        <v>263</v>
      </c>
      <c r="C32" s="49">
        <v>304</v>
      </c>
      <c r="D32" s="49">
        <v>16</v>
      </c>
      <c r="E32" s="55">
        <v>13</v>
      </c>
      <c r="F32" s="55">
        <v>8</v>
      </c>
      <c r="G32" s="55">
        <v>4</v>
      </c>
    </row>
    <row r="33" spans="1:7">
      <c r="A33" t="s">
        <v>1037</v>
      </c>
      <c r="B33" s="49">
        <v>9</v>
      </c>
      <c r="C33" s="49">
        <v>62</v>
      </c>
      <c r="D33" s="49">
        <v>133</v>
      </c>
      <c r="E33" s="55">
        <v>4</v>
      </c>
      <c r="F33" s="55">
        <v>5</v>
      </c>
      <c r="G33" s="55">
        <v>21</v>
      </c>
    </row>
    <row r="34" spans="1:7">
      <c r="A34" t="s">
        <v>1038</v>
      </c>
      <c r="B34" s="49">
        <v>942</v>
      </c>
      <c r="C34" s="49">
        <v>629</v>
      </c>
      <c r="D34" s="49">
        <v>264</v>
      </c>
      <c r="E34" s="55">
        <v>16</v>
      </c>
      <c r="F34" s="55">
        <v>38</v>
      </c>
      <c r="G34" s="55">
        <v>73</v>
      </c>
    </row>
    <row r="35" spans="1:7">
      <c r="A35" t="s">
        <v>1039</v>
      </c>
      <c r="B35" s="49">
        <v>1863</v>
      </c>
      <c r="C35" s="49">
        <v>443</v>
      </c>
      <c r="D35" s="49">
        <v>1084</v>
      </c>
      <c r="E35" s="55">
        <v>63</v>
      </c>
      <c r="F35" s="55">
        <v>17</v>
      </c>
      <c r="G35" s="55">
        <v>157</v>
      </c>
    </row>
    <row r="36" spans="1:7">
      <c r="A36" t="s">
        <v>1040</v>
      </c>
      <c r="B36" s="49">
        <v>362</v>
      </c>
      <c r="C36" s="49">
        <v>460</v>
      </c>
      <c r="D36" s="49">
        <v>120</v>
      </c>
      <c r="E36" s="55">
        <v>21</v>
      </c>
      <c r="F36" s="55">
        <v>6</v>
      </c>
      <c r="G36" s="55">
        <v>36</v>
      </c>
    </row>
    <row r="37" spans="1:7">
      <c r="A37" t="s">
        <v>1041</v>
      </c>
      <c r="B37" s="49"/>
      <c r="C37" s="49">
        <v>148</v>
      </c>
      <c r="D37" s="49">
        <v>87</v>
      </c>
      <c r="E37" s="55"/>
      <c r="F37" s="55">
        <v>9</v>
      </c>
      <c r="G37" s="55">
        <v>32</v>
      </c>
    </row>
    <row r="38" spans="1:7">
      <c r="A38" t="s">
        <v>1042</v>
      </c>
      <c r="B38" s="49">
        <v>3</v>
      </c>
      <c r="C38" s="49">
        <v>482</v>
      </c>
      <c r="D38" s="49">
        <v>187</v>
      </c>
      <c r="E38" s="55">
        <v>1</v>
      </c>
      <c r="F38" s="55">
        <v>20</v>
      </c>
      <c r="G38" s="55">
        <v>53</v>
      </c>
    </row>
    <row r="39" spans="1:7">
      <c r="A39" t="s">
        <v>1043</v>
      </c>
      <c r="B39" s="49">
        <v>4</v>
      </c>
      <c r="C39" s="49"/>
      <c r="D39" s="49">
        <v>76</v>
      </c>
      <c r="E39" s="55">
        <v>2</v>
      </c>
      <c r="F39" s="55"/>
      <c r="G39" s="55">
        <v>12</v>
      </c>
    </row>
    <row r="40" spans="1:7">
      <c r="A40" t="s">
        <v>1044</v>
      </c>
      <c r="B40" s="49">
        <v>4160</v>
      </c>
      <c r="C40" s="49">
        <v>28</v>
      </c>
      <c r="D40" s="49">
        <v>242</v>
      </c>
      <c r="E40" s="55">
        <v>79</v>
      </c>
      <c r="F40" s="55">
        <v>3</v>
      </c>
      <c r="G40" s="55">
        <v>54</v>
      </c>
    </row>
    <row r="41" spans="1:7">
      <c r="A41" t="s">
        <v>1045</v>
      </c>
      <c r="B41" s="49">
        <v>2874</v>
      </c>
      <c r="C41" s="49">
        <v>45</v>
      </c>
      <c r="D41" s="49">
        <v>205</v>
      </c>
      <c r="E41" s="55">
        <v>40</v>
      </c>
      <c r="F41" s="55">
        <v>2</v>
      </c>
      <c r="G41" s="55">
        <v>34</v>
      </c>
    </row>
    <row r="42" spans="1:7">
      <c r="A42" t="s">
        <v>1046</v>
      </c>
      <c r="B42" s="49">
        <v>2202</v>
      </c>
      <c r="C42" s="49">
        <v>69</v>
      </c>
      <c r="D42" s="49">
        <v>291</v>
      </c>
      <c r="E42" s="55">
        <v>21</v>
      </c>
      <c r="F42" s="55">
        <v>5</v>
      </c>
      <c r="G42" s="55">
        <v>54</v>
      </c>
    </row>
    <row r="43" spans="1:7">
      <c r="A43" t="s">
        <v>1047</v>
      </c>
      <c r="B43" s="49">
        <v>1238</v>
      </c>
      <c r="C43" s="49">
        <v>386</v>
      </c>
      <c r="D43" s="49">
        <v>486</v>
      </c>
      <c r="E43" s="55">
        <v>39</v>
      </c>
      <c r="F43" s="55">
        <v>16</v>
      </c>
      <c r="G43" s="55">
        <v>118</v>
      </c>
    </row>
    <row r="44" spans="1:7">
      <c r="A44" t="s">
        <v>1048</v>
      </c>
      <c r="B44" s="49">
        <v>16989</v>
      </c>
      <c r="C44" s="49">
        <v>315</v>
      </c>
      <c r="D44" s="49">
        <v>493</v>
      </c>
      <c r="E44" s="55">
        <v>396</v>
      </c>
      <c r="F44" s="55">
        <v>15</v>
      </c>
      <c r="G44" s="55">
        <v>127</v>
      </c>
    </row>
    <row r="45" spans="1:7">
      <c r="A45" t="s">
        <v>1049</v>
      </c>
      <c r="B45" s="49">
        <v>2747</v>
      </c>
      <c r="C45" s="49">
        <v>1903</v>
      </c>
      <c r="D45" s="49">
        <v>586</v>
      </c>
      <c r="E45" s="55">
        <v>53</v>
      </c>
      <c r="F45" s="55">
        <v>97</v>
      </c>
      <c r="G45" s="55">
        <v>112</v>
      </c>
    </row>
    <row r="46" spans="1:7">
      <c r="A46" t="s">
        <v>1050</v>
      </c>
      <c r="B46" s="49">
        <v>295</v>
      </c>
      <c r="C46" s="49">
        <v>180</v>
      </c>
      <c r="D46" s="49">
        <v>473</v>
      </c>
      <c r="E46" s="55">
        <v>12</v>
      </c>
      <c r="F46" s="55">
        <v>6</v>
      </c>
      <c r="G46" s="55">
        <v>88</v>
      </c>
    </row>
    <row r="47" spans="1:7">
      <c r="A47" t="s">
        <v>1051</v>
      </c>
      <c r="B47" s="49">
        <v>1148</v>
      </c>
      <c r="C47" s="49">
        <v>568</v>
      </c>
      <c r="D47" s="49">
        <v>59</v>
      </c>
      <c r="E47" s="55">
        <v>22</v>
      </c>
      <c r="F47" s="55">
        <v>37</v>
      </c>
      <c r="G47" s="55">
        <v>14</v>
      </c>
    </row>
    <row r="48" spans="1:7">
      <c r="A48" t="s">
        <v>1052</v>
      </c>
      <c r="B48" s="49">
        <v>21</v>
      </c>
      <c r="C48" s="49">
        <v>266</v>
      </c>
      <c r="D48" s="49">
        <v>64</v>
      </c>
      <c r="E48" s="55">
        <v>10</v>
      </c>
      <c r="F48" s="55">
        <v>8</v>
      </c>
      <c r="G48" s="55">
        <v>19</v>
      </c>
    </row>
    <row r="49" spans="1:7">
      <c r="A49" t="s">
        <v>1053</v>
      </c>
      <c r="B49" s="49">
        <v>787</v>
      </c>
      <c r="C49" s="49">
        <v>801</v>
      </c>
      <c r="D49" s="49">
        <v>706</v>
      </c>
      <c r="E49" s="55">
        <v>40</v>
      </c>
      <c r="F49" s="55">
        <v>31</v>
      </c>
      <c r="G49" s="55">
        <v>125</v>
      </c>
    </row>
    <row r="50" spans="1:7">
      <c r="A50" t="s">
        <v>1054</v>
      </c>
      <c r="B50" s="49">
        <v>22935</v>
      </c>
      <c r="C50" s="49">
        <v>1286</v>
      </c>
      <c r="D50" s="49">
        <v>320</v>
      </c>
      <c r="E50" s="55">
        <v>535</v>
      </c>
      <c r="F50" s="55">
        <v>46</v>
      </c>
      <c r="G50" s="55">
        <v>62</v>
      </c>
    </row>
    <row r="51" spans="1:7">
      <c r="A51" t="s">
        <v>1055</v>
      </c>
      <c r="B51" s="49">
        <v>60823</v>
      </c>
      <c r="C51" s="49">
        <v>11482</v>
      </c>
      <c r="D51" s="49">
        <v>5050</v>
      </c>
      <c r="E51" s="55">
        <v>1254</v>
      </c>
      <c r="F51" s="55">
        <v>646</v>
      </c>
      <c r="G51" s="55">
        <v>1054</v>
      </c>
    </row>
    <row r="52" spans="1:7">
      <c r="A52" t="s">
        <v>1056</v>
      </c>
      <c r="B52" s="49">
        <v>18667</v>
      </c>
      <c r="C52" s="49">
        <v>1537</v>
      </c>
      <c r="D52" s="49">
        <v>589</v>
      </c>
      <c r="E52" s="55">
        <v>409</v>
      </c>
      <c r="F52" s="55">
        <v>94</v>
      </c>
      <c r="G52" s="55">
        <v>173</v>
      </c>
    </row>
    <row r="53" spans="1:7">
      <c r="A53" t="s">
        <v>1057</v>
      </c>
      <c r="B53" s="49">
        <v>24938</v>
      </c>
      <c r="C53" s="49">
        <v>521</v>
      </c>
      <c r="D53" s="49">
        <v>775</v>
      </c>
      <c r="E53" s="55">
        <v>407</v>
      </c>
      <c r="F53" s="55">
        <v>25</v>
      </c>
      <c r="G53" s="55">
        <v>155</v>
      </c>
    </row>
    <row r="54" spans="1:7">
      <c r="A54" t="s">
        <v>1058</v>
      </c>
      <c r="B54" s="49">
        <v>262</v>
      </c>
      <c r="C54" s="49">
        <v>227</v>
      </c>
      <c r="D54" s="49">
        <v>152</v>
      </c>
      <c r="E54" s="55">
        <v>12</v>
      </c>
      <c r="F54" s="55">
        <v>10</v>
      </c>
      <c r="G54" s="55">
        <v>28</v>
      </c>
    </row>
    <row r="55" spans="1:7">
      <c r="A55" t="s">
        <v>1059</v>
      </c>
      <c r="B55" s="49">
        <v>1829</v>
      </c>
      <c r="C55" s="49">
        <v>78</v>
      </c>
      <c r="D55" s="49">
        <v>132</v>
      </c>
      <c r="E55" s="55">
        <v>57</v>
      </c>
      <c r="F55" s="55">
        <v>5</v>
      </c>
      <c r="G55" s="55">
        <v>23</v>
      </c>
    </row>
    <row r="56" spans="1:7">
      <c r="A56" t="s">
        <v>1060</v>
      </c>
      <c r="B56" s="49">
        <v>2307</v>
      </c>
      <c r="C56" s="49">
        <v>216</v>
      </c>
      <c r="D56" s="49">
        <v>236</v>
      </c>
      <c r="E56" s="55">
        <v>48</v>
      </c>
      <c r="F56" s="55">
        <v>13</v>
      </c>
      <c r="G56" s="55">
        <v>45</v>
      </c>
    </row>
    <row r="57" spans="1:7">
      <c r="A57" t="s">
        <v>1061</v>
      </c>
      <c r="B57" s="49">
        <v>3314</v>
      </c>
      <c r="C57" s="49">
        <v>490</v>
      </c>
      <c r="D57" s="49">
        <v>245</v>
      </c>
      <c r="E57" s="55">
        <v>151</v>
      </c>
      <c r="F57" s="55">
        <v>26</v>
      </c>
      <c r="G57" s="55">
        <v>59</v>
      </c>
    </row>
    <row r="58" spans="1:7">
      <c r="A58" t="s">
        <v>1062</v>
      </c>
      <c r="B58" s="49">
        <v>5254</v>
      </c>
      <c r="C58" s="49">
        <v>182</v>
      </c>
      <c r="D58" s="49">
        <v>846</v>
      </c>
      <c r="E58" s="55">
        <v>162</v>
      </c>
      <c r="F58" s="55">
        <v>3</v>
      </c>
      <c r="G58" s="55">
        <v>137</v>
      </c>
    </row>
    <row r="59" spans="1:7">
      <c r="A59" t="s">
        <v>1063</v>
      </c>
      <c r="B59" s="49">
        <v>3923</v>
      </c>
      <c r="C59" s="49">
        <v>13</v>
      </c>
      <c r="D59" s="49">
        <v>544</v>
      </c>
      <c r="E59" s="55">
        <v>50</v>
      </c>
      <c r="F59" s="55">
        <v>2</v>
      </c>
      <c r="G59" s="55">
        <v>77</v>
      </c>
    </row>
    <row r="60" spans="1:7">
      <c r="A60" t="s">
        <v>1064</v>
      </c>
      <c r="B60" s="49">
        <v>1407</v>
      </c>
      <c r="C60" s="49">
        <v>436</v>
      </c>
      <c r="D60" s="49">
        <v>348</v>
      </c>
      <c r="E60" s="55">
        <v>43</v>
      </c>
      <c r="F60" s="55">
        <v>15</v>
      </c>
      <c r="G60" s="55">
        <v>83</v>
      </c>
    </row>
    <row r="61" spans="1:7">
      <c r="A61" t="s">
        <v>1065</v>
      </c>
      <c r="B61" s="49">
        <v>1169</v>
      </c>
      <c r="C61" s="49">
        <v>792</v>
      </c>
      <c r="D61" s="49">
        <v>439</v>
      </c>
      <c r="E61" s="55">
        <v>24</v>
      </c>
      <c r="F61" s="55">
        <v>34</v>
      </c>
      <c r="G61" s="55">
        <v>132</v>
      </c>
    </row>
    <row r="62" spans="1:7">
      <c r="A62" t="s">
        <v>1066</v>
      </c>
      <c r="B62" s="49">
        <v>259</v>
      </c>
      <c r="C62" s="49">
        <v>1392</v>
      </c>
      <c r="D62" s="49">
        <v>305</v>
      </c>
      <c r="E62" s="55">
        <v>6</v>
      </c>
      <c r="F62" s="55">
        <v>44</v>
      </c>
      <c r="G62" s="55">
        <v>57</v>
      </c>
    </row>
    <row r="63" spans="1:7">
      <c r="A63" t="s">
        <v>1067</v>
      </c>
      <c r="B63" s="49">
        <v>4</v>
      </c>
      <c r="C63" s="49">
        <v>3242</v>
      </c>
      <c r="D63" s="49">
        <v>450</v>
      </c>
      <c r="E63" s="55">
        <v>1</v>
      </c>
      <c r="F63" s="55">
        <v>72</v>
      </c>
      <c r="G63" s="55">
        <v>104</v>
      </c>
    </row>
    <row r="64" spans="1:7">
      <c r="A64" t="s">
        <v>1068</v>
      </c>
      <c r="B64" s="49">
        <v>11</v>
      </c>
      <c r="C64" s="49">
        <v>2218</v>
      </c>
      <c r="D64" s="49">
        <v>522</v>
      </c>
      <c r="E64" s="55">
        <v>4</v>
      </c>
      <c r="F64" s="55">
        <v>63</v>
      </c>
      <c r="G64" s="55">
        <v>117</v>
      </c>
    </row>
    <row r="65" spans="1:7">
      <c r="A65" t="s">
        <v>1069</v>
      </c>
      <c r="B65" s="49">
        <v>26</v>
      </c>
      <c r="C65" s="49">
        <v>342</v>
      </c>
      <c r="D65" s="49">
        <v>307</v>
      </c>
      <c r="E65" s="55">
        <v>3</v>
      </c>
      <c r="F65" s="55">
        <v>14</v>
      </c>
      <c r="G65" s="55">
        <v>84</v>
      </c>
    </row>
    <row r="66" spans="1:7">
      <c r="A66" t="s">
        <v>1070</v>
      </c>
      <c r="B66" s="49">
        <v>109</v>
      </c>
      <c r="C66" s="49">
        <v>1607</v>
      </c>
      <c r="D66" s="49">
        <v>776</v>
      </c>
      <c r="E66" s="55">
        <v>10</v>
      </c>
      <c r="F66" s="55">
        <v>50</v>
      </c>
      <c r="G66" s="55">
        <v>183</v>
      </c>
    </row>
    <row r="67" spans="1:7">
      <c r="A67" t="s">
        <v>1071</v>
      </c>
      <c r="B67" s="49">
        <v>22</v>
      </c>
      <c r="C67" s="49">
        <v>5449</v>
      </c>
      <c r="D67" s="49">
        <v>1979</v>
      </c>
      <c r="E67" s="55">
        <v>7</v>
      </c>
      <c r="F67" s="55">
        <v>198</v>
      </c>
      <c r="G67" s="55">
        <v>481</v>
      </c>
    </row>
    <row r="68" spans="1:7">
      <c r="A68" t="s">
        <v>1072</v>
      </c>
      <c r="B68" s="49">
        <v>2091</v>
      </c>
      <c r="C68" s="49">
        <v>8702</v>
      </c>
      <c r="D68" s="49">
        <v>884</v>
      </c>
      <c r="E68" s="55">
        <v>29</v>
      </c>
      <c r="F68" s="55">
        <v>329</v>
      </c>
      <c r="G68" s="55">
        <v>249</v>
      </c>
    </row>
    <row r="69" spans="1:7">
      <c r="A69" t="s">
        <v>1073</v>
      </c>
      <c r="B69" s="49">
        <v>2</v>
      </c>
      <c r="C69" s="49">
        <v>8358</v>
      </c>
      <c r="D69" s="49">
        <v>990</v>
      </c>
      <c r="E69" s="55">
        <v>1</v>
      </c>
      <c r="F69" s="55">
        <v>294</v>
      </c>
      <c r="G69" s="55">
        <v>244</v>
      </c>
    </row>
    <row r="70" spans="1:7">
      <c r="A70" t="s">
        <v>1074</v>
      </c>
      <c r="B70" s="49">
        <v>14</v>
      </c>
      <c r="C70" s="49">
        <v>2623</v>
      </c>
      <c r="D70" s="49">
        <v>602</v>
      </c>
      <c r="E70" s="55">
        <v>3</v>
      </c>
      <c r="F70" s="55">
        <v>115</v>
      </c>
      <c r="G70" s="55">
        <v>197</v>
      </c>
    </row>
    <row r="71" spans="1:7">
      <c r="A71" t="s">
        <v>1075</v>
      </c>
      <c r="B71" s="49">
        <v>167</v>
      </c>
      <c r="C71" s="49">
        <v>4420</v>
      </c>
      <c r="D71" s="49">
        <v>1069</v>
      </c>
      <c r="E71" s="55">
        <v>15</v>
      </c>
      <c r="F71" s="55">
        <v>196</v>
      </c>
      <c r="G71" s="55">
        <v>248</v>
      </c>
    </row>
    <row r="72" spans="1:7">
      <c r="A72" t="s">
        <v>1076</v>
      </c>
      <c r="B72" s="49">
        <v>313</v>
      </c>
      <c r="C72" s="49">
        <v>5838</v>
      </c>
      <c r="D72" s="49">
        <v>2424</v>
      </c>
      <c r="E72" s="55">
        <v>25</v>
      </c>
      <c r="F72" s="55">
        <v>230</v>
      </c>
      <c r="G72" s="55">
        <v>577</v>
      </c>
    </row>
    <row r="73" spans="1:7">
      <c r="A73" t="s">
        <v>1077</v>
      </c>
      <c r="B73" s="49">
        <v>4</v>
      </c>
      <c r="C73" s="49">
        <v>6230</v>
      </c>
      <c r="D73" s="49">
        <v>1430</v>
      </c>
      <c r="E73" s="55">
        <v>2</v>
      </c>
      <c r="F73" s="55">
        <v>174</v>
      </c>
      <c r="G73" s="55">
        <v>360</v>
      </c>
    </row>
    <row r="74" spans="1:7">
      <c r="A74" t="s">
        <v>1078</v>
      </c>
      <c r="B74" s="49">
        <v>276</v>
      </c>
      <c r="C74" s="49">
        <v>10627</v>
      </c>
      <c r="D74" s="49">
        <v>2565</v>
      </c>
      <c r="E74" s="55">
        <v>19</v>
      </c>
      <c r="F74" s="55">
        <v>364</v>
      </c>
      <c r="G74" s="55">
        <v>626</v>
      </c>
    </row>
    <row r="75" spans="1:7">
      <c r="A75" t="s">
        <v>1079</v>
      </c>
      <c r="B75" s="49">
        <v>11754</v>
      </c>
      <c r="C75" s="49">
        <v>2435</v>
      </c>
      <c r="D75" s="49">
        <v>1108</v>
      </c>
      <c r="E75" s="55">
        <v>354</v>
      </c>
      <c r="F75" s="55">
        <v>115</v>
      </c>
      <c r="G75" s="55">
        <v>289</v>
      </c>
    </row>
    <row r="76" spans="1:7">
      <c r="A76" t="s">
        <v>1080</v>
      </c>
      <c r="B76" s="49">
        <v>704</v>
      </c>
      <c r="C76" s="49">
        <v>4985</v>
      </c>
      <c r="D76" s="49">
        <v>1504</v>
      </c>
      <c r="E76" s="55">
        <v>34</v>
      </c>
      <c r="F76" s="55">
        <v>252</v>
      </c>
      <c r="G76" s="55">
        <v>430</v>
      </c>
    </row>
    <row r="77" spans="1:7">
      <c r="A77" t="s">
        <v>1081</v>
      </c>
      <c r="B77" s="49">
        <v>63</v>
      </c>
      <c r="C77" s="49">
        <v>6348</v>
      </c>
      <c r="D77" s="49">
        <v>1625</v>
      </c>
      <c r="E77" s="55">
        <v>13</v>
      </c>
      <c r="F77" s="55">
        <v>288</v>
      </c>
      <c r="G77" s="55">
        <v>431</v>
      </c>
    </row>
    <row r="78" spans="1:7">
      <c r="A78" t="s">
        <v>1082</v>
      </c>
      <c r="B78" s="49">
        <v>394</v>
      </c>
      <c r="C78" s="49">
        <v>6123</v>
      </c>
      <c r="D78" s="49">
        <v>1586</v>
      </c>
      <c r="E78" s="55">
        <v>12</v>
      </c>
      <c r="F78" s="55">
        <v>274</v>
      </c>
      <c r="G78" s="55">
        <v>350</v>
      </c>
    </row>
    <row r="79" spans="1:7">
      <c r="A79" t="s">
        <v>1083</v>
      </c>
      <c r="B79" s="49">
        <v>44</v>
      </c>
      <c r="C79" s="49">
        <v>4629</v>
      </c>
      <c r="D79" s="49">
        <v>1287</v>
      </c>
      <c r="E79" s="55">
        <v>9</v>
      </c>
      <c r="F79" s="55">
        <v>232</v>
      </c>
      <c r="G79" s="55">
        <v>311</v>
      </c>
    </row>
    <row r="80" spans="1:7">
      <c r="A80" t="s">
        <v>1084</v>
      </c>
      <c r="B80" s="49">
        <v>2533</v>
      </c>
      <c r="C80" s="49">
        <v>6141</v>
      </c>
      <c r="D80" s="49">
        <v>1000</v>
      </c>
      <c r="E80" s="55">
        <v>53</v>
      </c>
      <c r="F80" s="55">
        <v>221</v>
      </c>
      <c r="G80" s="55">
        <v>265</v>
      </c>
    </row>
    <row r="81" spans="1:7">
      <c r="A81" t="s">
        <v>1085</v>
      </c>
      <c r="B81" s="49">
        <v>5284</v>
      </c>
      <c r="C81" s="49">
        <v>6494</v>
      </c>
      <c r="D81" s="49">
        <v>1638</v>
      </c>
      <c r="E81" s="55">
        <v>111</v>
      </c>
      <c r="F81" s="55">
        <v>316</v>
      </c>
      <c r="G81" s="55">
        <v>404</v>
      </c>
    </row>
    <row r="82" spans="1:7">
      <c r="A82" t="s">
        <v>1086</v>
      </c>
      <c r="B82" s="49">
        <v>6259</v>
      </c>
      <c r="C82" s="49">
        <v>3911</v>
      </c>
      <c r="D82" s="49">
        <v>1301</v>
      </c>
      <c r="E82" s="55">
        <v>189</v>
      </c>
      <c r="F82" s="55">
        <v>193</v>
      </c>
      <c r="G82" s="55">
        <v>313</v>
      </c>
    </row>
    <row r="83" spans="1:7">
      <c r="A83" t="s">
        <v>1087</v>
      </c>
      <c r="B83" s="49">
        <v>3769</v>
      </c>
      <c r="C83" s="49">
        <v>7335</v>
      </c>
      <c r="D83" s="49">
        <v>2952</v>
      </c>
      <c r="E83" s="55">
        <v>56</v>
      </c>
      <c r="F83" s="55">
        <v>313</v>
      </c>
      <c r="G83" s="55">
        <v>753</v>
      </c>
    </row>
    <row r="84" spans="1:7">
      <c r="A84" t="s">
        <v>1088</v>
      </c>
      <c r="B84" s="49">
        <v>10492</v>
      </c>
      <c r="C84" s="49">
        <v>5189</v>
      </c>
      <c r="D84" s="49">
        <v>2729</v>
      </c>
      <c r="E84" s="55">
        <v>171</v>
      </c>
      <c r="F84" s="55">
        <v>262</v>
      </c>
      <c r="G84" s="55">
        <v>461</v>
      </c>
    </row>
    <row r="85" spans="1:7">
      <c r="A85" t="s">
        <v>1089</v>
      </c>
      <c r="B85" s="49">
        <v>3112</v>
      </c>
      <c r="C85" s="49">
        <v>3033</v>
      </c>
      <c r="D85" s="49">
        <v>1177</v>
      </c>
      <c r="E85" s="55">
        <v>104</v>
      </c>
      <c r="F85" s="55">
        <v>132</v>
      </c>
      <c r="G85" s="55">
        <v>290</v>
      </c>
    </row>
    <row r="86" spans="1:7">
      <c r="A86" t="s">
        <v>1090</v>
      </c>
      <c r="B86" s="49">
        <v>1016</v>
      </c>
      <c r="C86" s="49">
        <v>1690</v>
      </c>
      <c r="D86" s="49">
        <v>599</v>
      </c>
      <c r="E86" s="55">
        <v>23</v>
      </c>
      <c r="F86" s="55">
        <v>69</v>
      </c>
      <c r="G86" s="55">
        <v>117</v>
      </c>
    </row>
    <row r="87" spans="1:7">
      <c r="A87" t="s">
        <v>1091</v>
      </c>
      <c r="B87" s="49">
        <v>794</v>
      </c>
      <c r="C87" s="49">
        <v>2685</v>
      </c>
      <c r="D87" s="49">
        <v>554</v>
      </c>
      <c r="E87" s="55">
        <v>15</v>
      </c>
      <c r="F87" s="55">
        <v>82</v>
      </c>
      <c r="G87" s="55">
        <v>113</v>
      </c>
    </row>
    <row r="88" spans="1:7">
      <c r="A88" t="s">
        <v>1092</v>
      </c>
      <c r="B88" s="49">
        <v>10149</v>
      </c>
      <c r="C88" s="49">
        <v>2206</v>
      </c>
      <c r="D88" s="49">
        <v>2511</v>
      </c>
      <c r="E88" s="55">
        <v>196</v>
      </c>
      <c r="F88" s="55">
        <v>115</v>
      </c>
      <c r="G88" s="55">
        <v>312</v>
      </c>
    </row>
    <row r="89" spans="1:7">
      <c r="A89" t="s">
        <v>1093</v>
      </c>
      <c r="B89" s="49"/>
      <c r="C89" s="49">
        <v>1664</v>
      </c>
      <c r="D89" s="49">
        <v>268</v>
      </c>
      <c r="E89" s="55"/>
      <c r="F89" s="55">
        <v>68</v>
      </c>
      <c r="G89" s="55">
        <v>50</v>
      </c>
    </row>
    <row r="90" spans="1:7">
      <c r="A90" t="s">
        <v>1094</v>
      </c>
      <c r="B90" s="49">
        <v>154</v>
      </c>
      <c r="C90" s="49">
        <v>4149</v>
      </c>
      <c r="D90" s="49">
        <v>992</v>
      </c>
      <c r="E90" s="55">
        <v>12</v>
      </c>
      <c r="F90" s="55">
        <v>207</v>
      </c>
      <c r="G90" s="55">
        <v>244</v>
      </c>
    </row>
    <row r="91" spans="1:7">
      <c r="A91" t="s">
        <v>1095</v>
      </c>
      <c r="B91" s="49">
        <v>486</v>
      </c>
      <c r="C91" s="49">
        <v>1879</v>
      </c>
      <c r="D91" s="49">
        <v>567</v>
      </c>
      <c r="E91" s="55">
        <v>19</v>
      </c>
      <c r="F91" s="55">
        <v>81</v>
      </c>
      <c r="G91" s="55">
        <v>121</v>
      </c>
    </row>
    <row r="92" spans="1:7">
      <c r="A92" t="s">
        <v>1096</v>
      </c>
      <c r="B92" s="49">
        <v>3</v>
      </c>
      <c r="C92" s="49">
        <v>1625</v>
      </c>
      <c r="D92" s="49">
        <v>661</v>
      </c>
      <c r="E92" s="55">
        <v>1</v>
      </c>
      <c r="F92" s="55">
        <v>75</v>
      </c>
      <c r="G92" s="55">
        <v>157</v>
      </c>
    </row>
    <row r="93" spans="1:7">
      <c r="A93" t="s">
        <v>1097</v>
      </c>
      <c r="B93" s="49">
        <v>25</v>
      </c>
      <c r="C93" s="49">
        <v>5301</v>
      </c>
      <c r="D93" s="49">
        <v>628</v>
      </c>
      <c r="E93" s="55">
        <v>4</v>
      </c>
      <c r="F93" s="55">
        <v>217</v>
      </c>
      <c r="G93" s="55">
        <v>208</v>
      </c>
    </row>
    <row r="94" spans="1:7">
      <c r="A94" t="s">
        <v>1098</v>
      </c>
      <c r="B94" s="49"/>
      <c r="C94" s="49">
        <v>983</v>
      </c>
      <c r="D94" s="49">
        <v>508</v>
      </c>
      <c r="E94" s="55"/>
      <c r="F94" s="55">
        <v>57</v>
      </c>
      <c r="G94" s="55">
        <v>176</v>
      </c>
    </row>
    <row r="95" spans="1:7">
      <c r="A95" t="s">
        <v>1099</v>
      </c>
      <c r="B95" s="49">
        <v>92</v>
      </c>
      <c r="C95" s="49">
        <v>6092</v>
      </c>
      <c r="D95" s="49">
        <v>799</v>
      </c>
      <c r="E95" s="55">
        <v>7</v>
      </c>
      <c r="F95" s="55">
        <v>251</v>
      </c>
      <c r="G95" s="55">
        <v>238</v>
      </c>
    </row>
    <row r="96" spans="1:7">
      <c r="A96" t="s">
        <v>1100</v>
      </c>
      <c r="B96" s="49">
        <v>35</v>
      </c>
      <c r="C96" s="49">
        <v>3208</v>
      </c>
      <c r="D96" s="49">
        <v>409</v>
      </c>
      <c r="E96" s="55">
        <v>4</v>
      </c>
      <c r="F96" s="55">
        <v>126</v>
      </c>
      <c r="G96" s="55">
        <v>102</v>
      </c>
    </row>
    <row r="97" spans="1:7">
      <c r="A97" t="s">
        <v>1101</v>
      </c>
      <c r="B97" s="49">
        <v>20</v>
      </c>
      <c r="C97" s="49">
        <v>377</v>
      </c>
      <c r="D97" s="49">
        <v>207</v>
      </c>
      <c r="E97" s="55">
        <v>2</v>
      </c>
      <c r="F97" s="55">
        <v>15</v>
      </c>
      <c r="G97" s="55">
        <v>54</v>
      </c>
    </row>
    <row r="98" spans="1:7">
      <c r="A98" t="s">
        <v>1102</v>
      </c>
      <c r="B98" s="49">
        <v>1755</v>
      </c>
      <c r="C98" s="49">
        <v>853</v>
      </c>
      <c r="D98" s="49">
        <v>639</v>
      </c>
      <c r="E98" s="55">
        <v>35</v>
      </c>
      <c r="F98" s="55">
        <v>49</v>
      </c>
      <c r="G98" s="55">
        <v>101</v>
      </c>
    </row>
    <row r="99" spans="1:7">
      <c r="A99" t="s">
        <v>1103</v>
      </c>
      <c r="B99" s="49">
        <v>445</v>
      </c>
      <c r="C99" s="49">
        <v>2779</v>
      </c>
      <c r="D99" s="49">
        <v>517</v>
      </c>
      <c r="E99" s="55">
        <v>18</v>
      </c>
      <c r="F99" s="55">
        <v>188</v>
      </c>
      <c r="G99" s="55">
        <v>96</v>
      </c>
    </row>
    <row r="100" spans="1:7">
      <c r="A100" t="s">
        <v>1104</v>
      </c>
      <c r="B100" s="49">
        <v>463</v>
      </c>
      <c r="C100" s="49">
        <v>136</v>
      </c>
      <c r="D100" s="49">
        <v>108</v>
      </c>
      <c r="E100" s="55">
        <v>21</v>
      </c>
      <c r="F100" s="55">
        <v>10</v>
      </c>
      <c r="G100" s="55">
        <v>15</v>
      </c>
    </row>
    <row r="101" spans="1:7">
      <c r="A101" t="s">
        <v>1105</v>
      </c>
      <c r="B101" s="49">
        <v>48</v>
      </c>
      <c r="C101" s="49">
        <v>886</v>
      </c>
      <c r="D101" s="49">
        <v>3</v>
      </c>
      <c r="E101" s="55">
        <v>2</v>
      </c>
      <c r="F101" s="55">
        <v>39</v>
      </c>
      <c r="G101" s="55">
        <v>2</v>
      </c>
    </row>
    <row r="102" spans="1:7">
      <c r="A102" t="s">
        <v>1106</v>
      </c>
      <c r="B102" s="49">
        <v>315</v>
      </c>
      <c r="C102" s="49">
        <v>6287</v>
      </c>
      <c r="D102" s="49">
        <v>250</v>
      </c>
      <c r="E102" s="55">
        <v>16</v>
      </c>
      <c r="F102" s="55">
        <v>329</v>
      </c>
      <c r="G102" s="55">
        <v>73</v>
      </c>
    </row>
    <row r="103" spans="1:7">
      <c r="A103" t="s">
        <v>1107</v>
      </c>
      <c r="B103" s="49">
        <v>36</v>
      </c>
      <c r="C103" s="49">
        <v>3055</v>
      </c>
      <c r="D103" s="49">
        <v>858</v>
      </c>
      <c r="E103" s="55">
        <v>2</v>
      </c>
      <c r="F103" s="55">
        <v>149</v>
      </c>
      <c r="G103" s="55">
        <v>257</v>
      </c>
    </row>
    <row r="104" spans="1:7">
      <c r="A104" t="s">
        <v>1108</v>
      </c>
      <c r="B104" s="49">
        <v>33</v>
      </c>
      <c r="C104" s="49">
        <v>3105</v>
      </c>
      <c r="D104" s="49">
        <v>967</v>
      </c>
      <c r="E104" s="55">
        <v>4</v>
      </c>
      <c r="F104" s="55">
        <v>136</v>
      </c>
      <c r="G104" s="55">
        <v>275</v>
      </c>
    </row>
    <row r="105" spans="1:7">
      <c r="A105" t="s">
        <v>1109</v>
      </c>
      <c r="B105" s="49">
        <v>38</v>
      </c>
      <c r="C105" s="49">
        <v>12262</v>
      </c>
      <c r="D105" s="49">
        <v>1026</v>
      </c>
      <c r="E105" s="55">
        <v>4</v>
      </c>
      <c r="F105" s="55">
        <v>692</v>
      </c>
      <c r="G105" s="55">
        <v>284</v>
      </c>
    </row>
    <row r="106" spans="1:7">
      <c r="A106" t="s">
        <v>1110</v>
      </c>
      <c r="B106" s="49">
        <v>22</v>
      </c>
      <c r="C106" s="49">
        <v>8445</v>
      </c>
      <c r="D106" s="49">
        <v>390</v>
      </c>
      <c r="E106" s="55">
        <v>5</v>
      </c>
      <c r="F106" s="55">
        <v>299</v>
      </c>
      <c r="G106" s="55">
        <v>96</v>
      </c>
    </row>
    <row r="107" spans="1:7">
      <c r="A107" t="s">
        <v>1111</v>
      </c>
      <c r="B107" s="49">
        <v>1810</v>
      </c>
      <c r="C107" s="49">
        <v>2535</v>
      </c>
      <c r="D107" s="49">
        <v>735</v>
      </c>
      <c r="E107" s="55">
        <v>59</v>
      </c>
      <c r="F107" s="55">
        <v>99</v>
      </c>
      <c r="G107" s="55">
        <v>133</v>
      </c>
    </row>
    <row r="108" spans="1:7">
      <c r="A108" t="s">
        <v>1112</v>
      </c>
      <c r="B108" s="49">
        <v>77</v>
      </c>
      <c r="C108" s="49">
        <v>951</v>
      </c>
      <c r="D108" s="49">
        <v>127</v>
      </c>
      <c r="E108" s="55">
        <v>11</v>
      </c>
      <c r="F108" s="55">
        <v>69</v>
      </c>
      <c r="G108" s="55">
        <v>20</v>
      </c>
    </row>
    <row r="109" spans="1:7">
      <c r="A109" t="s">
        <v>1113</v>
      </c>
      <c r="B109" s="49">
        <v>493</v>
      </c>
      <c r="C109" s="49">
        <v>3358</v>
      </c>
      <c r="D109" s="49">
        <v>984</v>
      </c>
      <c r="E109" s="55">
        <v>34</v>
      </c>
      <c r="F109" s="55">
        <v>193</v>
      </c>
      <c r="G109" s="55">
        <v>170</v>
      </c>
    </row>
    <row r="110" spans="1:7">
      <c r="A110" t="s">
        <v>1114</v>
      </c>
      <c r="B110" s="49">
        <v>2692</v>
      </c>
      <c r="C110" s="49">
        <v>2511</v>
      </c>
      <c r="D110" s="49">
        <v>779</v>
      </c>
      <c r="E110" s="55">
        <v>23</v>
      </c>
      <c r="F110" s="55">
        <v>110</v>
      </c>
      <c r="G110" s="55">
        <v>150</v>
      </c>
    </row>
    <row r="111" spans="1:7">
      <c r="A111" t="s">
        <v>1115</v>
      </c>
      <c r="B111" s="49">
        <v>330</v>
      </c>
      <c r="C111" s="49">
        <v>69</v>
      </c>
      <c r="D111" s="49"/>
      <c r="E111" s="55">
        <v>46</v>
      </c>
      <c r="F111" s="55">
        <v>7</v>
      </c>
      <c r="G111" s="55"/>
    </row>
    <row r="112" spans="1:7">
      <c r="A112" t="s">
        <v>1116</v>
      </c>
      <c r="B112" s="49">
        <v>2</v>
      </c>
      <c r="C112" s="49">
        <v>3544</v>
      </c>
      <c r="D112" s="49">
        <v>439</v>
      </c>
      <c r="E112" s="55">
        <v>1</v>
      </c>
      <c r="F112" s="55">
        <v>136</v>
      </c>
      <c r="G112" s="55">
        <v>77</v>
      </c>
    </row>
    <row r="113" spans="1:7">
      <c r="A113" t="s">
        <v>1117</v>
      </c>
      <c r="B113" s="49">
        <v>766</v>
      </c>
      <c r="C113" s="49">
        <v>183</v>
      </c>
      <c r="D113" s="49">
        <v>86</v>
      </c>
      <c r="E113" s="55">
        <v>27</v>
      </c>
      <c r="F113" s="55">
        <v>8</v>
      </c>
      <c r="G113" s="55">
        <v>17</v>
      </c>
    </row>
    <row r="114" spans="1:7">
      <c r="A114" t="s">
        <v>1118</v>
      </c>
      <c r="B114" s="49">
        <v>267</v>
      </c>
      <c r="C114" s="49">
        <v>572</v>
      </c>
      <c r="D114" s="49">
        <v>317</v>
      </c>
      <c r="E114" s="55">
        <v>17</v>
      </c>
      <c r="F114" s="55">
        <v>28</v>
      </c>
      <c r="G114" s="55">
        <v>28</v>
      </c>
    </row>
    <row r="115" spans="1:7">
      <c r="A115" t="s">
        <v>1119</v>
      </c>
      <c r="B115" s="49"/>
      <c r="C115" s="49">
        <v>194</v>
      </c>
      <c r="D115" s="49">
        <v>10</v>
      </c>
      <c r="E115" s="55"/>
      <c r="F115" s="55">
        <v>14</v>
      </c>
      <c r="G115" s="55">
        <v>5</v>
      </c>
    </row>
    <row r="116" spans="1:7">
      <c r="A116" t="s">
        <v>1120</v>
      </c>
      <c r="B116" s="49">
        <v>69</v>
      </c>
      <c r="C116" s="49">
        <v>1391</v>
      </c>
      <c r="D116" s="49">
        <v>229</v>
      </c>
      <c r="E116" s="55">
        <v>8</v>
      </c>
      <c r="F116" s="55">
        <v>70</v>
      </c>
      <c r="G116" s="55">
        <v>55</v>
      </c>
    </row>
    <row r="117" spans="1:7">
      <c r="A117" t="s">
        <v>1121</v>
      </c>
      <c r="B117" s="49">
        <v>55</v>
      </c>
      <c r="C117" s="49">
        <v>6200</v>
      </c>
      <c r="D117" s="49">
        <v>341</v>
      </c>
      <c r="E117" s="55">
        <v>10</v>
      </c>
      <c r="F117" s="55">
        <v>379</v>
      </c>
      <c r="G117" s="55">
        <v>100</v>
      </c>
    </row>
    <row r="118" spans="1:7">
      <c r="A118" t="s">
        <v>1122</v>
      </c>
      <c r="B118" s="49">
        <v>1698</v>
      </c>
      <c r="C118" s="49">
        <v>951</v>
      </c>
      <c r="D118" s="49">
        <v>122</v>
      </c>
      <c r="E118" s="55">
        <v>67</v>
      </c>
      <c r="F118" s="55">
        <v>49</v>
      </c>
      <c r="G118" s="55">
        <v>36</v>
      </c>
    </row>
    <row r="119" spans="1:7">
      <c r="A119" t="s">
        <v>1123</v>
      </c>
      <c r="B119" s="49">
        <v>8116</v>
      </c>
      <c r="C119" s="49">
        <v>198</v>
      </c>
      <c r="D119" s="49">
        <v>155</v>
      </c>
      <c r="E119" s="55">
        <v>179</v>
      </c>
      <c r="F119" s="55">
        <v>16</v>
      </c>
      <c r="G119" s="55">
        <v>27</v>
      </c>
    </row>
    <row r="120" spans="1:7">
      <c r="A120" t="s">
        <v>1124</v>
      </c>
      <c r="B120" s="49">
        <v>28418</v>
      </c>
      <c r="C120" s="49">
        <v>2122</v>
      </c>
      <c r="D120" s="49">
        <v>1281</v>
      </c>
      <c r="E120" s="55">
        <v>661</v>
      </c>
      <c r="F120" s="55">
        <v>123</v>
      </c>
      <c r="G120" s="55">
        <v>245</v>
      </c>
    </row>
    <row r="121" spans="1:7">
      <c r="A121" t="s">
        <v>1125</v>
      </c>
      <c r="B121" s="49"/>
      <c r="C121" s="49">
        <v>20</v>
      </c>
      <c r="D121" s="49"/>
      <c r="E121" s="55"/>
      <c r="F121" s="55">
        <v>3</v>
      </c>
      <c r="G121" s="55"/>
    </row>
    <row r="122" spans="1:7">
      <c r="A122" t="s">
        <v>1126</v>
      </c>
      <c r="B122" s="49">
        <v>9483</v>
      </c>
      <c r="C122" s="49">
        <v>948</v>
      </c>
      <c r="D122" s="49">
        <v>1230</v>
      </c>
      <c r="E122" s="55">
        <v>219</v>
      </c>
      <c r="F122" s="55">
        <v>47</v>
      </c>
      <c r="G122" s="55">
        <v>152</v>
      </c>
    </row>
    <row r="123" spans="1:7">
      <c r="A123" t="s">
        <v>1127</v>
      </c>
      <c r="B123" s="49">
        <v>139</v>
      </c>
      <c r="C123" s="49">
        <v>454</v>
      </c>
      <c r="D123" s="49">
        <v>511</v>
      </c>
      <c r="E123" s="55">
        <v>16</v>
      </c>
      <c r="F123" s="55">
        <v>18</v>
      </c>
      <c r="G123" s="55">
        <v>110</v>
      </c>
    </row>
    <row r="124" spans="1:7">
      <c r="A124" t="s">
        <v>1128</v>
      </c>
      <c r="B124" s="49">
        <v>8766</v>
      </c>
      <c r="C124" s="49">
        <v>473</v>
      </c>
      <c r="D124" s="49">
        <v>326</v>
      </c>
      <c r="E124" s="55">
        <v>132</v>
      </c>
      <c r="F124" s="55">
        <v>25</v>
      </c>
      <c r="G124" s="55">
        <v>76</v>
      </c>
    </row>
    <row r="125" spans="1:7">
      <c r="A125" t="s">
        <v>1129</v>
      </c>
      <c r="B125" s="49">
        <v>25647</v>
      </c>
      <c r="C125" s="49">
        <v>1948</v>
      </c>
      <c r="D125" s="49">
        <v>1382</v>
      </c>
      <c r="E125" s="55">
        <v>529</v>
      </c>
      <c r="F125" s="55">
        <v>108</v>
      </c>
      <c r="G125" s="55">
        <v>241</v>
      </c>
    </row>
    <row r="126" spans="1:7">
      <c r="A126" t="s">
        <v>1130</v>
      </c>
      <c r="B126" s="49"/>
      <c r="C126" s="49">
        <v>11</v>
      </c>
      <c r="D126" s="49">
        <v>54</v>
      </c>
      <c r="E126" s="55"/>
      <c r="F126" s="55">
        <v>1</v>
      </c>
      <c r="G126" s="55">
        <v>15</v>
      </c>
    </row>
    <row r="127" spans="1:7">
      <c r="A127" t="s">
        <v>1131</v>
      </c>
      <c r="B127" s="49">
        <v>5</v>
      </c>
      <c r="C127" s="49">
        <v>565</v>
      </c>
      <c r="D127" s="49">
        <v>42</v>
      </c>
      <c r="E127" s="55">
        <v>2</v>
      </c>
      <c r="F127" s="55">
        <v>41</v>
      </c>
      <c r="G127" s="55">
        <v>10</v>
      </c>
    </row>
    <row r="128" spans="1:7">
      <c r="A128" t="s">
        <v>1132</v>
      </c>
      <c r="B128" s="49">
        <v>292</v>
      </c>
      <c r="C128" s="49">
        <v>133</v>
      </c>
      <c r="D128" s="49">
        <v>188</v>
      </c>
      <c r="E128" s="55">
        <v>8</v>
      </c>
      <c r="F128" s="55">
        <v>6</v>
      </c>
      <c r="G128" s="55">
        <v>40</v>
      </c>
    </row>
    <row r="129" spans="1:7">
      <c r="A129" t="s">
        <v>1133</v>
      </c>
      <c r="B129" s="49">
        <v>1362</v>
      </c>
      <c r="C129" s="49">
        <v>535</v>
      </c>
      <c r="D129" s="49">
        <v>1028</v>
      </c>
      <c r="E129" s="55">
        <v>18</v>
      </c>
      <c r="F129" s="55">
        <v>35</v>
      </c>
      <c r="G129" s="55">
        <v>175</v>
      </c>
    </row>
    <row r="130" spans="1:7">
      <c r="A130" t="s">
        <v>1134</v>
      </c>
      <c r="B130" s="49">
        <v>8</v>
      </c>
      <c r="C130" s="49">
        <v>973</v>
      </c>
      <c r="D130" s="49">
        <v>134</v>
      </c>
      <c r="E130" s="55">
        <v>3</v>
      </c>
      <c r="F130" s="55">
        <v>50</v>
      </c>
      <c r="G130" s="55">
        <v>37</v>
      </c>
    </row>
    <row r="131" spans="1:7">
      <c r="A131" t="s">
        <v>1135</v>
      </c>
      <c r="B131" s="49">
        <v>2214</v>
      </c>
      <c r="C131" s="49"/>
      <c r="D131" s="49">
        <v>414</v>
      </c>
      <c r="E131" s="55">
        <v>35</v>
      </c>
      <c r="F131" s="55"/>
      <c r="G131" s="55">
        <v>46</v>
      </c>
    </row>
    <row r="132" spans="1:7">
      <c r="A132" t="s">
        <v>1136</v>
      </c>
      <c r="B132" s="49">
        <v>1</v>
      </c>
      <c r="C132" s="49">
        <v>243</v>
      </c>
      <c r="D132" s="49">
        <v>240</v>
      </c>
      <c r="E132" s="55">
        <v>1</v>
      </c>
      <c r="F132" s="55">
        <v>15</v>
      </c>
      <c r="G132" s="55">
        <v>52</v>
      </c>
    </row>
    <row r="133" spans="1:7">
      <c r="A133" t="s">
        <v>1137</v>
      </c>
      <c r="B133" s="49">
        <v>25</v>
      </c>
      <c r="C133" s="49">
        <v>615</v>
      </c>
      <c r="D133" s="49">
        <v>55</v>
      </c>
      <c r="E133" s="55">
        <v>1</v>
      </c>
      <c r="F133" s="55">
        <v>10</v>
      </c>
      <c r="G133" s="55">
        <v>13</v>
      </c>
    </row>
    <row r="134" spans="1:7">
      <c r="A134" t="s">
        <v>1138</v>
      </c>
      <c r="B134" s="49">
        <v>8</v>
      </c>
      <c r="C134" s="49">
        <v>597</v>
      </c>
      <c r="D134" s="49">
        <v>152</v>
      </c>
      <c r="E134" s="55">
        <v>1</v>
      </c>
      <c r="F134" s="55">
        <v>26</v>
      </c>
      <c r="G134" s="55">
        <v>48</v>
      </c>
    </row>
    <row r="135" spans="1:7">
      <c r="A135" t="s">
        <v>1139</v>
      </c>
      <c r="B135" s="49">
        <v>1356</v>
      </c>
      <c r="C135" s="49">
        <v>1037</v>
      </c>
      <c r="D135" s="49">
        <v>281</v>
      </c>
      <c r="E135" s="55">
        <v>26</v>
      </c>
      <c r="F135" s="55">
        <v>63</v>
      </c>
      <c r="G135" s="55">
        <v>72</v>
      </c>
    </row>
    <row r="136" spans="1:7">
      <c r="A136" t="s">
        <v>1140</v>
      </c>
      <c r="B136" s="49">
        <v>7752</v>
      </c>
      <c r="C136" s="49">
        <v>741</v>
      </c>
      <c r="D136" s="49">
        <v>169</v>
      </c>
      <c r="E136" s="55">
        <v>170</v>
      </c>
      <c r="F136" s="55">
        <v>50</v>
      </c>
      <c r="G136" s="55">
        <v>30</v>
      </c>
    </row>
    <row r="137" spans="1:7">
      <c r="A137" t="s">
        <v>1141</v>
      </c>
      <c r="B137" s="49">
        <v>864</v>
      </c>
      <c r="C137" s="49">
        <v>822</v>
      </c>
      <c r="D137" s="49">
        <v>9</v>
      </c>
      <c r="E137" s="55">
        <v>26</v>
      </c>
      <c r="F137" s="55">
        <v>62</v>
      </c>
      <c r="G137" s="55">
        <v>6</v>
      </c>
    </row>
    <row r="138" spans="1:7">
      <c r="A138" t="s">
        <v>1142</v>
      </c>
      <c r="B138" s="49">
        <v>15</v>
      </c>
      <c r="C138" s="49">
        <v>1393</v>
      </c>
      <c r="D138" s="49">
        <v>245</v>
      </c>
      <c r="E138" s="55">
        <v>2</v>
      </c>
      <c r="F138" s="55">
        <v>73</v>
      </c>
      <c r="G138" s="55">
        <v>60</v>
      </c>
    </row>
    <row r="139" spans="1:7">
      <c r="A139" t="s">
        <v>1143</v>
      </c>
      <c r="B139" s="49">
        <v>12</v>
      </c>
      <c r="C139" s="49">
        <v>1916</v>
      </c>
      <c r="D139" s="49">
        <v>300</v>
      </c>
      <c r="E139" s="55">
        <v>1</v>
      </c>
      <c r="F139" s="55">
        <v>130</v>
      </c>
      <c r="G139" s="55">
        <v>81</v>
      </c>
    </row>
    <row r="140" spans="1:7">
      <c r="A140" t="s">
        <v>1144</v>
      </c>
      <c r="B140" s="49">
        <v>94</v>
      </c>
      <c r="C140" s="49">
        <v>2284</v>
      </c>
      <c r="D140" s="49">
        <v>304</v>
      </c>
      <c r="E140" s="55">
        <v>20</v>
      </c>
      <c r="F140" s="55">
        <v>118</v>
      </c>
      <c r="G140" s="55">
        <v>69</v>
      </c>
    </row>
    <row r="141" spans="1:7">
      <c r="A141" t="s">
        <v>1145</v>
      </c>
      <c r="B141" s="49">
        <v>27</v>
      </c>
      <c r="C141" s="49">
        <v>1798</v>
      </c>
      <c r="D141" s="49">
        <v>205</v>
      </c>
      <c r="E141" s="55">
        <v>5</v>
      </c>
      <c r="F141" s="55">
        <v>80</v>
      </c>
      <c r="G141" s="55">
        <v>46</v>
      </c>
    </row>
    <row r="142" spans="1:7">
      <c r="A142" t="s">
        <v>1146</v>
      </c>
      <c r="B142" s="49"/>
      <c r="C142" s="49">
        <v>630</v>
      </c>
      <c r="D142" s="49">
        <v>25</v>
      </c>
      <c r="E142" s="55"/>
      <c r="F142" s="55">
        <v>28</v>
      </c>
      <c r="G142" s="55">
        <v>8</v>
      </c>
    </row>
    <row r="143" spans="1:7">
      <c r="A143" t="s">
        <v>1147</v>
      </c>
      <c r="B143" s="49">
        <v>6</v>
      </c>
      <c r="C143" s="49">
        <v>1253</v>
      </c>
      <c r="D143" s="49">
        <v>83</v>
      </c>
      <c r="E143" s="55">
        <v>1</v>
      </c>
      <c r="F143" s="55">
        <v>65</v>
      </c>
      <c r="G143" s="55">
        <v>28</v>
      </c>
    </row>
    <row r="144" spans="1:7">
      <c r="A144" t="s">
        <v>1148</v>
      </c>
      <c r="B144" s="49">
        <v>6</v>
      </c>
      <c r="C144" s="49">
        <v>2637</v>
      </c>
      <c r="D144" s="49">
        <v>202</v>
      </c>
      <c r="E144" s="55">
        <v>1</v>
      </c>
      <c r="F144" s="55">
        <v>104</v>
      </c>
      <c r="G144" s="55">
        <v>42</v>
      </c>
    </row>
    <row r="145" spans="1:7">
      <c r="A145" t="s">
        <v>1149</v>
      </c>
      <c r="B145" s="49">
        <v>5</v>
      </c>
      <c r="C145" s="49">
        <v>1668</v>
      </c>
      <c r="D145" s="49">
        <v>231</v>
      </c>
      <c r="E145" s="55">
        <v>3</v>
      </c>
      <c r="F145" s="55">
        <v>78</v>
      </c>
      <c r="G145" s="55">
        <v>46</v>
      </c>
    </row>
    <row r="146" spans="1:7">
      <c r="A146" t="s">
        <v>1150</v>
      </c>
      <c r="B146" s="49"/>
      <c r="C146" s="49"/>
      <c r="D146" s="49">
        <v>49</v>
      </c>
      <c r="E146" s="55"/>
      <c r="F146" s="55"/>
      <c r="G146" s="55">
        <v>21</v>
      </c>
    </row>
    <row r="147" spans="1:7">
      <c r="A147" t="s">
        <v>1151</v>
      </c>
      <c r="B147" s="49">
        <v>6287</v>
      </c>
      <c r="C147" s="49">
        <v>541</v>
      </c>
      <c r="D147" s="49">
        <v>405</v>
      </c>
      <c r="E147" s="55">
        <v>68</v>
      </c>
      <c r="F147" s="55">
        <v>38</v>
      </c>
      <c r="G147" s="55">
        <v>73</v>
      </c>
    </row>
    <row r="148" spans="1:7">
      <c r="A148" t="s">
        <v>1152</v>
      </c>
      <c r="B148" s="49"/>
      <c r="C148" s="49">
        <v>357</v>
      </c>
      <c r="D148" s="49">
        <v>559</v>
      </c>
      <c r="E148" s="55"/>
      <c r="F148" s="55">
        <v>22</v>
      </c>
      <c r="G148" s="55">
        <v>132</v>
      </c>
    </row>
    <row r="149" spans="1:7">
      <c r="A149" t="s">
        <v>1153</v>
      </c>
      <c r="B149" s="49"/>
      <c r="C149" s="49">
        <v>339</v>
      </c>
      <c r="D149" s="49">
        <v>151</v>
      </c>
      <c r="E149" s="55"/>
      <c r="F149" s="55">
        <v>11</v>
      </c>
      <c r="G149" s="55">
        <v>44</v>
      </c>
    </row>
    <row r="150" spans="1:7">
      <c r="A150" t="s">
        <v>1154</v>
      </c>
      <c r="B150" s="49">
        <v>1947</v>
      </c>
      <c r="C150" s="49">
        <v>178</v>
      </c>
      <c r="D150" s="49">
        <v>24</v>
      </c>
      <c r="E150" s="55">
        <v>26</v>
      </c>
      <c r="F150" s="55">
        <v>25</v>
      </c>
      <c r="G150" s="55">
        <v>4</v>
      </c>
    </row>
    <row r="151" spans="1:7">
      <c r="A151" t="s">
        <v>1155</v>
      </c>
      <c r="B151" s="49">
        <v>3694</v>
      </c>
      <c r="C151" s="49">
        <v>781</v>
      </c>
      <c r="D151" s="49">
        <v>144</v>
      </c>
      <c r="E151" s="55">
        <v>102</v>
      </c>
      <c r="F151" s="55">
        <v>35</v>
      </c>
      <c r="G151" s="55">
        <v>42</v>
      </c>
    </row>
    <row r="152" spans="1:7">
      <c r="A152" t="s">
        <v>1156</v>
      </c>
      <c r="B152" s="49">
        <v>6</v>
      </c>
      <c r="C152" s="49">
        <v>131</v>
      </c>
      <c r="D152" s="49">
        <v>39</v>
      </c>
      <c r="E152" s="55">
        <v>1</v>
      </c>
      <c r="F152" s="55">
        <v>5</v>
      </c>
      <c r="G152" s="55">
        <v>11</v>
      </c>
    </row>
    <row r="153" spans="1:7">
      <c r="A153" t="s">
        <v>1157</v>
      </c>
      <c r="B153" s="49"/>
      <c r="C153" s="49"/>
      <c r="D153" s="49">
        <v>17</v>
      </c>
      <c r="E153" s="55"/>
      <c r="F153" s="55"/>
      <c r="G153" s="55">
        <v>5</v>
      </c>
    </row>
    <row r="154" spans="1:7">
      <c r="A154" t="s">
        <v>1158</v>
      </c>
      <c r="B154" s="49">
        <v>5</v>
      </c>
      <c r="C154" s="49">
        <v>368</v>
      </c>
      <c r="D154" s="49">
        <v>266</v>
      </c>
      <c r="E154" s="55">
        <v>2</v>
      </c>
      <c r="F154" s="55">
        <v>33</v>
      </c>
      <c r="G154" s="55">
        <v>55</v>
      </c>
    </row>
    <row r="155" spans="1:7">
      <c r="A155" t="s">
        <v>1159</v>
      </c>
      <c r="B155" s="49"/>
      <c r="C155" s="49">
        <v>1296</v>
      </c>
      <c r="D155" s="49">
        <v>335</v>
      </c>
      <c r="E155" s="55"/>
      <c r="F155" s="55">
        <v>64</v>
      </c>
      <c r="G155" s="55">
        <v>53</v>
      </c>
    </row>
    <row r="156" spans="1:7">
      <c r="A156" t="s">
        <v>1160</v>
      </c>
      <c r="B156" s="49">
        <v>9</v>
      </c>
      <c r="C156" s="49">
        <v>4</v>
      </c>
      <c r="D156" s="49">
        <v>134</v>
      </c>
      <c r="E156" s="55">
        <v>1</v>
      </c>
      <c r="F156" s="55">
        <v>1</v>
      </c>
      <c r="G156" s="55">
        <v>39</v>
      </c>
    </row>
    <row r="157" spans="1:7">
      <c r="A157" t="s">
        <v>1161</v>
      </c>
      <c r="B157" s="49"/>
      <c r="C157" s="49">
        <v>1743</v>
      </c>
      <c r="D157" s="49">
        <v>290</v>
      </c>
      <c r="E157" s="55"/>
      <c r="F157" s="55">
        <v>118</v>
      </c>
      <c r="G157" s="55">
        <v>68</v>
      </c>
    </row>
    <row r="158" spans="1:7">
      <c r="A158" t="s">
        <v>1162</v>
      </c>
      <c r="B158" s="49">
        <v>445</v>
      </c>
      <c r="C158" s="49">
        <v>1408</v>
      </c>
      <c r="D158" s="49">
        <v>124</v>
      </c>
      <c r="E158" s="55">
        <v>5</v>
      </c>
      <c r="F158" s="55">
        <v>75</v>
      </c>
      <c r="G158" s="55">
        <v>29</v>
      </c>
    </row>
    <row r="159" spans="1:7">
      <c r="A159" t="s">
        <v>1163</v>
      </c>
      <c r="B159" s="49"/>
      <c r="C159" s="49">
        <v>3841</v>
      </c>
      <c r="D159" s="49">
        <v>90</v>
      </c>
      <c r="E159" s="55"/>
      <c r="F159" s="55">
        <v>181</v>
      </c>
      <c r="G159" s="55">
        <v>24</v>
      </c>
    </row>
    <row r="160" spans="1:7">
      <c r="A160" t="s">
        <v>1164</v>
      </c>
      <c r="B160" s="49"/>
      <c r="C160" s="49">
        <v>477</v>
      </c>
      <c r="D160" s="49"/>
      <c r="E160" s="55"/>
      <c r="F160" s="55">
        <v>17</v>
      </c>
      <c r="G160" s="55"/>
    </row>
    <row r="161" spans="1:7">
      <c r="A161" t="s">
        <v>1165</v>
      </c>
      <c r="B161" s="49">
        <v>1342</v>
      </c>
      <c r="C161" s="49">
        <v>375</v>
      </c>
      <c r="D161" s="49">
        <v>36</v>
      </c>
      <c r="E161" s="55">
        <v>13</v>
      </c>
      <c r="F161" s="55">
        <v>15</v>
      </c>
      <c r="G161" s="55">
        <v>12</v>
      </c>
    </row>
    <row r="162" spans="1:7">
      <c r="A162" t="s">
        <v>1166</v>
      </c>
      <c r="B162" s="49">
        <v>1359</v>
      </c>
      <c r="C162" s="49">
        <v>512</v>
      </c>
      <c r="D162" s="49">
        <v>483</v>
      </c>
      <c r="E162" s="55">
        <v>18</v>
      </c>
      <c r="F162" s="55">
        <v>62</v>
      </c>
      <c r="G162" s="55">
        <v>108</v>
      </c>
    </row>
    <row r="163" spans="1:7">
      <c r="A163" t="s">
        <v>1167</v>
      </c>
      <c r="B163" s="49">
        <v>3530</v>
      </c>
      <c r="C163" s="49">
        <v>2981</v>
      </c>
      <c r="D163" s="49">
        <v>795</v>
      </c>
      <c r="E163" s="55">
        <v>35</v>
      </c>
      <c r="F163" s="55">
        <v>268</v>
      </c>
      <c r="G163" s="55">
        <v>155</v>
      </c>
    </row>
    <row r="164" spans="1:7">
      <c r="A164" t="s">
        <v>1168</v>
      </c>
      <c r="B164" s="49">
        <v>1833</v>
      </c>
      <c r="C164" s="49">
        <v>1941</v>
      </c>
      <c r="D164" s="49">
        <v>344</v>
      </c>
      <c r="E164" s="55">
        <v>30</v>
      </c>
      <c r="F164" s="55">
        <v>150</v>
      </c>
      <c r="G164" s="55">
        <v>73</v>
      </c>
    </row>
    <row r="165" spans="1:7">
      <c r="A165" t="s">
        <v>1169</v>
      </c>
      <c r="B165" s="49">
        <v>2643</v>
      </c>
      <c r="C165" s="49">
        <v>1146</v>
      </c>
      <c r="D165" s="49">
        <v>633</v>
      </c>
      <c r="E165" s="55">
        <v>35</v>
      </c>
      <c r="F165" s="55">
        <v>55</v>
      </c>
      <c r="G165" s="55">
        <v>138</v>
      </c>
    </row>
    <row r="166" spans="1:7">
      <c r="A166" t="s">
        <v>1170</v>
      </c>
      <c r="B166" s="49">
        <v>170</v>
      </c>
      <c r="C166" s="49">
        <v>531</v>
      </c>
      <c r="D166" s="49">
        <v>615</v>
      </c>
      <c r="E166" s="55">
        <v>8</v>
      </c>
      <c r="F166" s="55">
        <v>43</v>
      </c>
      <c r="G166" s="55">
        <v>127</v>
      </c>
    </row>
    <row r="167" spans="1:7">
      <c r="A167" t="s">
        <v>1171</v>
      </c>
      <c r="B167" s="49">
        <v>533</v>
      </c>
      <c r="C167" s="49">
        <v>501</v>
      </c>
      <c r="D167" s="49">
        <v>63</v>
      </c>
      <c r="E167" s="55">
        <v>81</v>
      </c>
      <c r="F167" s="55">
        <v>36</v>
      </c>
      <c r="G167" s="55">
        <v>23</v>
      </c>
    </row>
    <row r="168" spans="1:7">
      <c r="A168" t="s">
        <v>1172</v>
      </c>
      <c r="B168" s="49">
        <v>2678</v>
      </c>
      <c r="C168" s="49">
        <v>328</v>
      </c>
      <c r="D168" s="49">
        <v>431</v>
      </c>
      <c r="E168" s="55">
        <v>41</v>
      </c>
      <c r="F168" s="55">
        <v>19</v>
      </c>
      <c r="G168" s="55">
        <v>122</v>
      </c>
    </row>
    <row r="169" spans="1:7">
      <c r="A169" t="s">
        <v>1173</v>
      </c>
      <c r="B169" s="49"/>
      <c r="C169" s="49">
        <v>1138</v>
      </c>
      <c r="D169" s="49">
        <v>284</v>
      </c>
      <c r="E169" s="55"/>
      <c r="F169" s="55">
        <v>55</v>
      </c>
      <c r="G169" s="55">
        <v>71</v>
      </c>
    </row>
    <row r="170" spans="1:7">
      <c r="A170" t="s">
        <v>1174</v>
      </c>
      <c r="B170" s="49">
        <v>7</v>
      </c>
      <c r="C170" s="49">
        <v>691</v>
      </c>
      <c r="D170" s="49">
        <v>416</v>
      </c>
      <c r="E170" s="55">
        <v>3</v>
      </c>
      <c r="F170" s="55">
        <v>58</v>
      </c>
      <c r="G170" s="55">
        <v>143</v>
      </c>
    </row>
    <row r="171" spans="1:7">
      <c r="A171" t="s">
        <v>1175</v>
      </c>
      <c r="B171" s="49">
        <v>12</v>
      </c>
      <c r="C171" s="49">
        <v>509</v>
      </c>
      <c r="D171" s="49">
        <v>283</v>
      </c>
      <c r="E171" s="55">
        <v>3</v>
      </c>
      <c r="F171" s="55">
        <v>32</v>
      </c>
      <c r="G171" s="55">
        <v>85</v>
      </c>
    </row>
    <row r="172" spans="1:7">
      <c r="A172" t="s">
        <v>1176</v>
      </c>
      <c r="B172" s="49">
        <v>309</v>
      </c>
      <c r="C172" s="49">
        <v>803</v>
      </c>
      <c r="D172" s="49">
        <v>529</v>
      </c>
      <c r="E172" s="55">
        <v>5</v>
      </c>
      <c r="F172" s="55">
        <v>78</v>
      </c>
      <c r="G172" s="55">
        <v>114</v>
      </c>
    </row>
    <row r="173" spans="1:7">
      <c r="A173" t="s">
        <v>1177</v>
      </c>
      <c r="B173" s="49">
        <v>1941</v>
      </c>
      <c r="C173" s="49">
        <v>2236</v>
      </c>
      <c r="D173" s="49">
        <v>257</v>
      </c>
      <c r="E173" s="55">
        <v>17</v>
      </c>
      <c r="F173" s="55">
        <v>152</v>
      </c>
      <c r="G173" s="55">
        <v>74</v>
      </c>
    </row>
    <row r="174" spans="1:7">
      <c r="A174" t="s">
        <v>1178</v>
      </c>
      <c r="B174" s="49">
        <v>1097</v>
      </c>
      <c r="C174" s="49">
        <v>2169</v>
      </c>
      <c r="D174" s="49">
        <v>827</v>
      </c>
      <c r="E174" s="55">
        <v>16</v>
      </c>
      <c r="F174" s="55">
        <v>157</v>
      </c>
      <c r="G174" s="55">
        <v>162</v>
      </c>
    </row>
    <row r="175" spans="1:7">
      <c r="A175" t="s">
        <v>1179</v>
      </c>
      <c r="B175" s="49">
        <v>11</v>
      </c>
      <c r="C175" s="49">
        <v>3666</v>
      </c>
      <c r="D175" s="49">
        <v>193</v>
      </c>
      <c r="E175" s="55">
        <v>2</v>
      </c>
      <c r="F175" s="55">
        <v>269</v>
      </c>
      <c r="G175" s="55">
        <v>51</v>
      </c>
    </row>
    <row r="176" spans="1:7">
      <c r="A176" t="s">
        <v>1180</v>
      </c>
      <c r="B176" s="49">
        <v>6523</v>
      </c>
      <c r="C176" s="49">
        <v>8965</v>
      </c>
      <c r="D176" s="49">
        <v>1023</v>
      </c>
      <c r="E176" s="55">
        <v>70</v>
      </c>
      <c r="F176" s="55">
        <v>456</v>
      </c>
      <c r="G176" s="55">
        <v>266</v>
      </c>
    </row>
    <row r="177" spans="1:7">
      <c r="A177" t="s">
        <v>1181</v>
      </c>
      <c r="B177" s="49">
        <v>15820</v>
      </c>
      <c r="C177" s="49">
        <v>9462</v>
      </c>
      <c r="D177" s="49">
        <v>1537</v>
      </c>
      <c r="E177" s="55">
        <v>257</v>
      </c>
      <c r="F177" s="55">
        <v>563</v>
      </c>
      <c r="G177" s="55">
        <v>392</v>
      </c>
    </row>
    <row r="178" spans="1:7">
      <c r="A178" t="s">
        <v>1182</v>
      </c>
      <c r="B178" s="49">
        <v>1125</v>
      </c>
      <c r="C178" s="49">
        <v>374</v>
      </c>
      <c r="D178" s="49">
        <v>335</v>
      </c>
      <c r="E178" s="55">
        <v>31</v>
      </c>
      <c r="F178" s="55">
        <v>24</v>
      </c>
      <c r="G178" s="55">
        <v>89</v>
      </c>
    </row>
    <row r="179" spans="1:7">
      <c r="A179" t="s">
        <v>1183</v>
      </c>
      <c r="B179" s="49"/>
      <c r="C179" s="49">
        <v>805</v>
      </c>
      <c r="D179" s="49">
        <v>82</v>
      </c>
      <c r="E179" s="55"/>
      <c r="F179" s="55">
        <v>38</v>
      </c>
      <c r="G179" s="55">
        <v>18</v>
      </c>
    </row>
    <row r="180" spans="1:7">
      <c r="A180" t="s">
        <v>1184</v>
      </c>
      <c r="B180" s="49">
        <v>84</v>
      </c>
      <c r="C180" s="49">
        <v>4272</v>
      </c>
      <c r="D180" s="49">
        <v>294</v>
      </c>
      <c r="E180" s="55">
        <v>14</v>
      </c>
      <c r="F180" s="55">
        <v>292</v>
      </c>
      <c r="G180" s="55">
        <v>65</v>
      </c>
    </row>
    <row r="181" spans="1:7">
      <c r="A181" t="s">
        <v>1185</v>
      </c>
      <c r="B181" s="49">
        <v>553</v>
      </c>
      <c r="C181" s="49">
        <v>4200</v>
      </c>
      <c r="D181" s="49">
        <v>664</v>
      </c>
      <c r="E181" s="55">
        <v>8</v>
      </c>
      <c r="F181" s="55">
        <v>223</v>
      </c>
      <c r="G181" s="55">
        <v>173</v>
      </c>
    </row>
    <row r="182" spans="1:7">
      <c r="A182" t="s">
        <v>1186</v>
      </c>
      <c r="B182" s="49">
        <v>19159</v>
      </c>
      <c r="C182" s="49">
        <v>20604</v>
      </c>
      <c r="D182" s="49">
        <v>2777</v>
      </c>
      <c r="E182" s="55">
        <v>239</v>
      </c>
      <c r="F182" s="55">
        <v>832</v>
      </c>
      <c r="G182" s="55">
        <v>567</v>
      </c>
    </row>
    <row r="183" spans="1:7">
      <c r="A183" t="s">
        <v>1187</v>
      </c>
      <c r="B183" s="49">
        <v>34972</v>
      </c>
      <c r="C183" s="49">
        <v>7595</v>
      </c>
      <c r="D183" s="49">
        <v>4299</v>
      </c>
      <c r="E183" s="55">
        <v>937</v>
      </c>
      <c r="F183" s="55">
        <v>342</v>
      </c>
      <c r="G183" s="55">
        <v>944</v>
      </c>
    </row>
    <row r="184" spans="1:7">
      <c r="A184" t="s">
        <v>1188</v>
      </c>
      <c r="B184" s="49">
        <v>26136</v>
      </c>
      <c r="C184" s="49">
        <v>1010</v>
      </c>
      <c r="D184" s="49">
        <v>1652</v>
      </c>
      <c r="E184" s="55">
        <v>570</v>
      </c>
      <c r="F184" s="55">
        <v>67</v>
      </c>
      <c r="G184" s="55">
        <v>454</v>
      </c>
    </row>
    <row r="185" spans="1:7">
      <c r="A185" t="s">
        <v>1189</v>
      </c>
      <c r="B185" s="49">
        <v>23161</v>
      </c>
      <c r="C185" s="49">
        <v>6858</v>
      </c>
      <c r="D185" s="49">
        <v>2007</v>
      </c>
      <c r="E185" s="55">
        <v>437</v>
      </c>
      <c r="F185" s="55">
        <v>312</v>
      </c>
      <c r="G185" s="55">
        <v>510</v>
      </c>
    </row>
    <row r="186" spans="1:7">
      <c r="A186" t="s">
        <v>1190</v>
      </c>
      <c r="B186" s="49">
        <v>13882</v>
      </c>
      <c r="C186" s="49">
        <v>8252</v>
      </c>
      <c r="D186" s="49">
        <v>1075</v>
      </c>
      <c r="E186" s="55">
        <v>238</v>
      </c>
      <c r="F186" s="55">
        <v>335</v>
      </c>
      <c r="G186" s="55">
        <v>279</v>
      </c>
    </row>
    <row r="187" spans="1:7">
      <c r="A187" t="s">
        <v>1191</v>
      </c>
      <c r="B187" s="49">
        <v>9106</v>
      </c>
      <c r="C187" s="49">
        <v>901</v>
      </c>
      <c r="D187" s="49">
        <v>955</v>
      </c>
      <c r="E187" s="55">
        <v>174</v>
      </c>
      <c r="F187" s="55">
        <v>70</v>
      </c>
      <c r="G187" s="55">
        <v>188</v>
      </c>
    </row>
    <row r="188" spans="1:7">
      <c r="A188" t="s">
        <v>1192</v>
      </c>
      <c r="B188" s="49">
        <v>5136</v>
      </c>
      <c r="C188" s="49">
        <v>539</v>
      </c>
      <c r="D188" s="49">
        <v>639</v>
      </c>
      <c r="E188" s="55">
        <v>79</v>
      </c>
      <c r="F188" s="55">
        <v>37</v>
      </c>
      <c r="G188" s="55">
        <v>155</v>
      </c>
    </row>
    <row r="189" spans="1:7">
      <c r="A189" t="s">
        <v>1193</v>
      </c>
      <c r="B189" s="49">
        <v>783</v>
      </c>
      <c r="C189" s="49">
        <v>3877</v>
      </c>
      <c r="D189" s="49">
        <v>336</v>
      </c>
      <c r="E189" s="55">
        <v>18</v>
      </c>
      <c r="F189" s="55">
        <v>176</v>
      </c>
      <c r="G189" s="55">
        <v>92</v>
      </c>
    </row>
    <row r="190" spans="1:7">
      <c r="A190" t="s">
        <v>1194</v>
      </c>
      <c r="B190" s="49">
        <v>4445</v>
      </c>
      <c r="C190" s="49">
        <v>5588</v>
      </c>
      <c r="D190" s="49">
        <v>799</v>
      </c>
      <c r="E190" s="55">
        <v>103</v>
      </c>
      <c r="F190" s="55">
        <v>382</v>
      </c>
      <c r="G190" s="55">
        <v>167</v>
      </c>
    </row>
    <row r="191" spans="1:7">
      <c r="A191" t="s">
        <v>1195</v>
      </c>
      <c r="B191" s="49">
        <v>6552</v>
      </c>
      <c r="C191" s="49">
        <v>10624</v>
      </c>
      <c r="D191" s="49">
        <v>811</v>
      </c>
      <c r="E191" s="55">
        <v>194</v>
      </c>
      <c r="F191" s="55">
        <v>648</v>
      </c>
      <c r="G191" s="55">
        <v>198</v>
      </c>
    </row>
    <row r="192" spans="1:7">
      <c r="A192" t="s">
        <v>1196</v>
      </c>
      <c r="B192" s="49">
        <v>4365</v>
      </c>
      <c r="C192" s="49">
        <v>7876</v>
      </c>
      <c r="D192" s="49">
        <v>831</v>
      </c>
      <c r="E192" s="55">
        <v>116</v>
      </c>
      <c r="F192" s="55">
        <v>421</v>
      </c>
      <c r="G192" s="55">
        <v>206</v>
      </c>
    </row>
    <row r="193" spans="1:7">
      <c r="A193" t="s">
        <v>1197</v>
      </c>
      <c r="B193" s="49">
        <v>550</v>
      </c>
      <c r="C193" s="49">
        <v>3204</v>
      </c>
      <c r="D193" s="49">
        <v>74</v>
      </c>
      <c r="E193" s="55">
        <v>25</v>
      </c>
      <c r="F193" s="55">
        <v>170</v>
      </c>
      <c r="G193" s="55">
        <v>31</v>
      </c>
    </row>
    <row r="194" spans="1:7">
      <c r="A194" t="s">
        <v>1198</v>
      </c>
      <c r="B194" s="49">
        <v>4278</v>
      </c>
      <c r="C194" s="49">
        <v>10834</v>
      </c>
      <c r="D194" s="49">
        <v>1511</v>
      </c>
      <c r="E194" s="55">
        <v>156</v>
      </c>
      <c r="F194" s="55">
        <v>611</v>
      </c>
      <c r="G194" s="55">
        <v>459</v>
      </c>
    </row>
    <row r="195" spans="1:7">
      <c r="A195" t="s">
        <v>1199</v>
      </c>
      <c r="B195" s="49">
        <v>9763</v>
      </c>
      <c r="C195" s="49">
        <v>11915</v>
      </c>
      <c r="D195" s="49">
        <v>842</v>
      </c>
      <c r="E195" s="55">
        <v>180</v>
      </c>
      <c r="F195" s="55">
        <v>554</v>
      </c>
      <c r="G195" s="55">
        <v>225</v>
      </c>
    </row>
    <row r="196" spans="1:7">
      <c r="A196" t="s">
        <v>1200</v>
      </c>
      <c r="B196" s="49">
        <v>745</v>
      </c>
      <c r="C196" s="49">
        <v>1374</v>
      </c>
      <c r="D196" s="49">
        <v>76</v>
      </c>
      <c r="E196" s="55">
        <v>16</v>
      </c>
      <c r="F196" s="55">
        <v>122</v>
      </c>
      <c r="G196" s="55">
        <v>23</v>
      </c>
    </row>
    <row r="197" spans="1:7">
      <c r="A197" t="s">
        <v>1201</v>
      </c>
      <c r="B197" s="49">
        <v>1582</v>
      </c>
      <c r="C197" s="49">
        <v>2031</v>
      </c>
      <c r="D197" s="49">
        <v>259</v>
      </c>
      <c r="E197" s="55">
        <v>35</v>
      </c>
      <c r="F197" s="55">
        <v>103</v>
      </c>
      <c r="G197" s="55">
        <v>52</v>
      </c>
    </row>
    <row r="198" spans="1:7">
      <c r="A198" t="s">
        <v>1202</v>
      </c>
      <c r="B198" s="49">
        <v>9931</v>
      </c>
      <c r="C198" s="49">
        <v>7982</v>
      </c>
      <c r="D198" s="49">
        <v>1067</v>
      </c>
      <c r="E198" s="55">
        <v>168</v>
      </c>
      <c r="F198" s="55">
        <v>503</v>
      </c>
      <c r="G198" s="55">
        <v>281</v>
      </c>
    </row>
    <row r="199" spans="1:7">
      <c r="A199" t="s">
        <v>1203</v>
      </c>
      <c r="B199" s="49">
        <v>712</v>
      </c>
      <c r="C199" s="49">
        <v>7024</v>
      </c>
      <c r="D199" s="49">
        <v>941</v>
      </c>
      <c r="E199" s="55">
        <v>19</v>
      </c>
      <c r="F199" s="55">
        <v>320</v>
      </c>
      <c r="G199" s="55">
        <v>215</v>
      </c>
    </row>
    <row r="200" spans="1:7">
      <c r="A200" t="s">
        <v>1204</v>
      </c>
      <c r="B200" s="49"/>
      <c r="C200" s="49">
        <v>443</v>
      </c>
      <c r="D200" s="49">
        <v>9</v>
      </c>
      <c r="E200" s="55"/>
      <c r="F200" s="55">
        <v>9</v>
      </c>
      <c r="G200" s="55">
        <v>3</v>
      </c>
    </row>
    <row r="201" spans="1:7">
      <c r="A201" t="s">
        <v>1205</v>
      </c>
      <c r="B201" s="49">
        <v>26668</v>
      </c>
      <c r="C201" s="49">
        <v>10101</v>
      </c>
      <c r="D201" s="49">
        <v>1767</v>
      </c>
      <c r="E201" s="55">
        <v>379</v>
      </c>
      <c r="F201" s="55">
        <v>559</v>
      </c>
      <c r="G201" s="55">
        <v>458</v>
      </c>
    </row>
    <row r="202" spans="1:7">
      <c r="A202" t="s">
        <v>1206</v>
      </c>
      <c r="B202" s="49">
        <v>412</v>
      </c>
      <c r="C202" s="49">
        <v>2142</v>
      </c>
      <c r="D202" s="49">
        <v>190</v>
      </c>
      <c r="E202" s="55">
        <v>25</v>
      </c>
      <c r="F202" s="55">
        <v>160</v>
      </c>
      <c r="G202" s="55">
        <v>61</v>
      </c>
    </row>
    <row r="203" spans="1:7">
      <c r="A203" t="s">
        <v>1207</v>
      </c>
      <c r="B203" s="49">
        <v>7432</v>
      </c>
      <c r="C203" s="49">
        <v>2748</v>
      </c>
      <c r="D203" s="49">
        <v>817</v>
      </c>
      <c r="E203" s="55">
        <v>147</v>
      </c>
      <c r="F203" s="55">
        <v>192</v>
      </c>
      <c r="G203" s="55">
        <v>158</v>
      </c>
    </row>
    <row r="204" spans="1:7">
      <c r="A204" t="s">
        <v>1208</v>
      </c>
      <c r="B204" s="49">
        <v>6593</v>
      </c>
      <c r="C204" s="49">
        <v>2994</v>
      </c>
      <c r="D204" s="49">
        <v>354</v>
      </c>
      <c r="E204" s="55">
        <v>104</v>
      </c>
      <c r="F204" s="55">
        <v>204</v>
      </c>
      <c r="G204" s="55">
        <v>108</v>
      </c>
    </row>
    <row r="205" spans="1:7">
      <c r="A205" t="s">
        <v>1209</v>
      </c>
      <c r="B205" s="49">
        <v>2031</v>
      </c>
      <c r="C205" s="49">
        <v>2210</v>
      </c>
      <c r="D205" s="49">
        <v>175</v>
      </c>
      <c r="E205" s="55">
        <v>35</v>
      </c>
      <c r="F205" s="55">
        <v>133</v>
      </c>
      <c r="G205" s="55">
        <v>42</v>
      </c>
    </row>
    <row r="206" spans="1:7">
      <c r="A206" t="s">
        <v>1210</v>
      </c>
      <c r="B206" s="49">
        <v>421</v>
      </c>
      <c r="C206" s="49">
        <v>80</v>
      </c>
      <c r="D206" s="49">
        <v>45</v>
      </c>
      <c r="E206" s="55">
        <v>17</v>
      </c>
      <c r="F206" s="55">
        <v>7</v>
      </c>
      <c r="G206" s="55">
        <v>26</v>
      </c>
    </row>
    <row r="207" spans="1:7">
      <c r="A207" t="s">
        <v>1211</v>
      </c>
      <c r="B207" s="49">
        <v>1741</v>
      </c>
      <c r="C207" s="49">
        <v>709</v>
      </c>
      <c r="D207" s="49">
        <v>248</v>
      </c>
      <c r="E207" s="55">
        <v>52</v>
      </c>
      <c r="F207" s="55">
        <v>50</v>
      </c>
      <c r="G207" s="55">
        <v>75</v>
      </c>
    </row>
    <row r="208" spans="1:7">
      <c r="A208" t="s">
        <v>1212</v>
      </c>
      <c r="B208" s="49"/>
      <c r="C208" s="49">
        <v>1129</v>
      </c>
      <c r="D208" s="49">
        <v>189</v>
      </c>
      <c r="E208" s="55"/>
      <c r="F208" s="55">
        <v>131</v>
      </c>
      <c r="G208" s="55">
        <v>71</v>
      </c>
    </row>
    <row r="209" spans="1:7">
      <c r="A209" t="s">
        <v>1213</v>
      </c>
      <c r="B209" s="49">
        <v>20</v>
      </c>
      <c r="C209" s="49">
        <v>2987</v>
      </c>
      <c r="D209" s="49">
        <v>814</v>
      </c>
      <c r="E209" s="55">
        <v>1</v>
      </c>
      <c r="F209" s="55">
        <v>228</v>
      </c>
      <c r="G209" s="55">
        <v>259</v>
      </c>
    </row>
    <row r="210" spans="1:7">
      <c r="A210" t="s">
        <v>1214</v>
      </c>
      <c r="B210" s="49"/>
      <c r="C210" s="49">
        <v>756</v>
      </c>
      <c r="D210" s="49">
        <v>203</v>
      </c>
      <c r="E210" s="55"/>
      <c r="F210" s="55">
        <v>55</v>
      </c>
      <c r="G210" s="55">
        <v>65</v>
      </c>
    </row>
    <row r="211" spans="1:7">
      <c r="A211" t="s">
        <v>1215</v>
      </c>
      <c r="B211" s="49">
        <v>1176</v>
      </c>
      <c r="C211" s="49">
        <v>1476</v>
      </c>
      <c r="D211" s="49">
        <v>21</v>
      </c>
      <c r="E211" s="55">
        <v>18</v>
      </c>
      <c r="F211" s="55">
        <v>90</v>
      </c>
      <c r="G211" s="55">
        <v>6</v>
      </c>
    </row>
    <row r="212" spans="1:7">
      <c r="A212" t="s">
        <v>1216</v>
      </c>
      <c r="B212" s="49"/>
      <c r="C212" s="49">
        <v>2076</v>
      </c>
      <c r="D212" s="49">
        <v>54</v>
      </c>
      <c r="E212" s="55"/>
      <c r="F212" s="55">
        <v>141</v>
      </c>
      <c r="G212" s="55">
        <v>32</v>
      </c>
    </row>
    <row r="213" spans="1:7">
      <c r="A213" t="s">
        <v>1217</v>
      </c>
      <c r="B213" s="49"/>
      <c r="C213" s="49">
        <v>589</v>
      </c>
      <c r="D213" s="49"/>
      <c r="E213" s="55"/>
      <c r="F213" s="55">
        <v>33</v>
      </c>
      <c r="G213" s="55"/>
    </row>
    <row r="214" spans="1:7">
      <c r="A214" t="s">
        <v>1218</v>
      </c>
      <c r="B214" s="49"/>
      <c r="C214" s="49">
        <v>3113</v>
      </c>
      <c r="D214" s="49">
        <v>76</v>
      </c>
      <c r="E214" s="55"/>
      <c r="F214" s="55">
        <v>168</v>
      </c>
      <c r="G214" s="55">
        <v>33</v>
      </c>
    </row>
    <row r="215" spans="1:7">
      <c r="A215" t="s">
        <v>1219</v>
      </c>
      <c r="B215" s="49"/>
      <c r="C215" s="49">
        <v>1032</v>
      </c>
      <c r="D215" s="49">
        <v>93</v>
      </c>
      <c r="E215" s="55"/>
      <c r="F215" s="55">
        <v>74</v>
      </c>
      <c r="G215" s="55">
        <v>38</v>
      </c>
    </row>
    <row r="216" spans="1:7">
      <c r="A216" t="s">
        <v>1220</v>
      </c>
      <c r="B216" s="49">
        <v>2107</v>
      </c>
      <c r="C216" s="49">
        <v>9514</v>
      </c>
      <c r="D216" s="49">
        <v>1983</v>
      </c>
      <c r="E216" s="55">
        <v>52</v>
      </c>
      <c r="F216" s="55">
        <v>566</v>
      </c>
      <c r="G216" s="55">
        <v>525</v>
      </c>
    </row>
    <row r="217" spans="1:7">
      <c r="A217" t="s">
        <v>1221</v>
      </c>
      <c r="B217" s="49"/>
      <c r="C217" s="49">
        <v>4957</v>
      </c>
      <c r="D217" s="49">
        <v>793</v>
      </c>
      <c r="E217" s="55"/>
      <c r="F217" s="55">
        <v>270</v>
      </c>
      <c r="G217" s="55">
        <v>240</v>
      </c>
    </row>
    <row r="218" spans="1:7">
      <c r="A218" t="s">
        <v>1222</v>
      </c>
      <c r="B218" s="49">
        <v>7</v>
      </c>
      <c r="C218" s="49">
        <v>1846</v>
      </c>
      <c r="D218" s="49">
        <v>259</v>
      </c>
      <c r="E218" s="55">
        <v>2</v>
      </c>
      <c r="F218" s="55">
        <v>150</v>
      </c>
      <c r="G218" s="55">
        <v>83</v>
      </c>
    </row>
    <row r="219" spans="1:7">
      <c r="A219" t="s">
        <v>1223</v>
      </c>
      <c r="B219" s="49"/>
      <c r="C219" s="49">
        <v>474</v>
      </c>
      <c r="D219" s="49">
        <v>47</v>
      </c>
      <c r="E219" s="55"/>
      <c r="F219" s="55">
        <v>58</v>
      </c>
      <c r="G219" s="55">
        <v>26</v>
      </c>
    </row>
    <row r="220" spans="1:7">
      <c r="A220" t="s">
        <v>1224</v>
      </c>
      <c r="B220" s="49"/>
      <c r="C220" s="49">
        <v>293</v>
      </c>
      <c r="D220" s="49">
        <v>214</v>
      </c>
      <c r="E220" s="55"/>
      <c r="F220" s="55">
        <v>16</v>
      </c>
      <c r="G220" s="55">
        <v>60</v>
      </c>
    </row>
    <row r="221" spans="1:7">
      <c r="A221" t="s">
        <v>1225</v>
      </c>
      <c r="B221" s="49"/>
      <c r="C221" s="49">
        <v>756</v>
      </c>
      <c r="D221" s="49">
        <v>52</v>
      </c>
      <c r="E221" s="55"/>
      <c r="F221" s="55">
        <v>46</v>
      </c>
      <c r="G221" s="55">
        <v>16</v>
      </c>
    </row>
    <row r="222" spans="1:7">
      <c r="A222" t="s">
        <v>1226</v>
      </c>
      <c r="B222" s="49">
        <v>2</v>
      </c>
      <c r="C222" s="49">
        <v>84</v>
      </c>
      <c r="D222" s="49">
        <v>22</v>
      </c>
      <c r="E222" s="55">
        <v>1</v>
      </c>
      <c r="F222" s="55">
        <v>7</v>
      </c>
      <c r="G222" s="55">
        <v>4</v>
      </c>
    </row>
    <row r="223" spans="1:7">
      <c r="A223" t="s">
        <v>1227</v>
      </c>
      <c r="B223" s="49"/>
      <c r="C223" s="49">
        <v>740</v>
      </c>
      <c r="D223" s="49"/>
      <c r="E223" s="55"/>
      <c r="F223" s="55">
        <v>56</v>
      </c>
      <c r="G223" s="55"/>
    </row>
    <row r="224" spans="1:7">
      <c r="A224" t="s">
        <v>1228</v>
      </c>
      <c r="B224" s="49"/>
      <c r="C224" s="49">
        <v>606</v>
      </c>
      <c r="D224" s="49"/>
      <c r="E224" s="55"/>
      <c r="F224" s="55">
        <v>57</v>
      </c>
      <c r="G224" s="55"/>
    </row>
    <row r="225" spans="1:7">
      <c r="A225" t="s">
        <v>1229</v>
      </c>
      <c r="B225" s="49">
        <v>88</v>
      </c>
      <c r="C225" s="49">
        <v>1662</v>
      </c>
      <c r="D225" s="49">
        <v>236</v>
      </c>
      <c r="E225" s="55">
        <v>12</v>
      </c>
      <c r="F225" s="55">
        <v>100</v>
      </c>
      <c r="G225" s="55">
        <v>64</v>
      </c>
    </row>
    <row r="226" spans="1:7">
      <c r="A226" t="s">
        <v>1230</v>
      </c>
      <c r="B226" s="49"/>
      <c r="C226" s="49">
        <v>158</v>
      </c>
      <c r="D226" s="49">
        <v>24</v>
      </c>
      <c r="E226" s="55"/>
      <c r="F226" s="55">
        <v>7</v>
      </c>
      <c r="G226" s="55">
        <v>9</v>
      </c>
    </row>
    <row r="227" spans="1:7">
      <c r="A227" t="s">
        <v>1231</v>
      </c>
      <c r="B227" s="49">
        <v>759</v>
      </c>
      <c r="C227" s="49">
        <v>1658</v>
      </c>
      <c r="D227" s="49">
        <v>382</v>
      </c>
      <c r="E227" s="55">
        <v>11</v>
      </c>
      <c r="F227" s="55">
        <v>162</v>
      </c>
      <c r="G227" s="55">
        <v>117</v>
      </c>
    </row>
    <row r="228" spans="1:7">
      <c r="A228" t="s">
        <v>1232</v>
      </c>
      <c r="B228" s="49">
        <v>2</v>
      </c>
      <c r="C228" s="49">
        <v>1015</v>
      </c>
      <c r="D228" s="49">
        <v>106</v>
      </c>
      <c r="E228" s="55">
        <v>1</v>
      </c>
      <c r="F228" s="55">
        <v>80</v>
      </c>
      <c r="G228" s="55">
        <v>46</v>
      </c>
    </row>
    <row r="229" spans="1:7">
      <c r="A229" t="s">
        <v>1233</v>
      </c>
      <c r="B229" s="49">
        <v>85</v>
      </c>
      <c r="C229" s="49">
        <v>165</v>
      </c>
      <c r="D229" s="49">
        <v>20</v>
      </c>
      <c r="E229" s="55">
        <v>7</v>
      </c>
      <c r="F229" s="55">
        <v>13</v>
      </c>
      <c r="G229" s="55">
        <v>12</v>
      </c>
    </row>
    <row r="230" spans="1:7">
      <c r="A230" t="s">
        <v>1234</v>
      </c>
      <c r="B230" s="49">
        <v>33</v>
      </c>
      <c r="C230" s="49">
        <v>3137</v>
      </c>
      <c r="D230" s="49">
        <v>500</v>
      </c>
      <c r="E230" s="55">
        <v>6</v>
      </c>
      <c r="F230" s="55">
        <v>218</v>
      </c>
      <c r="G230" s="55">
        <v>142</v>
      </c>
    </row>
    <row r="231" spans="1:7">
      <c r="A231" t="s">
        <v>1235</v>
      </c>
      <c r="B231" s="49">
        <v>378</v>
      </c>
      <c r="C231" s="49">
        <v>6554</v>
      </c>
      <c r="D231" s="49">
        <v>900</v>
      </c>
      <c r="E231" s="55">
        <v>18</v>
      </c>
      <c r="F231" s="55">
        <v>397</v>
      </c>
      <c r="G231" s="55">
        <v>211</v>
      </c>
    </row>
    <row r="232" spans="1:7">
      <c r="A232" t="s">
        <v>1236</v>
      </c>
      <c r="B232" s="49"/>
      <c r="C232" s="49">
        <v>868</v>
      </c>
      <c r="D232" s="49">
        <v>297</v>
      </c>
      <c r="E232" s="55"/>
      <c r="F232" s="55">
        <v>35</v>
      </c>
      <c r="G232" s="55">
        <v>36</v>
      </c>
    </row>
    <row r="233" spans="1:7">
      <c r="A233" t="s">
        <v>1237</v>
      </c>
      <c r="B233" s="49"/>
      <c r="C233" s="49">
        <v>156</v>
      </c>
      <c r="D233" s="49"/>
      <c r="E233" s="55"/>
      <c r="F233" s="55">
        <v>2</v>
      </c>
      <c r="G233" s="55"/>
    </row>
    <row r="234" spans="1:7">
      <c r="A234" t="s">
        <v>1238</v>
      </c>
      <c r="B234" s="49"/>
      <c r="C234" s="49">
        <v>670</v>
      </c>
      <c r="D234" s="49">
        <v>86</v>
      </c>
      <c r="E234" s="55"/>
      <c r="F234" s="55">
        <v>56</v>
      </c>
      <c r="G234" s="55">
        <v>37</v>
      </c>
    </row>
    <row r="235" spans="1:7">
      <c r="A235" t="s">
        <v>1239</v>
      </c>
      <c r="B235" s="49">
        <v>19</v>
      </c>
      <c r="C235" s="49">
        <v>4315</v>
      </c>
      <c r="D235" s="49">
        <v>586</v>
      </c>
      <c r="E235" s="55">
        <v>2</v>
      </c>
      <c r="F235" s="55">
        <v>234</v>
      </c>
      <c r="G235" s="55">
        <v>163</v>
      </c>
    </row>
    <row r="236" spans="1:7">
      <c r="A236" t="s">
        <v>1240</v>
      </c>
      <c r="B236" s="49">
        <v>350</v>
      </c>
      <c r="C236" s="49">
        <v>1896</v>
      </c>
      <c r="D236" s="49">
        <v>804</v>
      </c>
      <c r="E236" s="55">
        <v>6</v>
      </c>
      <c r="F236" s="55">
        <v>139</v>
      </c>
      <c r="G236" s="55">
        <v>216</v>
      </c>
    </row>
    <row r="237" spans="1:7">
      <c r="A237" t="s">
        <v>1241</v>
      </c>
      <c r="B237" s="49"/>
      <c r="C237" s="49">
        <v>1192</v>
      </c>
      <c r="D237" s="49">
        <v>45</v>
      </c>
      <c r="E237" s="55"/>
      <c r="F237" s="55">
        <v>51</v>
      </c>
      <c r="G237" s="55">
        <v>15</v>
      </c>
    </row>
    <row r="238" spans="1:7">
      <c r="A238" t="s">
        <v>1242</v>
      </c>
      <c r="B238" s="49">
        <v>138</v>
      </c>
      <c r="C238" s="49">
        <v>508</v>
      </c>
      <c r="D238" s="49">
        <v>537</v>
      </c>
      <c r="E238" s="55">
        <v>2</v>
      </c>
      <c r="F238" s="55">
        <v>43</v>
      </c>
      <c r="G238" s="55">
        <v>115</v>
      </c>
    </row>
    <row r="239" spans="1:7">
      <c r="A239" t="s">
        <v>1243</v>
      </c>
      <c r="B239" s="49">
        <v>337</v>
      </c>
      <c r="C239" s="49">
        <v>1565</v>
      </c>
      <c r="D239" s="49">
        <v>310</v>
      </c>
      <c r="E239" s="55">
        <v>15</v>
      </c>
      <c r="F239" s="55">
        <v>103</v>
      </c>
      <c r="G239" s="55">
        <v>118</v>
      </c>
    </row>
    <row r="240" spans="1:7">
      <c r="A240" t="s">
        <v>1244</v>
      </c>
      <c r="B240" s="49"/>
      <c r="C240" s="49">
        <v>4828</v>
      </c>
      <c r="D240" s="49">
        <v>485</v>
      </c>
      <c r="E240" s="55"/>
      <c r="F240" s="55">
        <v>320</v>
      </c>
      <c r="G240" s="55">
        <v>123</v>
      </c>
    </row>
    <row r="241" spans="1:7">
      <c r="A241" t="s">
        <v>1245</v>
      </c>
      <c r="B241" s="49"/>
      <c r="C241" s="49">
        <v>1370</v>
      </c>
      <c r="D241" s="49">
        <v>59</v>
      </c>
      <c r="E241" s="55"/>
      <c r="F241" s="55">
        <v>99</v>
      </c>
      <c r="G241" s="55">
        <v>17</v>
      </c>
    </row>
    <row r="242" spans="1:7">
      <c r="A242" t="s">
        <v>1246</v>
      </c>
      <c r="B242" s="49"/>
      <c r="C242" s="49">
        <v>1996</v>
      </c>
      <c r="D242" s="49">
        <v>8</v>
      </c>
      <c r="E242" s="55"/>
      <c r="F242" s="55">
        <v>146</v>
      </c>
      <c r="G242" s="55">
        <v>3</v>
      </c>
    </row>
    <row r="243" spans="1:7">
      <c r="A243" t="s">
        <v>1247</v>
      </c>
      <c r="B243" s="49">
        <v>20</v>
      </c>
      <c r="C243" s="49">
        <v>7376</v>
      </c>
      <c r="D243" s="49">
        <v>536</v>
      </c>
      <c r="E243" s="55">
        <v>2</v>
      </c>
      <c r="F243" s="55">
        <v>444</v>
      </c>
      <c r="G243" s="55">
        <v>161</v>
      </c>
    </row>
    <row r="244" spans="1:7">
      <c r="A244" t="s">
        <v>1248</v>
      </c>
      <c r="B244" s="49">
        <v>32</v>
      </c>
      <c r="C244" s="49">
        <v>3318</v>
      </c>
      <c r="D244" s="49">
        <v>60</v>
      </c>
      <c r="E244" s="55">
        <v>3</v>
      </c>
      <c r="F244" s="55">
        <v>147</v>
      </c>
      <c r="G244" s="55">
        <v>11</v>
      </c>
    </row>
    <row r="245" spans="1:7">
      <c r="A245" t="s">
        <v>1249</v>
      </c>
      <c r="B245" s="49">
        <v>5</v>
      </c>
      <c r="C245" s="49">
        <v>5141</v>
      </c>
      <c r="D245" s="49">
        <v>208</v>
      </c>
      <c r="E245" s="55">
        <v>1</v>
      </c>
      <c r="F245" s="55">
        <v>239</v>
      </c>
      <c r="G245" s="55">
        <v>53</v>
      </c>
    </row>
    <row r="246" spans="1:7">
      <c r="A246" t="s">
        <v>1250</v>
      </c>
      <c r="B246" s="49"/>
      <c r="C246" s="49">
        <v>1051</v>
      </c>
      <c r="D246" s="49"/>
      <c r="E246" s="55"/>
      <c r="F246" s="55">
        <v>46</v>
      </c>
      <c r="G246" s="55"/>
    </row>
    <row r="247" spans="1:7">
      <c r="A247" t="s">
        <v>1251</v>
      </c>
      <c r="B247" s="49">
        <v>365</v>
      </c>
      <c r="C247" s="49">
        <v>11357</v>
      </c>
      <c r="D247" s="49">
        <v>774</v>
      </c>
      <c r="E247" s="55">
        <v>18</v>
      </c>
      <c r="F247" s="55">
        <v>575</v>
      </c>
      <c r="G247" s="55">
        <v>271</v>
      </c>
    </row>
    <row r="248" spans="1:7">
      <c r="A248" t="s">
        <v>1252</v>
      </c>
      <c r="B248" s="49">
        <v>2793</v>
      </c>
      <c r="C248" s="49">
        <v>4015</v>
      </c>
      <c r="D248" s="49">
        <v>907</v>
      </c>
      <c r="E248" s="55">
        <v>47</v>
      </c>
      <c r="F248" s="55">
        <v>261</v>
      </c>
      <c r="G248" s="55">
        <v>269</v>
      </c>
    </row>
    <row r="249" spans="1:7">
      <c r="A249" t="s">
        <v>1253</v>
      </c>
      <c r="B249" s="49"/>
      <c r="C249" s="49">
        <v>2419</v>
      </c>
      <c r="D249" s="49">
        <v>543</v>
      </c>
      <c r="E249" s="55"/>
      <c r="F249" s="55">
        <v>156</v>
      </c>
      <c r="G249" s="55">
        <v>174</v>
      </c>
    </row>
    <row r="250" spans="1:7">
      <c r="A250" t="s">
        <v>1254</v>
      </c>
      <c r="B250" s="49">
        <v>565</v>
      </c>
      <c r="C250" s="49">
        <v>3783</v>
      </c>
      <c r="D250" s="49">
        <v>1257</v>
      </c>
      <c r="E250" s="55">
        <v>22</v>
      </c>
      <c r="F250" s="55">
        <v>288</v>
      </c>
      <c r="G250" s="55">
        <v>313</v>
      </c>
    </row>
    <row r="251" spans="1:7">
      <c r="A251" t="s">
        <v>1255</v>
      </c>
      <c r="B251" s="49">
        <v>1861</v>
      </c>
      <c r="C251" s="49">
        <v>5219</v>
      </c>
      <c r="D251" s="49">
        <v>1154</v>
      </c>
      <c r="E251" s="55">
        <v>28</v>
      </c>
      <c r="F251" s="55">
        <v>308</v>
      </c>
      <c r="G251" s="55">
        <v>386</v>
      </c>
    </row>
    <row r="252" spans="1:7">
      <c r="A252" t="s">
        <v>1256</v>
      </c>
      <c r="B252" s="49">
        <v>1861</v>
      </c>
      <c r="C252" s="49">
        <v>5287</v>
      </c>
      <c r="D252" s="49">
        <v>1206</v>
      </c>
      <c r="E252" s="55">
        <v>54</v>
      </c>
      <c r="F252" s="55">
        <v>348</v>
      </c>
      <c r="G252" s="55">
        <v>364</v>
      </c>
    </row>
    <row r="253" spans="1:7">
      <c r="A253" t="s">
        <v>1257</v>
      </c>
      <c r="B253" s="49">
        <v>12</v>
      </c>
      <c r="C253" s="49">
        <v>3511</v>
      </c>
      <c r="D253" s="49">
        <v>1054</v>
      </c>
      <c r="E253" s="55">
        <v>3</v>
      </c>
      <c r="F253" s="55">
        <v>198</v>
      </c>
      <c r="G253" s="55">
        <v>282</v>
      </c>
    </row>
    <row r="254" spans="1:7">
      <c r="A254" t="s">
        <v>1258</v>
      </c>
      <c r="B254" s="49">
        <v>4</v>
      </c>
      <c r="C254" s="49">
        <v>2366</v>
      </c>
      <c r="D254" s="49">
        <v>142</v>
      </c>
      <c r="E254" s="55">
        <v>1</v>
      </c>
      <c r="F254" s="55">
        <v>167</v>
      </c>
      <c r="G254" s="55">
        <v>49</v>
      </c>
    </row>
    <row r="255" spans="1:7">
      <c r="A255" t="s">
        <v>1259</v>
      </c>
      <c r="B255" s="49"/>
      <c r="C255" s="49">
        <v>185</v>
      </c>
      <c r="D255" s="49">
        <v>17</v>
      </c>
      <c r="E255" s="55"/>
      <c r="F255" s="55">
        <v>14</v>
      </c>
      <c r="G255" s="55">
        <v>5</v>
      </c>
    </row>
    <row r="256" spans="1:7">
      <c r="A256" t="s">
        <v>1260</v>
      </c>
      <c r="B256" s="49">
        <v>3</v>
      </c>
      <c r="C256" s="49">
        <v>2419</v>
      </c>
      <c r="D256" s="49">
        <v>158</v>
      </c>
      <c r="E256" s="55">
        <v>1</v>
      </c>
      <c r="F256" s="55">
        <v>123</v>
      </c>
      <c r="G256" s="55">
        <v>45</v>
      </c>
    </row>
    <row r="257" spans="1:7">
      <c r="A257" t="s">
        <v>1261</v>
      </c>
      <c r="B257" s="49">
        <v>4</v>
      </c>
      <c r="C257" s="49">
        <v>4197</v>
      </c>
      <c r="D257" s="49">
        <v>894</v>
      </c>
      <c r="E257" s="55">
        <v>2</v>
      </c>
      <c r="F257" s="55">
        <v>307</v>
      </c>
      <c r="G257" s="55">
        <v>263</v>
      </c>
    </row>
    <row r="258" spans="1:7">
      <c r="A258" t="s">
        <v>1262</v>
      </c>
      <c r="B258" s="49">
        <v>2725</v>
      </c>
      <c r="C258" s="49">
        <v>601</v>
      </c>
      <c r="D258" s="49">
        <v>380</v>
      </c>
      <c r="E258" s="55">
        <v>56</v>
      </c>
      <c r="F258" s="55">
        <v>43</v>
      </c>
      <c r="G258" s="55">
        <v>87</v>
      </c>
    </row>
    <row r="259" spans="1:7">
      <c r="A259" t="s">
        <v>1263</v>
      </c>
      <c r="B259" s="49">
        <v>2695</v>
      </c>
      <c r="C259" s="49">
        <v>7886</v>
      </c>
      <c r="D259" s="49">
        <v>1729</v>
      </c>
      <c r="E259" s="55">
        <v>106</v>
      </c>
      <c r="F259" s="55">
        <v>482</v>
      </c>
      <c r="G259" s="55">
        <v>444</v>
      </c>
    </row>
    <row r="260" spans="1:7">
      <c r="A260" t="s">
        <v>1264</v>
      </c>
      <c r="B260" s="49">
        <v>3259</v>
      </c>
      <c r="C260" s="49">
        <v>2342</v>
      </c>
      <c r="D260" s="49">
        <v>513</v>
      </c>
      <c r="E260" s="55">
        <v>86</v>
      </c>
      <c r="F260" s="55">
        <v>146</v>
      </c>
      <c r="G260" s="55">
        <v>137</v>
      </c>
    </row>
    <row r="261" spans="1:7">
      <c r="A261" t="s">
        <v>1265</v>
      </c>
      <c r="B261" s="49">
        <v>700</v>
      </c>
      <c r="C261" s="49">
        <v>871</v>
      </c>
      <c r="D261" s="49">
        <v>650</v>
      </c>
      <c r="E261" s="55">
        <v>8</v>
      </c>
      <c r="F261" s="55">
        <v>37</v>
      </c>
      <c r="G261" s="55">
        <v>168</v>
      </c>
    </row>
    <row r="262" spans="1:7">
      <c r="A262" t="s">
        <v>1266</v>
      </c>
      <c r="B262" s="49"/>
      <c r="C262" s="49">
        <v>33</v>
      </c>
      <c r="D262" s="49">
        <v>75</v>
      </c>
      <c r="E262" s="55"/>
      <c r="F262" s="55">
        <v>1</v>
      </c>
      <c r="G262" s="55">
        <v>9</v>
      </c>
    </row>
    <row r="263" spans="1:7">
      <c r="A263" t="s">
        <v>1267</v>
      </c>
      <c r="B263" s="49"/>
      <c r="C263" s="49">
        <v>410</v>
      </c>
      <c r="D263" s="49">
        <v>115</v>
      </c>
      <c r="E263" s="55"/>
      <c r="F263" s="55">
        <v>21</v>
      </c>
      <c r="G263" s="55">
        <v>14</v>
      </c>
    </row>
    <row r="264" spans="1:7">
      <c r="A264" t="s">
        <v>1268</v>
      </c>
      <c r="B264" s="49">
        <v>2453</v>
      </c>
      <c r="C264" s="49">
        <v>1352</v>
      </c>
      <c r="D264" s="49">
        <v>695</v>
      </c>
      <c r="E264" s="55">
        <v>30</v>
      </c>
      <c r="F264" s="55">
        <v>77</v>
      </c>
      <c r="G264" s="55">
        <v>168</v>
      </c>
    </row>
    <row r="265" spans="1:7">
      <c r="A265" t="s">
        <v>1269</v>
      </c>
      <c r="B265" s="49">
        <v>485</v>
      </c>
      <c r="C265" s="49">
        <v>1023</v>
      </c>
      <c r="D265" s="49">
        <v>130</v>
      </c>
      <c r="E265" s="55">
        <v>7</v>
      </c>
      <c r="F265" s="55">
        <v>39</v>
      </c>
      <c r="G265" s="55">
        <v>39</v>
      </c>
    </row>
    <row r="266" spans="1:7">
      <c r="A266" t="s">
        <v>1270</v>
      </c>
      <c r="B266" s="49">
        <v>14</v>
      </c>
      <c r="C266" s="49">
        <v>1628</v>
      </c>
      <c r="D266" s="49">
        <v>63</v>
      </c>
      <c r="E266" s="55">
        <v>2</v>
      </c>
      <c r="F266" s="55">
        <v>76</v>
      </c>
      <c r="G266" s="55">
        <v>21</v>
      </c>
    </row>
    <row r="267" spans="1:7">
      <c r="A267" t="s">
        <v>1271</v>
      </c>
      <c r="B267" s="49">
        <v>181</v>
      </c>
      <c r="C267" s="49">
        <v>171</v>
      </c>
      <c r="D267" s="49">
        <v>132</v>
      </c>
      <c r="E267" s="55">
        <v>11</v>
      </c>
      <c r="F267" s="55">
        <v>12</v>
      </c>
      <c r="G267" s="55">
        <v>36</v>
      </c>
    </row>
    <row r="268" spans="1:7">
      <c r="A268" t="s">
        <v>1272</v>
      </c>
      <c r="B268" s="49"/>
      <c r="C268" s="49">
        <v>283</v>
      </c>
      <c r="D268" s="49">
        <v>197</v>
      </c>
      <c r="E268" s="55"/>
      <c r="F268" s="55">
        <v>19</v>
      </c>
      <c r="G268" s="55">
        <v>27</v>
      </c>
    </row>
    <row r="269" spans="1:7">
      <c r="A269" t="s">
        <v>1273</v>
      </c>
      <c r="B269" s="49">
        <v>2230</v>
      </c>
      <c r="C269" s="49">
        <v>1362</v>
      </c>
      <c r="D269" s="49">
        <v>394</v>
      </c>
      <c r="E269" s="55">
        <v>56</v>
      </c>
      <c r="F269" s="55">
        <v>70</v>
      </c>
      <c r="G269" s="55">
        <v>148</v>
      </c>
    </row>
    <row r="270" spans="1:7">
      <c r="A270" t="s">
        <v>1274</v>
      </c>
      <c r="B270" s="49">
        <v>2119</v>
      </c>
      <c r="C270" s="49">
        <v>2409</v>
      </c>
      <c r="D270" s="49">
        <v>1323</v>
      </c>
      <c r="E270" s="55">
        <v>45</v>
      </c>
      <c r="F270" s="55">
        <v>169</v>
      </c>
      <c r="G270" s="55">
        <v>360</v>
      </c>
    </row>
    <row r="271" spans="1:7">
      <c r="A271" t="s">
        <v>1275</v>
      </c>
      <c r="B271" s="49"/>
      <c r="C271" s="49">
        <v>15</v>
      </c>
      <c r="D271" s="49">
        <v>148</v>
      </c>
      <c r="E271" s="55"/>
      <c r="F271" s="55">
        <v>3</v>
      </c>
      <c r="G271" s="55">
        <v>38</v>
      </c>
    </row>
    <row r="272" spans="1:7">
      <c r="A272" t="s">
        <v>1276</v>
      </c>
      <c r="B272" s="49">
        <v>2861</v>
      </c>
      <c r="C272" s="49">
        <v>1409</v>
      </c>
      <c r="D272" s="49">
        <v>228</v>
      </c>
      <c r="E272" s="55">
        <v>69</v>
      </c>
      <c r="F272" s="55">
        <v>68</v>
      </c>
      <c r="G272" s="55">
        <v>74</v>
      </c>
    </row>
    <row r="273" spans="1:7">
      <c r="A273" t="s">
        <v>1277</v>
      </c>
      <c r="B273" s="49">
        <v>1378</v>
      </c>
      <c r="C273" s="49">
        <v>1417</v>
      </c>
      <c r="D273" s="49">
        <v>418</v>
      </c>
      <c r="E273" s="55">
        <v>49</v>
      </c>
      <c r="F273" s="55">
        <v>71</v>
      </c>
      <c r="G273" s="55">
        <v>97</v>
      </c>
    </row>
    <row r="274" spans="1:7">
      <c r="A274" t="s">
        <v>1278</v>
      </c>
      <c r="B274" s="49"/>
      <c r="C274" s="49">
        <v>269</v>
      </c>
      <c r="D274" s="49">
        <v>118</v>
      </c>
      <c r="E274" s="55"/>
      <c r="F274" s="55">
        <v>8</v>
      </c>
      <c r="G274" s="55">
        <v>42</v>
      </c>
    </row>
    <row r="275" spans="1:7">
      <c r="A275" t="s">
        <v>1279</v>
      </c>
      <c r="B275" s="49"/>
      <c r="C275" s="49">
        <v>536</v>
      </c>
      <c r="D275" s="49">
        <v>191</v>
      </c>
      <c r="E275" s="55"/>
      <c r="F275" s="55">
        <v>26</v>
      </c>
      <c r="G275" s="55">
        <v>56</v>
      </c>
    </row>
    <row r="276" spans="1:7">
      <c r="A276" t="s">
        <v>1280</v>
      </c>
      <c r="B276" s="49"/>
      <c r="C276" s="49">
        <v>109</v>
      </c>
      <c r="D276" s="49">
        <v>226</v>
      </c>
      <c r="E276" s="55"/>
      <c r="F276" s="55">
        <v>7</v>
      </c>
      <c r="G276" s="55">
        <v>39</v>
      </c>
    </row>
    <row r="277" spans="1:7">
      <c r="A277" t="s">
        <v>1281</v>
      </c>
      <c r="B277" s="49"/>
      <c r="C277" s="49"/>
      <c r="D277" s="49">
        <v>2</v>
      </c>
      <c r="E277" s="55"/>
      <c r="F277" s="55"/>
      <c r="G277" s="55">
        <v>1</v>
      </c>
    </row>
    <row r="278" spans="1:7">
      <c r="A278" t="s">
        <v>1282</v>
      </c>
      <c r="B278" s="49">
        <v>1950</v>
      </c>
      <c r="C278" s="49">
        <v>234</v>
      </c>
      <c r="D278" s="49">
        <v>223</v>
      </c>
      <c r="E278" s="55">
        <v>24</v>
      </c>
      <c r="F278" s="55">
        <v>12</v>
      </c>
      <c r="G278" s="55">
        <v>76</v>
      </c>
    </row>
    <row r="279" spans="1:7">
      <c r="A279" t="s">
        <v>1283</v>
      </c>
      <c r="B279" s="49">
        <v>32</v>
      </c>
      <c r="C279" s="49">
        <v>629</v>
      </c>
      <c r="D279" s="49">
        <v>869</v>
      </c>
      <c r="E279" s="55">
        <v>4</v>
      </c>
      <c r="F279" s="55">
        <v>36</v>
      </c>
      <c r="G279" s="55">
        <v>201</v>
      </c>
    </row>
    <row r="280" spans="1:7">
      <c r="A280" t="s">
        <v>1284</v>
      </c>
      <c r="B280" s="49">
        <v>2237</v>
      </c>
      <c r="C280" s="49">
        <v>1912</v>
      </c>
      <c r="D280" s="49">
        <v>801</v>
      </c>
      <c r="E280" s="55">
        <v>64</v>
      </c>
      <c r="F280" s="55">
        <v>113</v>
      </c>
      <c r="G280" s="55">
        <v>218</v>
      </c>
    </row>
    <row r="281" spans="1:7">
      <c r="A281" t="s">
        <v>1285</v>
      </c>
      <c r="B281" s="49">
        <v>2126</v>
      </c>
      <c r="C281" s="49">
        <v>5258</v>
      </c>
      <c r="D281" s="49">
        <v>1323</v>
      </c>
      <c r="E281" s="55">
        <v>32</v>
      </c>
      <c r="F281" s="55">
        <v>242</v>
      </c>
      <c r="G281" s="55">
        <v>354</v>
      </c>
    </row>
    <row r="282" spans="1:7">
      <c r="A282" t="s">
        <v>1286</v>
      </c>
      <c r="B282" s="49"/>
      <c r="C282" s="49">
        <v>3339</v>
      </c>
      <c r="D282" s="49">
        <v>837</v>
      </c>
      <c r="E282" s="55"/>
      <c r="F282" s="55">
        <v>170</v>
      </c>
      <c r="G282" s="55">
        <v>245</v>
      </c>
    </row>
    <row r="283" spans="1:7">
      <c r="A283" t="s">
        <v>1287</v>
      </c>
      <c r="B283" s="49"/>
      <c r="C283" s="49">
        <v>463</v>
      </c>
      <c r="D283" s="49">
        <v>152</v>
      </c>
      <c r="E283" s="55"/>
      <c r="F283" s="55">
        <v>11</v>
      </c>
      <c r="G283" s="55">
        <v>32</v>
      </c>
    </row>
    <row r="284" spans="1:7">
      <c r="A284" t="s">
        <v>1288</v>
      </c>
      <c r="B284" s="49"/>
      <c r="C284" s="49"/>
      <c r="D284" s="49">
        <v>48</v>
      </c>
      <c r="E284" s="55"/>
      <c r="F284" s="55"/>
      <c r="G284" s="55">
        <v>15</v>
      </c>
    </row>
    <row r="285" spans="1:7">
      <c r="A285" t="s">
        <v>1289</v>
      </c>
      <c r="B285" s="49">
        <v>2108</v>
      </c>
      <c r="C285" s="49">
        <v>198</v>
      </c>
      <c r="D285" s="49">
        <v>496</v>
      </c>
      <c r="E285" s="55">
        <v>25</v>
      </c>
      <c r="F285" s="55">
        <v>8</v>
      </c>
      <c r="G285" s="55">
        <v>78</v>
      </c>
    </row>
    <row r="286" spans="1:7">
      <c r="A286" t="s">
        <v>1290</v>
      </c>
      <c r="B286" s="49">
        <v>2951</v>
      </c>
      <c r="C286" s="49">
        <v>3195</v>
      </c>
      <c r="D286" s="49">
        <v>2650</v>
      </c>
      <c r="E286" s="55">
        <v>59</v>
      </c>
      <c r="F286" s="55">
        <v>156</v>
      </c>
      <c r="G286" s="55">
        <v>601</v>
      </c>
    </row>
    <row r="287" spans="1:7">
      <c r="A287" t="s">
        <v>1291</v>
      </c>
      <c r="B287" s="49"/>
      <c r="C287" s="49">
        <v>1503</v>
      </c>
      <c r="D287" s="49">
        <v>760</v>
      </c>
      <c r="E287" s="55"/>
      <c r="F287" s="55">
        <v>58</v>
      </c>
      <c r="G287" s="55">
        <v>159</v>
      </c>
    </row>
    <row r="288" spans="1:7">
      <c r="A288" t="s">
        <v>1292</v>
      </c>
      <c r="B288" s="49"/>
      <c r="C288" s="49">
        <v>1345</v>
      </c>
      <c r="D288" s="49">
        <v>912</v>
      </c>
      <c r="E288" s="55"/>
      <c r="F288" s="55">
        <v>47</v>
      </c>
      <c r="G288" s="55">
        <v>232</v>
      </c>
    </row>
    <row r="289" spans="1:7">
      <c r="A289" t="s">
        <v>1293</v>
      </c>
      <c r="B289" s="49">
        <v>1288</v>
      </c>
      <c r="C289" s="49">
        <v>1983</v>
      </c>
      <c r="D289" s="49">
        <v>1112</v>
      </c>
      <c r="E289" s="55">
        <v>22</v>
      </c>
      <c r="F289" s="55">
        <v>52</v>
      </c>
      <c r="G289" s="55">
        <v>234</v>
      </c>
    </row>
    <row r="290" spans="1:7">
      <c r="A290" t="s">
        <v>1294</v>
      </c>
      <c r="B290" s="49">
        <v>827</v>
      </c>
      <c r="C290" s="49">
        <v>1320</v>
      </c>
      <c r="D290" s="49">
        <v>858</v>
      </c>
      <c r="E290" s="55">
        <v>10</v>
      </c>
      <c r="F290" s="55">
        <v>39</v>
      </c>
      <c r="G290" s="55">
        <v>220</v>
      </c>
    </row>
    <row r="291" spans="1:7">
      <c r="A291" t="s">
        <v>1295</v>
      </c>
      <c r="B291" s="49">
        <v>282</v>
      </c>
      <c r="C291" s="49">
        <v>2261</v>
      </c>
      <c r="D291" s="49">
        <v>654</v>
      </c>
      <c r="E291" s="55">
        <v>4</v>
      </c>
      <c r="F291" s="55">
        <v>81</v>
      </c>
      <c r="G291" s="55">
        <v>182</v>
      </c>
    </row>
    <row r="292" spans="1:7">
      <c r="A292" t="s">
        <v>1296</v>
      </c>
      <c r="B292" s="49">
        <v>3894</v>
      </c>
      <c r="C292" s="49">
        <v>3872</v>
      </c>
      <c r="D292" s="49">
        <v>1645</v>
      </c>
      <c r="E292" s="55">
        <v>73</v>
      </c>
      <c r="F292" s="55">
        <v>140</v>
      </c>
      <c r="G292" s="55">
        <v>430</v>
      </c>
    </row>
    <row r="293" spans="1:7">
      <c r="A293" t="s">
        <v>1297</v>
      </c>
      <c r="B293" s="49"/>
      <c r="C293" s="49">
        <v>1062</v>
      </c>
      <c r="D293" s="49">
        <v>534</v>
      </c>
      <c r="E293" s="55"/>
      <c r="F293" s="55">
        <v>44</v>
      </c>
      <c r="G293" s="55">
        <v>140</v>
      </c>
    </row>
    <row r="294" spans="1:7">
      <c r="A294" t="s">
        <v>1298</v>
      </c>
      <c r="B294" s="49"/>
      <c r="C294" s="49">
        <v>795</v>
      </c>
      <c r="D294" s="49">
        <v>408</v>
      </c>
      <c r="E294" s="55"/>
      <c r="F294" s="55">
        <v>17</v>
      </c>
      <c r="G294" s="55">
        <v>71</v>
      </c>
    </row>
    <row r="295" spans="1:7">
      <c r="A295" t="s">
        <v>1299</v>
      </c>
      <c r="B295" s="49">
        <v>4</v>
      </c>
      <c r="C295" s="49">
        <v>1320</v>
      </c>
      <c r="D295" s="49">
        <v>692</v>
      </c>
      <c r="E295" s="55">
        <v>1</v>
      </c>
      <c r="F295" s="55">
        <v>58</v>
      </c>
      <c r="G295" s="55">
        <v>206</v>
      </c>
    </row>
    <row r="296" spans="1:7">
      <c r="A296" t="s">
        <v>1300</v>
      </c>
      <c r="B296" s="49">
        <v>22</v>
      </c>
      <c r="C296" s="49">
        <v>2747</v>
      </c>
      <c r="D296" s="49">
        <v>510</v>
      </c>
      <c r="E296" s="55">
        <v>5</v>
      </c>
      <c r="F296" s="55">
        <v>171</v>
      </c>
      <c r="G296" s="55">
        <v>135</v>
      </c>
    </row>
    <row r="297" spans="1:7">
      <c r="A297" t="s">
        <v>1301</v>
      </c>
      <c r="B297" s="49">
        <v>5</v>
      </c>
      <c r="C297" s="49">
        <v>348</v>
      </c>
      <c r="D297" s="49">
        <v>165</v>
      </c>
      <c r="E297" s="55">
        <v>1</v>
      </c>
      <c r="F297" s="55">
        <v>20</v>
      </c>
      <c r="G297" s="55">
        <v>29</v>
      </c>
    </row>
    <row r="298" spans="1:7">
      <c r="A298" t="s">
        <v>1302</v>
      </c>
      <c r="B298" s="49">
        <v>1913</v>
      </c>
      <c r="C298" s="49">
        <v>1833</v>
      </c>
      <c r="D298" s="49">
        <v>420</v>
      </c>
      <c r="E298" s="55">
        <v>22</v>
      </c>
      <c r="F298" s="55">
        <v>65</v>
      </c>
      <c r="G298" s="55">
        <v>87</v>
      </c>
    </row>
    <row r="299" spans="1:7">
      <c r="A299" t="s">
        <v>1303</v>
      </c>
      <c r="B299" s="49">
        <v>5130</v>
      </c>
      <c r="C299" s="49">
        <v>1114</v>
      </c>
      <c r="D299" s="49">
        <v>1957</v>
      </c>
      <c r="E299" s="55">
        <v>85</v>
      </c>
      <c r="F299" s="55">
        <v>39</v>
      </c>
      <c r="G299" s="55">
        <v>428</v>
      </c>
    </row>
    <row r="300" spans="1:7">
      <c r="A300" t="s">
        <v>1304</v>
      </c>
      <c r="B300" s="49">
        <v>4681</v>
      </c>
      <c r="C300" s="49">
        <v>3808</v>
      </c>
      <c r="D300" s="49">
        <v>1165</v>
      </c>
      <c r="E300" s="55">
        <v>120</v>
      </c>
      <c r="F300" s="55">
        <v>109</v>
      </c>
      <c r="G300" s="55">
        <v>237</v>
      </c>
    </row>
    <row r="301" spans="1:7">
      <c r="A301" t="s">
        <v>1305</v>
      </c>
      <c r="B301" s="49">
        <v>10829</v>
      </c>
      <c r="C301" s="49">
        <v>1259</v>
      </c>
      <c r="D301" s="49">
        <v>1045</v>
      </c>
      <c r="E301" s="55">
        <v>184</v>
      </c>
      <c r="F301" s="55">
        <v>34</v>
      </c>
      <c r="G301" s="55">
        <v>243</v>
      </c>
    </row>
    <row r="302" spans="1:7">
      <c r="A302" t="s">
        <v>1306</v>
      </c>
      <c r="B302" s="49">
        <v>3741</v>
      </c>
      <c r="C302" s="49">
        <v>1856</v>
      </c>
      <c r="D302" s="49">
        <v>381</v>
      </c>
      <c r="E302" s="55">
        <v>51</v>
      </c>
      <c r="F302" s="55">
        <v>46</v>
      </c>
      <c r="G302" s="55">
        <v>88</v>
      </c>
    </row>
    <row r="303" spans="1:7">
      <c r="A303" t="s">
        <v>1307</v>
      </c>
      <c r="B303" s="49"/>
      <c r="C303" s="49">
        <v>1799</v>
      </c>
      <c r="D303" s="49">
        <v>176</v>
      </c>
      <c r="E303" s="55"/>
      <c r="F303" s="55">
        <v>56</v>
      </c>
      <c r="G303" s="55">
        <v>42</v>
      </c>
    </row>
    <row r="304" spans="1:7">
      <c r="A304" t="s">
        <v>1308</v>
      </c>
      <c r="B304" s="49">
        <v>2545</v>
      </c>
      <c r="C304" s="49">
        <v>2944</v>
      </c>
      <c r="D304" s="49">
        <v>1477</v>
      </c>
      <c r="E304" s="55">
        <v>71</v>
      </c>
      <c r="F304" s="55">
        <v>86</v>
      </c>
      <c r="G304" s="55">
        <v>276</v>
      </c>
    </row>
    <row r="305" spans="1:7">
      <c r="A305" t="s">
        <v>1309</v>
      </c>
      <c r="B305" s="49">
        <v>8315</v>
      </c>
      <c r="C305" s="49">
        <v>2370</v>
      </c>
      <c r="D305" s="49">
        <v>1014</v>
      </c>
      <c r="E305" s="55">
        <v>167</v>
      </c>
      <c r="F305" s="55">
        <v>108</v>
      </c>
      <c r="G305" s="55">
        <v>264</v>
      </c>
    </row>
    <row r="306" spans="1:7">
      <c r="A306" t="s">
        <v>1310</v>
      </c>
      <c r="B306" s="49">
        <v>5627</v>
      </c>
      <c r="C306" s="49">
        <v>2158</v>
      </c>
      <c r="D306" s="49">
        <v>1132</v>
      </c>
      <c r="E306" s="55">
        <v>158</v>
      </c>
      <c r="F306" s="55">
        <v>69</v>
      </c>
      <c r="G306" s="55">
        <v>234</v>
      </c>
    </row>
    <row r="307" spans="1:7">
      <c r="A307" t="s">
        <v>1311</v>
      </c>
      <c r="B307" s="49">
        <v>3968</v>
      </c>
      <c r="C307" s="49">
        <v>1920</v>
      </c>
      <c r="D307" s="49">
        <v>281</v>
      </c>
      <c r="E307" s="55">
        <v>64</v>
      </c>
      <c r="F307" s="55">
        <v>72</v>
      </c>
      <c r="G307" s="55">
        <v>72</v>
      </c>
    </row>
    <row r="308" spans="1:7">
      <c r="A308" t="s">
        <v>1312</v>
      </c>
      <c r="B308" s="49">
        <v>2</v>
      </c>
      <c r="C308" s="49">
        <v>8164</v>
      </c>
      <c r="D308" s="49">
        <v>675</v>
      </c>
      <c r="E308" s="55">
        <v>1</v>
      </c>
      <c r="F308" s="55">
        <v>167</v>
      </c>
      <c r="G308" s="55">
        <v>190</v>
      </c>
    </row>
    <row r="309" spans="1:7">
      <c r="A309" t="s">
        <v>1313</v>
      </c>
      <c r="B309" s="49">
        <v>358</v>
      </c>
      <c r="C309" s="49">
        <v>1892</v>
      </c>
      <c r="D309" s="49">
        <v>804</v>
      </c>
      <c r="E309" s="55">
        <v>14</v>
      </c>
      <c r="F309" s="55">
        <v>69</v>
      </c>
      <c r="G309" s="55">
        <v>185</v>
      </c>
    </row>
    <row r="310" spans="1:7">
      <c r="A310" t="s">
        <v>1314</v>
      </c>
      <c r="B310" s="49">
        <v>7123</v>
      </c>
      <c r="C310" s="49">
        <v>3495</v>
      </c>
      <c r="D310" s="49">
        <v>290</v>
      </c>
      <c r="E310" s="55">
        <v>131</v>
      </c>
      <c r="F310" s="55">
        <v>104</v>
      </c>
      <c r="G310" s="55">
        <v>73</v>
      </c>
    </row>
    <row r="311" spans="1:7">
      <c r="A311" t="s">
        <v>1315</v>
      </c>
      <c r="B311" s="49">
        <v>11809</v>
      </c>
      <c r="C311" s="49">
        <v>7274</v>
      </c>
      <c r="D311" s="49">
        <v>870</v>
      </c>
      <c r="E311" s="55">
        <v>162</v>
      </c>
      <c r="F311" s="55">
        <v>245</v>
      </c>
      <c r="G311" s="55">
        <v>180</v>
      </c>
    </row>
    <row r="312" spans="1:7">
      <c r="A312" t="s">
        <v>1316</v>
      </c>
      <c r="B312" s="49">
        <v>5395</v>
      </c>
      <c r="C312" s="49">
        <v>5904</v>
      </c>
      <c r="D312" s="49">
        <v>1063</v>
      </c>
      <c r="E312" s="55">
        <v>132</v>
      </c>
      <c r="F312" s="55">
        <v>217</v>
      </c>
      <c r="G312" s="55">
        <v>205</v>
      </c>
    </row>
    <row r="313" spans="1:7">
      <c r="A313" t="s">
        <v>1317</v>
      </c>
      <c r="B313" s="49">
        <v>1150</v>
      </c>
      <c r="C313" s="49">
        <v>2828</v>
      </c>
      <c r="D313" s="49">
        <v>174</v>
      </c>
      <c r="E313" s="55">
        <v>16</v>
      </c>
      <c r="F313" s="55">
        <v>96</v>
      </c>
      <c r="G313" s="55">
        <v>30</v>
      </c>
    </row>
    <row r="314" spans="1:7">
      <c r="A314" t="s">
        <v>1318</v>
      </c>
      <c r="B314" s="49"/>
      <c r="C314" s="49">
        <v>283</v>
      </c>
      <c r="D314" s="49"/>
      <c r="E314" s="55"/>
      <c r="F314" s="55">
        <v>2</v>
      </c>
      <c r="G314" s="55"/>
    </row>
    <row r="315" spans="1:7">
      <c r="A315" t="s">
        <v>1319</v>
      </c>
      <c r="B315" s="49"/>
      <c r="C315" s="49">
        <v>2422</v>
      </c>
      <c r="D315" s="49">
        <v>378</v>
      </c>
      <c r="E315" s="55"/>
      <c r="F315" s="55">
        <v>88</v>
      </c>
      <c r="G315" s="55">
        <v>98</v>
      </c>
    </row>
    <row r="316" spans="1:7">
      <c r="A316" t="s">
        <v>1320</v>
      </c>
      <c r="B316" s="49">
        <v>3667</v>
      </c>
      <c r="C316" s="49">
        <v>2890</v>
      </c>
      <c r="D316" s="49">
        <v>477</v>
      </c>
      <c r="E316" s="55">
        <v>91</v>
      </c>
      <c r="F316" s="55">
        <v>116</v>
      </c>
      <c r="G316" s="55">
        <v>118</v>
      </c>
    </row>
    <row r="317" spans="1:7">
      <c r="A317" t="s">
        <v>1321</v>
      </c>
      <c r="B317" s="49">
        <v>684</v>
      </c>
      <c r="C317" s="49">
        <v>350</v>
      </c>
      <c r="D317" s="49">
        <v>165</v>
      </c>
      <c r="E317" s="55">
        <v>22</v>
      </c>
      <c r="F317" s="55">
        <v>16</v>
      </c>
      <c r="G317" s="55">
        <v>53</v>
      </c>
    </row>
    <row r="318" spans="1:7">
      <c r="A318" t="s">
        <v>1322</v>
      </c>
      <c r="B318" s="49">
        <v>222</v>
      </c>
      <c r="C318" s="49">
        <v>1297</v>
      </c>
      <c r="D318" s="49">
        <v>169</v>
      </c>
      <c r="E318" s="55">
        <v>6</v>
      </c>
      <c r="F318" s="55">
        <v>65</v>
      </c>
      <c r="G318" s="55">
        <v>42</v>
      </c>
    </row>
    <row r="319" spans="1:7">
      <c r="A319" t="s">
        <v>1323</v>
      </c>
      <c r="B319" s="49">
        <v>1016</v>
      </c>
      <c r="C319" s="49">
        <v>2177</v>
      </c>
      <c r="D319" s="49">
        <v>122</v>
      </c>
      <c r="E319" s="55">
        <v>23</v>
      </c>
      <c r="F319" s="55">
        <v>104</v>
      </c>
      <c r="G319" s="55">
        <v>30</v>
      </c>
    </row>
    <row r="320" spans="1:7">
      <c r="A320" t="s">
        <v>1324</v>
      </c>
      <c r="B320" s="49">
        <v>996</v>
      </c>
      <c r="C320" s="49">
        <v>2183</v>
      </c>
      <c r="D320" s="49">
        <v>325</v>
      </c>
      <c r="E320" s="55">
        <v>15</v>
      </c>
      <c r="F320" s="55">
        <v>105</v>
      </c>
      <c r="G320" s="55">
        <v>78</v>
      </c>
    </row>
    <row r="321" spans="1:7">
      <c r="A321" t="s">
        <v>1325</v>
      </c>
      <c r="B321" s="49"/>
      <c r="C321" s="49">
        <v>972</v>
      </c>
      <c r="D321" s="49">
        <v>43</v>
      </c>
      <c r="E321" s="55"/>
      <c r="F321" s="55">
        <v>52</v>
      </c>
      <c r="G321" s="55">
        <v>11</v>
      </c>
    </row>
    <row r="322" spans="1:7">
      <c r="A322" t="s">
        <v>1326</v>
      </c>
      <c r="B322" s="49"/>
      <c r="C322" s="49">
        <v>315</v>
      </c>
      <c r="D322" s="49">
        <v>501</v>
      </c>
      <c r="E322" s="55"/>
      <c r="F322" s="55">
        <v>17</v>
      </c>
      <c r="G322" s="55">
        <v>138</v>
      </c>
    </row>
    <row r="323" spans="1:7">
      <c r="A323" t="s">
        <v>1327</v>
      </c>
      <c r="B323" s="49"/>
      <c r="C323" s="49">
        <v>920</v>
      </c>
      <c r="D323" s="49">
        <v>95</v>
      </c>
      <c r="E323" s="55"/>
      <c r="F323" s="55">
        <v>37</v>
      </c>
      <c r="G323" s="55">
        <v>21</v>
      </c>
    </row>
    <row r="324" spans="1:7">
      <c r="A324" t="s">
        <v>1328</v>
      </c>
      <c r="B324" s="49"/>
      <c r="C324" s="49">
        <v>524</v>
      </c>
      <c r="D324" s="49">
        <v>25</v>
      </c>
      <c r="E324" s="55"/>
      <c r="F324" s="55">
        <v>46</v>
      </c>
      <c r="G324" s="55">
        <v>5</v>
      </c>
    </row>
    <row r="325" spans="1:7">
      <c r="A325" t="s">
        <v>1329</v>
      </c>
      <c r="B325" s="49">
        <v>5</v>
      </c>
      <c r="C325" s="49">
        <v>37</v>
      </c>
      <c r="D325" s="49">
        <v>164</v>
      </c>
      <c r="E325" s="55">
        <v>2</v>
      </c>
      <c r="F325" s="55">
        <v>4</v>
      </c>
      <c r="G325" s="55">
        <v>46</v>
      </c>
    </row>
    <row r="326" spans="1:7">
      <c r="A326" t="s">
        <v>1330</v>
      </c>
      <c r="B326" s="49"/>
      <c r="C326" s="49">
        <v>885</v>
      </c>
      <c r="D326" s="49">
        <v>58</v>
      </c>
      <c r="E326" s="55"/>
      <c r="F326" s="55">
        <v>27</v>
      </c>
      <c r="G326" s="55">
        <v>15</v>
      </c>
    </row>
    <row r="327" spans="1:7">
      <c r="A327" t="s">
        <v>1331</v>
      </c>
      <c r="B327" s="49"/>
      <c r="C327" s="49">
        <v>484</v>
      </c>
      <c r="D327" s="49">
        <v>34</v>
      </c>
      <c r="E327" s="55"/>
      <c r="F327" s="55">
        <v>19</v>
      </c>
      <c r="G327" s="55">
        <v>11</v>
      </c>
    </row>
    <row r="328" spans="1:7">
      <c r="A328" t="s">
        <v>1332</v>
      </c>
      <c r="B328" s="49">
        <v>2</v>
      </c>
      <c r="C328" s="49">
        <v>705</v>
      </c>
      <c r="D328" s="49">
        <v>187</v>
      </c>
      <c r="E328" s="55">
        <v>1</v>
      </c>
      <c r="F328" s="55">
        <v>24</v>
      </c>
      <c r="G328" s="55">
        <v>49</v>
      </c>
    </row>
    <row r="329" spans="1:7">
      <c r="A329" t="s">
        <v>1333</v>
      </c>
      <c r="B329" s="49"/>
      <c r="C329" s="49">
        <v>418</v>
      </c>
      <c r="D329" s="49"/>
      <c r="E329" s="55"/>
      <c r="F329" s="55">
        <v>20</v>
      </c>
      <c r="G329" s="55"/>
    </row>
    <row r="330" spans="1:7">
      <c r="A330" t="s">
        <v>1334</v>
      </c>
      <c r="B330" s="49">
        <v>1187</v>
      </c>
      <c r="C330" s="49">
        <v>803</v>
      </c>
      <c r="D330" s="49">
        <v>377</v>
      </c>
      <c r="E330" s="55">
        <v>18</v>
      </c>
      <c r="F330" s="55">
        <v>52</v>
      </c>
      <c r="G330" s="55">
        <v>104</v>
      </c>
    </row>
    <row r="331" spans="1:7">
      <c r="A331" t="s">
        <v>1335</v>
      </c>
      <c r="B331" s="49">
        <v>3</v>
      </c>
      <c r="C331" s="49">
        <v>692</v>
      </c>
      <c r="D331" s="49">
        <v>23</v>
      </c>
      <c r="E331" s="55">
        <v>1</v>
      </c>
      <c r="F331" s="55">
        <v>28</v>
      </c>
      <c r="G331" s="55">
        <v>3</v>
      </c>
    </row>
    <row r="332" spans="1:7">
      <c r="A332" t="s">
        <v>1336</v>
      </c>
      <c r="B332" s="49">
        <v>422</v>
      </c>
      <c r="C332" s="49">
        <v>3449</v>
      </c>
      <c r="D332" s="49">
        <v>415</v>
      </c>
      <c r="E332" s="55">
        <v>6</v>
      </c>
      <c r="F332" s="55">
        <v>88</v>
      </c>
      <c r="G332" s="55">
        <v>70</v>
      </c>
    </row>
    <row r="333" spans="1:7">
      <c r="A333" t="s">
        <v>1337</v>
      </c>
      <c r="B333" s="49"/>
      <c r="C333" s="49">
        <v>936</v>
      </c>
      <c r="D333" s="49">
        <v>209</v>
      </c>
      <c r="E333" s="55"/>
      <c r="F333" s="55">
        <v>32</v>
      </c>
      <c r="G333" s="55">
        <v>58</v>
      </c>
    </row>
    <row r="334" spans="1:7">
      <c r="A334" t="s">
        <v>1338</v>
      </c>
      <c r="B334" s="49"/>
      <c r="C334" s="49">
        <v>324</v>
      </c>
      <c r="D334" s="49">
        <v>18</v>
      </c>
      <c r="E334" s="55"/>
      <c r="F334" s="55">
        <v>14</v>
      </c>
      <c r="G334" s="55">
        <v>3</v>
      </c>
    </row>
    <row r="335" spans="1:7">
      <c r="A335" t="s">
        <v>1339</v>
      </c>
      <c r="B335" s="49">
        <v>295</v>
      </c>
      <c r="C335" s="49">
        <v>3351</v>
      </c>
      <c r="D335" s="49">
        <v>430</v>
      </c>
      <c r="E335" s="55">
        <v>22</v>
      </c>
      <c r="F335" s="55">
        <v>104</v>
      </c>
      <c r="G335" s="55">
        <v>108</v>
      </c>
    </row>
    <row r="336" spans="1:7">
      <c r="A336" t="s">
        <v>1340</v>
      </c>
      <c r="B336" s="49">
        <v>3108</v>
      </c>
      <c r="C336" s="49">
        <v>4946</v>
      </c>
      <c r="D336" s="49">
        <v>316</v>
      </c>
      <c r="E336" s="55">
        <v>57</v>
      </c>
      <c r="F336" s="55">
        <v>156</v>
      </c>
      <c r="G336" s="55">
        <v>77</v>
      </c>
    </row>
    <row r="337" spans="1:7">
      <c r="A337" t="s">
        <v>1341</v>
      </c>
      <c r="B337" s="49">
        <v>194</v>
      </c>
      <c r="C337" s="49">
        <v>4679</v>
      </c>
      <c r="D337" s="49">
        <v>257</v>
      </c>
      <c r="E337" s="55">
        <v>9</v>
      </c>
      <c r="F337" s="55">
        <v>211</v>
      </c>
      <c r="G337" s="55">
        <v>65</v>
      </c>
    </row>
    <row r="338" spans="1:7">
      <c r="A338" t="s">
        <v>1342</v>
      </c>
      <c r="B338" s="49">
        <v>822</v>
      </c>
      <c r="C338" s="49">
        <v>3517</v>
      </c>
      <c r="D338" s="49">
        <v>287</v>
      </c>
      <c r="E338" s="55">
        <v>26</v>
      </c>
      <c r="F338" s="55">
        <v>148</v>
      </c>
      <c r="G338" s="55">
        <v>70</v>
      </c>
    </row>
    <row r="339" spans="1:7">
      <c r="A339" t="s">
        <v>1343</v>
      </c>
      <c r="B339" s="49">
        <v>4351</v>
      </c>
      <c r="C339" s="49">
        <v>3952</v>
      </c>
      <c r="D339" s="49">
        <v>454</v>
      </c>
      <c r="E339" s="55">
        <v>77</v>
      </c>
      <c r="F339" s="55">
        <v>137</v>
      </c>
      <c r="G339" s="55">
        <v>103</v>
      </c>
    </row>
    <row r="340" spans="1:7">
      <c r="A340" t="s">
        <v>1344</v>
      </c>
      <c r="B340" s="49"/>
      <c r="C340" s="49">
        <v>1079</v>
      </c>
      <c r="D340" s="49">
        <v>170</v>
      </c>
      <c r="E340" s="55"/>
      <c r="F340" s="55">
        <v>44</v>
      </c>
      <c r="G340" s="55">
        <v>26</v>
      </c>
    </row>
    <row r="341" spans="1:7">
      <c r="A341" t="s">
        <v>1345</v>
      </c>
      <c r="B341" s="49"/>
      <c r="C341" s="49">
        <v>2381</v>
      </c>
      <c r="D341" s="49">
        <v>115</v>
      </c>
      <c r="E341" s="55"/>
      <c r="F341" s="55">
        <v>96</v>
      </c>
      <c r="G341" s="55">
        <v>18</v>
      </c>
    </row>
    <row r="342" spans="1:7">
      <c r="A342" t="s">
        <v>1346</v>
      </c>
      <c r="B342" s="49"/>
      <c r="C342" s="49">
        <v>1432</v>
      </c>
      <c r="D342" s="49"/>
      <c r="E342" s="55"/>
      <c r="F342" s="55">
        <v>43</v>
      </c>
      <c r="G342" s="55"/>
    </row>
    <row r="343" spans="1:7">
      <c r="A343" t="s">
        <v>1347</v>
      </c>
      <c r="B343" s="49"/>
      <c r="C343" s="49">
        <v>1264</v>
      </c>
      <c r="D343" s="49">
        <v>5</v>
      </c>
      <c r="E343" s="55"/>
      <c r="F343" s="55">
        <v>43</v>
      </c>
      <c r="G343" s="55">
        <v>3</v>
      </c>
    </row>
    <row r="344" spans="1:7">
      <c r="A344" t="s">
        <v>1348</v>
      </c>
      <c r="B344" s="49">
        <v>12</v>
      </c>
      <c r="C344" s="49">
        <v>1745</v>
      </c>
      <c r="D344" s="49">
        <v>558</v>
      </c>
      <c r="E344" s="55">
        <v>2</v>
      </c>
      <c r="F344" s="55">
        <v>66</v>
      </c>
      <c r="G344" s="55">
        <v>135</v>
      </c>
    </row>
    <row r="345" spans="1:7">
      <c r="A345" t="s">
        <v>1349</v>
      </c>
      <c r="B345" s="49"/>
      <c r="C345" s="49">
        <v>1769</v>
      </c>
      <c r="D345" s="49">
        <v>132</v>
      </c>
      <c r="E345" s="55"/>
      <c r="F345" s="55">
        <v>95</v>
      </c>
      <c r="G345" s="55">
        <v>32</v>
      </c>
    </row>
    <row r="346" spans="1:7">
      <c r="A346" t="s">
        <v>1350</v>
      </c>
      <c r="B346" s="49">
        <v>261</v>
      </c>
      <c r="C346" s="49">
        <v>3487</v>
      </c>
      <c r="D346" s="49">
        <v>625</v>
      </c>
      <c r="E346" s="55">
        <v>15</v>
      </c>
      <c r="F346" s="55">
        <v>134</v>
      </c>
      <c r="G346" s="55">
        <v>158</v>
      </c>
    </row>
    <row r="347" spans="1:7">
      <c r="A347" t="s">
        <v>1351</v>
      </c>
      <c r="B347" s="49"/>
      <c r="C347" s="49">
        <v>1385</v>
      </c>
      <c r="D347" s="49">
        <v>22</v>
      </c>
      <c r="E347" s="55"/>
      <c r="F347" s="55">
        <v>64</v>
      </c>
      <c r="G347" s="55">
        <v>7</v>
      </c>
    </row>
    <row r="348" spans="1:7">
      <c r="A348" t="s">
        <v>1352</v>
      </c>
      <c r="B348" s="49">
        <v>8</v>
      </c>
      <c r="C348" s="49">
        <v>1208</v>
      </c>
      <c r="D348" s="49">
        <v>58</v>
      </c>
      <c r="E348" s="55">
        <v>1</v>
      </c>
      <c r="F348" s="55">
        <v>60</v>
      </c>
      <c r="G348" s="55">
        <v>13</v>
      </c>
    </row>
    <row r="349" spans="1:7">
      <c r="A349" t="s">
        <v>1353</v>
      </c>
      <c r="B349" s="49">
        <v>34</v>
      </c>
      <c r="C349" s="49">
        <v>747</v>
      </c>
      <c r="D349" s="49">
        <v>102</v>
      </c>
      <c r="E349" s="55">
        <v>3</v>
      </c>
      <c r="F349" s="55">
        <v>27</v>
      </c>
      <c r="G349" s="55">
        <v>23</v>
      </c>
    </row>
    <row r="350" spans="1:7">
      <c r="A350" t="s">
        <v>1354</v>
      </c>
      <c r="B350" s="49"/>
      <c r="C350" s="49">
        <v>203</v>
      </c>
      <c r="D350" s="49"/>
      <c r="E350" s="55"/>
      <c r="F350" s="55">
        <v>10</v>
      </c>
      <c r="G350" s="55"/>
    </row>
    <row r="351" spans="1:7">
      <c r="A351" t="s">
        <v>1355</v>
      </c>
      <c r="B351" s="49"/>
      <c r="C351" s="49">
        <v>3778</v>
      </c>
      <c r="D351" s="49">
        <v>163</v>
      </c>
      <c r="E351" s="55"/>
      <c r="F351" s="55">
        <v>185</v>
      </c>
      <c r="G351" s="55">
        <v>36</v>
      </c>
    </row>
    <row r="352" spans="1:7">
      <c r="A352" t="s">
        <v>1356</v>
      </c>
      <c r="B352" s="49">
        <v>898</v>
      </c>
      <c r="C352" s="49">
        <v>9591</v>
      </c>
      <c r="D352" s="49">
        <v>693</v>
      </c>
      <c r="E352" s="55">
        <v>44</v>
      </c>
      <c r="F352" s="55">
        <v>456</v>
      </c>
      <c r="G352" s="55">
        <v>255</v>
      </c>
    </row>
    <row r="353" spans="1:7">
      <c r="A353" t="s">
        <v>1357</v>
      </c>
      <c r="B353" s="49">
        <v>10</v>
      </c>
      <c r="C353" s="49">
        <v>2351</v>
      </c>
      <c r="D353" s="49">
        <v>19</v>
      </c>
      <c r="E353" s="55">
        <v>3</v>
      </c>
      <c r="F353" s="55">
        <v>90</v>
      </c>
      <c r="G353" s="55">
        <v>4</v>
      </c>
    </row>
    <row r="354" spans="1:7">
      <c r="A354" t="s">
        <v>1358</v>
      </c>
      <c r="B354" s="49">
        <v>68</v>
      </c>
      <c r="C354" s="49">
        <v>6191</v>
      </c>
      <c r="D354" s="49">
        <v>251</v>
      </c>
      <c r="E354" s="55">
        <v>4</v>
      </c>
      <c r="F354" s="55">
        <v>226</v>
      </c>
      <c r="G354" s="55">
        <v>46</v>
      </c>
    </row>
    <row r="355" spans="1:7">
      <c r="A355" t="s">
        <v>1359</v>
      </c>
      <c r="B355" s="49"/>
      <c r="C355" s="49">
        <v>935</v>
      </c>
      <c r="D355" s="49">
        <v>3</v>
      </c>
      <c r="E355" s="55"/>
      <c r="F355" s="55">
        <v>37</v>
      </c>
      <c r="G355" s="55">
        <v>2</v>
      </c>
    </row>
    <row r="356" spans="1:7">
      <c r="A356" t="s">
        <v>1360</v>
      </c>
      <c r="B356" s="49">
        <v>193</v>
      </c>
      <c r="C356" s="49">
        <v>3296</v>
      </c>
      <c r="D356" s="49">
        <v>256</v>
      </c>
      <c r="E356" s="55">
        <v>7</v>
      </c>
      <c r="F356" s="55">
        <v>148</v>
      </c>
      <c r="G356" s="55">
        <v>83</v>
      </c>
    </row>
    <row r="357" spans="1:7">
      <c r="A357" t="s">
        <v>1361</v>
      </c>
      <c r="B357" s="49"/>
      <c r="C357" s="49">
        <v>820</v>
      </c>
      <c r="D357" s="49"/>
      <c r="E357" s="55"/>
      <c r="F357" s="55">
        <v>24</v>
      </c>
      <c r="G357" s="55"/>
    </row>
    <row r="358" spans="1:7">
      <c r="A358" t="s">
        <v>1362</v>
      </c>
      <c r="B358" s="49">
        <v>7</v>
      </c>
      <c r="C358" s="49">
        <v>3978</v>
      </c>
      <c r="D358" s="49">
        <v>207</v>
      </c>
      <c r="E358" s="55">
        <v>2</v>
      </c>
      <c r="F358" s="55">
        <v>185</v>
      </c>
      <c r="G358" s="55">
        <v>82</v>
      </c>
    </row>
    <row r="359" spans="1:7">
      <c r="A359" t="s">
        <v>1363</v>
      </c>
      <c r="B359" s="49">
        <v>511</v>
      </c>
      <c r="C359" s="49">
        <v>240</v>
      </c>
      <c r="D359" s="49">
        <v>32</v>
      </c>
      <c r="E359" s="55">
        <v>14</v>
      </c>
      <c r="F359" s="55">
        <v>6</v>
      </c>
      <c r="G359" s="55">
        <v>8</v>
      </c>
    </row>
    <row r="360" spans="1:7">
      <c r="A360" t="s">
        <v>1364</v>
      </c>
      <c r="B360" s="49"/>
      <c r="C360" s="49">
        <v>817</v>
      </c>
      <c r="D360" s="49"/>
      <c r="E360" s="55"/>
      <c r="F360" s="55">
        <v>20</v>
      </c>
      <c r="G360" s="55"/>
    </row>
    <row r="361" spans="1:7">
      <c r="A361" t="s">
        <v>1365</v>
      </c>
      <c r="B361" s="49"/>
      <c r="C361" s="49">
        <v>1802</v>
      </c>
      <c r="D361" s="49">
        <v>81</v>
      </c>
      <c r="E361" s="55"/>
      <c r="F361" s="55">
        <v>68</v>
      </c>
      <c r="G361" s="55">
        <v>18</v>
      </c>
    </row>
    <row r="362" spans="1:7">
      <c r="A362" t="s">
        <v>1366</v>
      </c>
      <c r="B362" s="49"/>
      <c r="C362" s="49">
        <v>620</v>
      </c>
      <c r="D362" s="49"/>
      <c r="E362" s="55"/>
      <c r="F362" s="55">
        <v>7</v>
      </c>
      <c r="G362" s="55"/>
    </row>
    <row r="363" spans="1:7">
      <c r="A363" t="s">
        <v>1367</v>
      </c>
      <c r="B363" s="49"/>
      <c r="C363" s="49">
        <v>22</v>
      </c>
      <c r="D363" s="49">
        <v>42</v>
      </c>
      <c r="E363" s="55"/>
      <c r="F363" s="55">
        <v>1</v>
      </c>
      <c r="G363" s="55">
        <v>20</v>
      </c>
    </row>
    <row r="364" spans="1:7">
      <c r="A364" t="s">
        <v>1368</v>
      </c>
      <c r="B364" s="49">
        <v>17</v>
      </c>
      <c r="C364" s="49">
        <v>2184</v>
      </c>
      <c r="D364" s="49">
        <v>1107</v>
      </c>
      <c r="E364" s="55">
        <v>4</v>
      </c>
      <c r="F364" s="55">
        <v>87</v>
      </c>
      <c r="G364" s="55">
        <v>254</v>
      </c>
    </row>
    <row r="365" spans="1:7">
      <c r="A365" t="s">
        <v>1369</v>
      </c>
      <c r="B365" s="49"/>
      <c r="C365" s="49">
        <v>22</v>
      </c>
      <c r="D365" s="49">
        <v>2</v>
      </c>
      <c r="E365" s="55"/>
      <c r="F365" s="55">
        <v>2</v>
      </c>
      <c r="G365" s="55">
        <v>1</v>
      </c>
    </row>
    <row r="366" spans="1:7">
      <c r="A366" t="s">
        <v>1370</v>
      </c>
      <c r="B366" s="49"/>
      <c r="C366" s="49">
        <v>32</v>
      </c>
      <c r="D366" s="49"/>
      <c r="E366" s="55"/>
      <c r="F366" s="55">
        <v>2</v>
      </c>
      <c r="G366" s="55"/>
    </row>
    <row r="367" spans="1:7">
      <c r="A367" t="s">
        <v>1371</v>
      </c>
      <c r="B367" s="49">
        <v>4</v>
      </c>
      <c r="C367" s="49">
        <v>1938</v>
      </c>
      <c r="D367" s="49">
        <v>229</v>
      </c>
      <c r="E367" s="55">
        <v>1</v>
      </c>
      <c r="F367" s="55">
        <v>69</v>
      </c>
      <c r="G367" s="55">
        <v>54</v>
      </c>
    </row>
    <row r="368" spans="1:7">
      <c r="A368" t="s">
        <v>1372</v>
      </c>
      <c r="B368" s="49"/>
      <c r="C368" s="49">
        <v>183</v>
      </c>
      <c r="D368" s="49">
        <v>182</v>
      </c>
      <c r="E368" s="55"/>
      <c r="F368" s="55">
        <v>8</v>
      </c>
      <c r="G368" s="55">
        <v>49</v>
      </c>
    </row>
    <row r="369" spans="1:7">
      <c r="A369" t="s">
        <v>1373</v>
      </c>
      <c r="B369" s="49"/>
      <c r="C369" s="49">
        <v>213</v>
      </c>
      <c r="D369" s="49">
        <v>52</v>
      </c>
      <c r="E369" s="55"/>
      <c r="F369" s="55">
        <v>3</v>
      </c>
      <c r="G369" s="55">
        <v>16</v>
      </c>
    </row>
    <row r="370" spans="1:7">
      <c r="A370" t="s">
        <v>1374</v>
      </c>
      <c r="B370" s="49"/>
      <c r="C370" s="49">
        <v>140</v>
      </c>
      <c r="D370" s="49"/>
      <c r="E370" s="55"/>
      <c r="F370" s="55">
        <v>3</v>
      </c>
      <c r="G370" s="55"/>
    </row>
    <row r="371" spans="1:7">
      <c r="A371" t="s">
        <v>1375</v>
      </c>
      <c r="B371" s="49"/>
      <c r="C371" s="49">
        <v>64</v>
      </c>
      <c r="D371" s="49"/>
      <c r="E371" s="55"/>
      <c r="F371" s="55">
        <v>4</v>
      </c>
      <c r="G371" s="55"/>
    </row>
    <row r="372" spans="1:7">
      <c r="A372" t="s">
        <v>1376</v>
      </c>
      <c r="B372" s="49">
        <v>320</v>
      </c>
      <c r="C372" s="49">
        <v>2627</v>
      </c>
      <c r="D372" s="49">
        <v>738</v>
      </c>
      <c r="E372" s="55">
        <v>9</v>
      </c>
      <c r="F372" s="55">
        <v>88</v>
      </c>
      <c r="G372" s="55">
        <v>184</v>
      </c>
    </row>
    <row r="373" spans="1:7">
      <c r="A373" t="s">
        <v>1377</v>
      </c>
      <c r="B373" s="49"/>
      <c r="C373" s="49">
        <v>2274</v>
      </c>
      <c r="D373" s="49">
        <v>18</v>
      </c>
      <c r="E373" s="55"/>
      <c r="F373" s="55">
        <v>83</v>
      </c>
      <c r="G373" s="55">
        <v>5</v>
      </c>
    </row>
    <row r="374" spans="1:7">
      <c r="A374" t="s">
        <v>1378</v>
      </c>
      <c r="B374" s="49"/>
      <c r="C374" s="49">
        <v>529</v>
      </c>
      <c r="D374" s="49">
        <v>349</v>
      </c>
      <c r="E374" s="55"/>
      <c r="F374" s="55">
        <v>20</v>
      </c>
      <c r="G374" s="55">
        <v>65</v>
      </c>
    </row>
    <row r="375" spans="1:7">
      <c r="A375" t="s">
        <v>1379</v>
      </c>
      <c r="B375" s="49">
        <v>3227</v>
      </c>
      <c r="C375" s="49">
        <v>729</v>
      </c>
      <c r="D375" s="49">
        <v>398</v>
      </c>
      <c r="E375" s="55">
        <v>102</v>
      </c>
      <c r="F375" s="55">
        <v>34</v>
      </c>
      <c r="G375" s="55">
        <v>110</v>
      </c>
    </row>
    <row r="376" spans="1:7">
      <c r="A376" t="s">
        <v>1380</v>
      </c>
      <c r="B376" s="49">
        <v>25384</v>
      </c>
      <c r="C376" s="49">
        <v>3466</v>
      </c>
      <c r="D376" s="49">
        <v>5610</v>
      </c>
      <c r="E376" s="55">
        <v>540</v>
      </c>
      <c r="F376" s="55">
        <v>221</v>
      </c>
      <c r="G376" s="55">
        <v>1135</v>
      </c>
    </row>
    <row r="377" spans="1:7">
      <c r="A377" t="s">
        <v>1381</v>
      </c>
      <c r="B377" s="49">
        <v>1614</v>
      </c>
      <c r="C377" s="49">
        <v>1323</v>
      </c>
      <c r="D377" s="49">
        <v>653</v>
      </c>
      <c r="E377" s="55">
        <v>20</v>
      </c>
      <c r="F377" s="55">
        <v>44</v>
      </c>
      <c r="G377" s="55">
        <v>147</v>
      </c>
    </row>
    <row r="378" spans="1:7">
      <c r="A378" t="s">
        <v>1382</v>
      </c>
      <c r="B378" s="49">
        <v>787</v>
      </c>
      <c r="C378" s="49">
        <v>1009</v>
      </c>
      <c r="D378" s="49">
        <v>1223</v>
      </c>
      <c r="E378" s="55">
        <v>26</v>
      </c>
      <c r="F378" s="55">
        <v>55</v>
      </c>
      <c r="G378" s="55">
        <v>286</v>
      </c>
    </row>
    <row r="379" spans="1:7">
      <c r="A379" t="s">
        <v>1383</v>
      </c>
      <c r="B379" s="49"/>
      <c r="C379" s="49">
        <v>1023</v>
      </c>
      <c r="D379" s="49">
        <v>471</v>
      </c>
      <c r="E379" s="55"/>
      <c r="F379" s="55">
        <v>39</v>
      </c>
      <c r="G379" s="55">
        <v>134</v>
      </c>
    </row>
    <row r="380" spans="1:7">
      <c r="A380" t="s">
        <v>1384</v>
      </c>
      <c r="B380" s="49"/>
      <c r="C380" s="49">
        <v>1292</v>
      </c>
      <c r="D380" s="49">
        <v>262</v>
      </c>
      <c r="E380" s="55"/>
      <c r="F380" s="55">
        <v>32</v>
      </c>
      <c r="G380" s="55">
        <v>63</v>
      </c>
    </row>
    <row r="381" spans="1:7">
      <c r="A381" t="s">
        <v>1385</v>
      </c>
      <c r="B381" s="49"/>
      <c r="C381" s="49">
        <v>1735</v>
      </c>
      <c r="D381" s="49">
        <v>44</v>
      </c>
      <c r="E381" s="55"/>
      <c r="F381" s="55">
        <v>62</v>
      </c>
      <c r="G381" s="55">
        <v>11</v>
      </c>
    </row>
    <row r="382" spans="1:7">
      <c r="A382" t="s">
        <v>1386</v>
      </c>
      <c r="B382" s="49">
        <v>1839</v>
      </c>
      <c r="C382" s="49">
        <v>1108</v>
      </c>
      <c r="D382" s="49">
        <v>1662</v>
      </c>
      <c r="E382" s="55">
        <v>20</v>
      </c>
      <c r="F382" s="55">
        <v>29</v>
      </c>
      <c r="G382" s="55">
        <v>295</v>
      </c>
    </row>
    <row r="383" spans="1:7">
      <c r="A383" t="s">
        <v>1387</v>
      </c>
      <c r="B383" s="49"/>
      <c r="C383" s="49">
        <v>803</v>
      </c>
      <c r="D383" s="49">
        <v>496</v>
      </c>
      <c r="E383" s="55"/>
      <c r="F383" s="55">
        <v>24</v>
      </c>
      <c r="G383" s="55">
        <v>152</v>
      </c>
    </row>
    <row r="384" spans="1:7">
      <c r="A384" t="s">
        <v>1388</v>
      </c>
      <c r="B384" s="49">
        <v>3827</v>
      </c>
      <c r="C384" s="49">
        <v>2230</v>
      </c>
      <c r="D384" s="49">
        <v>1183</v>
      </c>
      <c r="E384" s="55">
        <v>101</v>
      </c>
      <c r="F384" s="55">
        <v>47</v>
      </c>
      <c r="G384" s="55">
        <v>292</v>
      </c>
    </row>
    <row r="385" spans="1:7">
      <c r="A385" t="s">
        <v>1389</v>
      </c>
      <c r="B385" s="49">
        <v>937</v>
      </c>
      <c r="C385" s="49">
        <v>971</v>
      </c>
      <c r="D385" s="49">
        <v>1262</v>
      </c>
      <c r="E385" s="55">
        <v>26</v>
      </c>
      <c r="F385" s="55">
        <v>37</v>
      </c>
      <c r="G385" s="55">
        <v>351</v>
      </c>
    </row>
    <row r="386" spans="1:7">
      <c r="A386" t="s">
        <v>1390</v>
      </c>
      <c r="B386" s="49"/>
      <c r="C386" s="49">
        <v>1621</v>
      </c>
      <c r="D386" s="49">
        <v>398</v>
      </c>
      <c r="E386" s="55"/>
      <c r="F386" s="55">
        <v>41</v>
      </c>
      <c r="G386" s="55">
        <v>123</v>
      </c>
    </row>
    <row r="387" spans="1:7">
      <c r="A387" t="s">
        <v>1391</v>
      </c>
      <c r="B387" s="49"/>
      <c r="C387" s="49">
        <v>1121</v>
      </c>
      <c r="D387" s="49">
        <v>474</v>
      </c>
      <c r="E387" s="55"/>
      <c r="F387" s="55">
        <v>28</v>
      </c>
      <c r="G387" s="55">
        <v>141</v>
      </c>
    </row>
    <row r="388" spans="1:7">
      <c r="A388" t="s">
        <v>1392</v>
      </c>
      <c r="B388" s="49"/>
      <c r="C388" s="49">
        <v>7976</v>
      </c>
      <c r="D388" s="49">
        <v>1111</v>
      </c>
      <c r="E388" s="55"/>
      <c r="F388" s="55">
        <v>230</v>
      </c>
      <c r="G388" s="55">
        <v>292</v>
      </c>
    </row>
    <row r="389" spans="1:7">
      <c r="A389" t="s">
        <v>1393</v>
      </c>
      <c r="B389" s="49">
        <v>2</v>
      </c>
      <c r="C389" s="49">
        <v>7080</v>
      </c>
      <c r="D389" s="49">
        <v>1142</v>
      </c>
      <c r="E389" s="55">
        <v>1</v>
      </c>
      <c r="F389" s="55">
        <v>310</v>
      </c>
      <c r="G389" s="55">
        <v>289</v>
      </c>
    </row>
    <row r="390" spans="1:7">
      <c r="A390" t="s">
        <v>1394</v>
      </c>
      <c r="B390" s="49"/>
      <c r="C390" s="49">
        <v>517</v>
      </c>
      <c r="D390" s="49">
        <v>1280</v>
      </c>
      <c r="E390" s="55"/>
      <c r="F390" s="55">
        <v>15</v>
      </c>
      <c r="G390" s="55">
        <v>384</v>
      </c>
    </row>
    <row r="391" spans="1:7">
      <c r="A391" t="s">
        <v>1395</v>
      </c>
      <c r="B391" s="49">
        <v>3212</v>
      </c>
      <c r="C391" s="49">
        <v>1408</v>
      </c>
      <c r="D391" s="49">
        <v>1426</v>
      </c>
      <c r="E391" s="55">
        <v>46</v>
      </c>
      <c r="F391" s="55">
        <v>59</v>
      </c>
      <c r="G391" s="55">
        <v>306</v>
      </c>
    </row>
    <row r="392" spans="1:7">
      <c r="A392" t="s">
        <v>1396</v>
      </c>
      <c r="B392" s="49">
        <v>51</v>
      </c>
      <c r="C392" s="49"/>
      <c r="D392" s="49">
        <v>322</v>
      </c>
      <c r="E392" s="55">
        <v>2</v>
      </c>
      <c r="F392" s="55"/>
      <c r="G392" s="55">
        <v>70</v>
      </c>
    </row>
    <row r="393" spans="1:7">
      <c r="A393" t="s">
        <v>1397</v>
      </c>
      <c r="B393" s="49"/>
      <c r="C393" s="49">
        <v>1996</v>
      </c>
      <c r="D393" s="49">
        <v>107</v>
      </c>
      <c r="E393" s="55"/>
      <c r="F393" s="55">
        <v>84</v>
      </c>
      <c r="G393" s="55">
        <v>45</v>
      </c>
    </row>
    <row r="394" spans="1:7">
      <c r="A394" t="s">
        <v>1398</v>
      </c>
      <c r="B394" s="49">
        <v>21</v>
      </c>
      <c r="C394" s="49">
        <v>6928</v>
      </c>
      <c r="D394" s="49">
        <v>1314</v>
      </c>
      <c r="E394" s="55">
        <v>6</v>
      </c>
      <c r="F394" s="55">
        <v>373</v>
      </c>
      <c r="G394" s="55">
        <v>366</v>
      </c>
    </row>
    <row r="395" spans="1:7">
      <c r="A395" t="s">
        <v>1399</v>
      </c>
      <c r="B395" s="49">
        <v>60</v>
      </c>
      <c r="C395" s="49">
        <v>2142</v>
      </c>
      <c r="D395" s="49">
        <v>471</v>
      </c>
      <c r="E395" s="55">
        <v>6</v>
      </c>
      <c r="F395" s="55">
        <v>102</v>
      </c>
      <c r="G395" s="55">
        <v>131</v>
      </c>
    </row>
    <row r="396" spans="1:7">
      <c r="A396" t="s">
        <v>1400</v>
      </c>
      <c r="B396" s="49">
        <v>2142</v>
      </c>
      <c r="C396" s="49">
        <v>747</v>
      </c>
      <c r="D396" s="49">
        <v>325</v>
      </c>
      <c r="E396" s="55">
        <v>70</v>
      </c>
      <c r="F396" s="55">
        <v>27</v>
      </c>
      <c r="G396" s="55">
        <v>88</v>
      </c>
    </row>
    <row r="397" spans="1:7">
      <c r="A397" t="s">
        <v>1401</v>
      </c>
      <c r="B397" s="49">
        <v>6</v>
      </c>
      <c r="C397" s="49">
        <v>664</v>
      </c>
      <c r="D397" s="49">
        <v>81</v>
      </c>
      <c r="E397" s="55">
        <v>1</v>
      </c>
      <c r="F397" s="55">
        <v>28</v>
      </c>
      <c r="G397" s="55">
        <v>30</v>
      </c>
    </row>
    <row r="398" spans="1:7">
      <c r="A398" t="s">
        <v>1402</v>
      </c>
      <c r="B398" s="49">
        <v>3801</v>
      </c>
      <c r="C398" s="49">
        <v>1221</v>
      </c>
      <c r="D398" s="49">
        <v>274</v>
      </c>
      <c r="E398" s="55">
        <v>108</v>
      </c>
      <c r="F398" s="55">
        <v>58</v>
      </c>
      <c r="G398" s="55">
        <v>81</v>
      </c>
    </row>
    <row r="399" spans="1:7">
      <c r="A399" t="s">
        <v>1403</v>
      </c>
      <c r="B399" s="49">
        <v>2529</v>
      </c>
      <c r="C399" s="49">
        <v>2249</v>
      </c>
      <c r="D399" s="49">
        <v>810</v>
      </c>
      <c r="E399" s="55">
        <v>56</v>
      </c>
      <c r="F399" s="55">
        <v>86</v>
      </c>
      <c r="G399" s="55">
        <v>206</v>
      </c>
    </row>
    <row r="400" spans="1:7">
      <c r="A400" t="s">
        <v>1404</v>
      </c>
      <c r="B400" s="49">
        <v>3</v>
      </c>
      <c r="C400" s="49">
        <v>278</v>
      </c>
      <c r="D400" s="49">
        <v>222</v>
      </c>
      <c r="E400" s="55">
        <v>1</v>
      </c>
      <c r="F400" s="55">
        <v>11</v>
      </c>
      <c r="G400" s="55">
        <v>68</v>
      </c>
    </row>
    <row r="401" spans="1:7">
      <c r="A401" t="s">
        <v>1405</v>
      </c>
      <c r="B401" s="49"/>
      <c r="C401" s="49">
        <v>2692</v>
      </c>
      <c r="D401" s="49">
        <v>195</v>
      </c>
      <c r="E401" s="55"/>
      <c r="F401" s="55">
        <v>116</v>
      </c>
      <c r="G401" s="55">
        <v>44</v>
      </c>
    </row>
    <row r="402" spans="1:7">
      <c r="A402" t="s">
        <v>1406</v>
      </c>
      <c r="B402" s="49">
        <v>8272</v>
      </c>
      <c r="C402" s="49">
        <v>2184</v>
      </c>
      <c r="D402" s="49">
        <v>976</v>
      </c>
      <c r="E402" s="55">
        <v>120</v>
      </c>
      <c r="F402" s="55">
        <v>143</v>
      </c>
      <c r="G402" s="55">
        <v>257</v>
      </c>
    </row>
    <row r="403" spans="1:7">
      <c r="A403" t="s">
        <v>1407</v>
      </c>
      <c r="B403" s="49">
        <v>29510</v>
      </c>
      <c r="C403" s="49">
        <v>492</v>
      </c>
      <c r="D403" s="49">
        <v>288</v>
      </c>
      <c r="E403" s="55">
        <v>515</v>
      </c>
      <c r="F403" s="55">
        <v>28</v>
      </c>
      <c r="G403" s="55">
        <v>63</v>
      </c>
    </row>
    <row r="404" spans="1:7">
      <c r="A404" t="s">
        <v>1408</v>
      </c>
      <c r="B404" s="49">
        <v>46316</v>
      </c>
      <c r="C404" s="49">
        <v>4795</v>
      </c>
      <c r="D404" s="49">
        <v>3352</v>
      </c>
      <c r="E404" s="55">
        <v>1131</v>
      </c>
      <c r="F404" s="55">
        <v>193</v>
      </c>
      <c r="G404" s="55">
        <v>658</v>
      </c>
    </row>
    <row r="405" spans="1:7">
      <c r="A405" t="s">
        <v>1409</v>
      </c>
      <c r="B405" s="49">
        <v>31063</v>
      </c>
      <c r="C405" s="49">
        <v>6628</v>
      </c>
      <c r="D405" s="49">
        <v>1514</v>
      </c>
      <c r="E405" s="55">
        <v>785</v>
      </c>
      <c r="F405" s="55">
        <v>242</v>
      </c>
      <c r="G405" s="55">
        <v>413</v>
      </c>
    </row>
    <row r="406" spans="1:7">
      <c r="A406" t="s">
        <v>1410</v>
      </c>
      <c r="B406" s="49">
        <v>265</v>
      </c>
      <c r="C406" s="49">
        <v>2919</v>
      </c>
      <c r="D406" s="49">
        <v>351</v>
      </c>
      <c r="E406" s="55">
        <v>13</v>
      </c>
      <c r="F406" s="55">
        <v>140</v>
      </c>
      <c r="G406" s="55">
        <v>107</v>
      </c>
    </row>
    <row r="407" spans="1:7">
      <c r="A407" t="s">
        <v>1411</v>
      </c>
      <c r="B407" s="49">
        <v>1388</v>
      </c>
      <c r="C407" s="49">
        <v>2587</v>
      </c>
      <c r="D407" s="49">
        <v>1326</v>
      </c>
      <c r="E407" s="55">
        <v>28</v>
      </c>
      <c r="F407" s="55">
        <v>104</v>
      </c>
      <c r="G407" s="55">
        <v>348</v>
      </c>
    </row>
    <row r="408" spans="1:7">
      <c r="A408" t="s">
        <v>1412</v>
      </c>
      <c r="B408" s="49">
        <v>4407</v>
      </c>
      <c r="C408" s="49">
        <v>1313</v>
      </c>
      <c r="D408" s="49">
        <v>1236</v>
      </c>
      <c r="E408" s="55">
        <v>134</v>
      </c>
      <c r="F408" s="55">
        <v>62</v>
      </c>
      <c r="G408" s="55">
        <v>308</v>
      </c>
    </row>
    <row r="409" spans="1:7">
      <c r="A409" t="s">
        <v>1413</v>
      </c>
      <c r="B409" s="49">
        <v>10</v>
      </c>
      <c r="C409" s="49">
        <v>435</v>
      </c>
      <c r="D409" s="49">
        <v>640</v>
      </c>
      <c r="E409" s="55">
        <v>2</v>
      </c>
      <c r="F409" s="55">
        <v>17</v>
      </c>
      <c r="G409" s="55">
        <v>128</v>
      </c>
    </row>
    <row r="410" spans="1:7">
      <c r="A410" t="s">
        <v>1414</v>
      </c>
      <c r="B410" s="49"/>
      <c r="C410" s="49">
        <v>274</v>
      </c>
      <c r="D410" s="49">
        <v>45</v>
      </c>
      <c r="E410" s="55"/>
      <c r="F410" s="55">
        <v>8</v>
      </c>
      <c r="G410" s="55">
        <v>14</v>
      </c>
    </row>
    <row r="411" spans="1:7">
      <c r="A411" t="s">
        <v>1415</v>
      </c>
      <c r="B411" s="49"/>
      <c r="C411" s="49">
        <v>822</v>
      </c>
      <c r="D411" s="49">
        <v>309</v>
      </c>
      <c r="E411" s="55"/>
      <c r="F411" s="55">
        <v>14</v>
      </c>
      <c r="G411" s="55">
        <v>69</v>
      </c>
    </row>
    <row r="412" spans="1:7">
      <c r="A412" t="s">
        <v>1416</v>
      </c>
      <c r="B412" s="49">
        <v>5753</v>
      </c>
      <c r="C412" s="49">
        <v>938</v>
      </c>
      <c r="D412" s="49">
        <v>651</v>
      </c>
      <c r="E412" s="55">
        <v>145</v>
      </c>
      <c r="F412" s="55">
        <v>28</v>
      </c>
      <c r="G412" s="55">
        <v>154</v>
      </c>
    </row>
    <row r="413" spans="1:7">
      <c r="A413" t="s">
        <v>1417</v>
      </c>
      <c r="B413" s="49">
        <v>2547</v>
      </c>
      <c r="C413" s="49">
        <v>1341</v>
      </c>
      <c r="D413" s="49">
        <v>780</v>
      </c>
      <c r="E413" s="55">
        <v>93</v>
      </c>
      <c r="F413" s="55">
        <v>59</v>
      </c>
      <c r="G413" s="55">
        <v>209</v>
      </c>
    </row>
    <row r="414" spans="1:7">
      <c r="A414" t="s">
        <v>1418</v>
      </c>
      <c r="B414" s="49">
        <v>13513</v>
      </c>
      <c r="C414" s="49">
        <v>1522</v>
      </c>
      <c r="D414" s="49">
        <v>2634</v>
      </c>
      <c r="E414" s="55">
        <v>264</v>
      </c>
      <c r="F414" s="55">
        <v>35</v>
      </c>
      <c r="G414" s="55">
        <v>455</v>
      </c>
    </row>
    <row r="415" spans="1:7">
      <c r="A415" t="s">
        <v>1419</v>
      </c>
      <c r="B415" s="49">
        <v>1293</v>
      </c>
      <c r="C415" s="49">
        <v>539</v>
      </c>
      <c r="D415" s="49">
        <v>404</v>
      </c>
      <c r="E415" s="55">
        <v>19</v>
      </c>
      <c r="F415" s="55">
        <v>22</v>
      </c>
      <c r="G415" s="55">
        <v>134</v>
      </c>
    </row>
    <row r="416" spans="1:7">
      <c r="A416" t="s">
        <v>1420</v>
      </c>
      <c r="B416" s="49"/>
      <c r="C416" s="49">
        <v>2095</v>
      </c>
      <c r="D416" s="49">
        <v>255</v>
      </c>
      <c r="E416" s="55"/>
      <c r="F416" s="55">
        <v>44</v>
      </c>
      <c r="G416" s="55">
        <v>54</v>
      </c>
    </row>
    <row r="417" spans="1:7">
      <c r="A417" t="s">
        <v>1421</v>
      </c>
      <c r="B417" s="49"/>
      <c r="C417" s="49">
        <v>952</v>
      </c>
      <c r="D417" s="49">
        <v>551</v>
      </c>
      <c r="E417" s="55"/>
      <c r="F417" s="55">
        <v>24</v>
      </c>
      <c r="G417" s="55">
        <v>113</v>
      </c>
    </row>
    <row r="418" spans="1:7">
      <c r="A418" t="s">
        <v>1422</v>
      </c>
      <c r="B418" s="49">
        <v>3085</v>
      </c>
      <c r="C418" s="49">
        <v>810</v>
      </c>
      <c r="D418" s="49">
        <v>2043</v>
      </c>
      <c r="E418" s="55">
        <v>84</v>
      </c>
      <c r="F418" s="55">
        <v>31</v>
      </c>
      <c r="G418" s="55">
        <v>449</v>
      </c>
    </row>
    <row r="419" spans="1:7">
      <c r="A419" t="s">
        <v>1423</v>
      </c>
      <c r="B419" s="49"/>
      <c r="C419" s="49">
        <v>650</v>
      </c>
      <c r="D419" s="49">
        <v>428</v>
      </c>
      <c r="E419" s="55"/>
      <c r="F419" s="55">
        <v>11</v>
      </c>
      <c r="G419" s="55">
        <v>102</v>
      </c>
    </row>
    <row r="420" spans="1:7">
      <c r="A420" t="s">
        <v>1424</v>
      </c>
      <c r="B420" s="49">
        <v>21502</v>
      </c>
      <c r="C420" s="49">
        <v>1759</v>
      </c>
      <c r="D420" s="49">
        <v>1702</v>
      </c>
      <c r="E420" s="55">
        <v>425</v>
      </c>
      <c r="F420" s="55">
        <v>75</v>
      </c>
      <c r="G420" s="55">
        <v>325</v>
      </c>
    </row>
    <row r="421" spans="1:7">
      <c r="A421" t="s">
        <v>1425</v>
      </c>
      <c r="B421" s="49">
        <v>2071</v>
      </c>
      <c r="C421" s="49">
        <v>4526</v>
      </c>
      <c r="D421" s="49">
        <v>2753</v>
      </c>
      <c r="E421" s="55">
        <v>71</v>
      </c>
      <c r="F421" s="55">
        <v>219</v>
      </c>
      <c r="G421" s="55">
        <v>700</v>
      </c>
    </row>
    <row r="422" spans="1:7">
      <c r="A422" t="s">
        <v>1426</v>
      </c>
      <c r="B422" s="49">
        <v>529</v>
      </c>
      <c r="C422" s="49">
        <v>2216</v>
      </c>
      <c r="D422" s="49">
        <v>918</v>
      </c>
      <c r="E422" s="55">
        <v>27</v>
      </c>
      <c r="F422" s="55">
        <v>83</v>
      </c>
      <c r="G422" s="55">
        <v>317</v>
      </c>
    </row>
    <row r="423" spans="1:7">
      <c r="A423" t="s">
        <v>1427</v>
      </c>
      <c r="B423" s="49">
        <v>1069008.99</v>
      </c>
      <c r="C423" s="49">
        <v>901366</v>
      </c>
      <c r="D423" s="49">
        <v>231267</v>
      </c>
      <c r="E423" s="55">
        <v>23026</v>
      </c>
      <c r="F423" s="55">
        <v>43486</v>
      </c>
      <c r="G423" s="55">
        <v>55085</v>
      </c>
    </row>
    <row r="426" spans="1:7">
      <c r="B426">
        <f>GETPIVOTDATA("[Measures].[Antall]",$A$6,"[Vare].[Avregningsundertype]","[Vare].[Avregningsundertype].&amp;[1. Slakt, ull og egg]&amp;[Gris]")/GETPIVOTDATA("[Measures].[Kjoereseddel Nr]",$A$6,"[Vare].[Avregningsundertype]","[Vare].[Avregningsundertype].&amp;[1. Slakt, ull og egg]&amp;[Gris]")</f>
        <v>46.426169981759749</v>
      </c>
      <c r="C426">
        <f>GETPIVOTDATA("[Measures].[Antall]",$A$6,"[Vare].[Avregningsundertype]","[Vare].[Avregningsundertype].&amp;[1. Slakt, ull og egg]&amp;[Småfe]")/GETPIVOTDATA("[Measures].[Kjoereseddel Nr]",$A$6,"[Vare].[Avregningsundertype]","[Vare].[Avregningsundertype].&amp;[1. Slakt, ull og egg]&amp;[Småfe]")</f>
        <v>20.727728464333349</v>
      </c>
      <c r="D426">
        <f>GETPIVOTDATA("[Measures].[Antall]",$A$6,"[Vare].[Avregningsundertype]","[Vare].[Avregningsundertype].&amp;[1. Slakt, ull og egg]&amp;[Storfe]")/GETPIVOTDATA("[Measures].[Kjoereseddel Nr]",$A$6,"[Vare].[Avregningsundertype]","[Vare].[Avregningsundertype].&amp;[1. Slakt, ull og egg]&amp;[Storfe]")</f>
        <v>4.1983661613869474</v>
      </c>
    </row>
  </sheetData>
  <dataConsolidate/>
  <pageMargins left="0.7" right="0.7" top="0.78740157499999996" bottom="0.78740157499999996" header="0.3" footer="0.3"/>
  <pageSetup orientation="portrait" horizontalDpi="204" verticalDpi="196"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45B0B-5080-B14A-B601-C1819170C581}">
  <sheetPr filterMode="1">
    <tabColor rgb="FFFF0000"/>
  </sheetPr>
  <dimension ref="A1:W170"/>
  <sheetViews>
    <sheetView workbookViewId="0">
      <pane xSplit="4" ySplit="1" topLeftCell="E2" activePane="bottomRight" state="frozen"/>
      <selection pane="topRight" activeCell="C1" sqref="C1"/>
      <selection pane="bottomLeft" activeCell="A2" sqref="A2"/>
      <selection pane="bottomRight" activeCell="E28" sqref="E28"/>
    </sheetView>
  </sheetViews>
  <sheetFormatPr baseColWidth="10" defaultColWidth="10.83203125" defaultRowHeight="15" outlineLevelRow="2"/>
  <cols>
    <col min="1" max="1" width="23.33203125" customWidth="1"/>
    <col min="2" max="2" width="10.6640625" bestFit="1" customWidth="1"/>
    <col min="3" max="3" width="22.5" bestFit="1" customWidth="1"/>
    <col min="4" max="4" width="29.5" customWidth="1"/>
    <col min="5" max="5" width="12" style="543" customWidth="1"/>
    <col min="6" max="18" width="12" customWidth="1"/>
    <col min="19" max="19" width="19" bestFit="1" customWidth="1"/>
    <col min="20" max="20" width="13.6640625" customWidth="1"/>
    <col min="22" max="22" width="14.83203125" bestFit="1" customWidth="1"/>
    <col min="23" max="23" width="14.33203125" bestFit="1" customWidth="1"/>
  </cols>
  <sheetData>
    <row r="1" spans="1:23" ht="48">
      <c r="A1" s="537" t="s">
        <v>1497</v>
      </c>
      <c r="B1" s="537" t="s">
        <v>1498</v>
      </c>
      <c r="C1" s="537" t="s">
        <v>120</v>
      </c>
      <c r="D1" s="537" t="s">
        <v>1499</v>
      </c>
      <c r="E1" s="538" t="s">
        <v>1500</v>
      </c>
      <c r="F1" s="537" t="s">
        <v>1501</v>
      </c>
      <c r="G1" s="537" t="s">
        <v>1502</v>
      </c>
      <c r="H1" s="537" t="s">
        <v>1503</v>
      </c>
      <c r="I1" s="537" t="s">
        <v>1504</v>
      </c>
      <c r="J1" s="537" t="s">
        <v>1505</v>
      </c>
      <c r="K1" s="537" t="s">
        <v>1506</v>
      </c>
      <c r="L1" s="537" t="s">
        <v>1507</v>
      </c>
      <c r="M1" s="539" t="s">
        <v>1508</v>
      </c>
      <c r="N1" s="539" t="s">
        <v>1509</v>
      </c>
      <c r="O1" s="539" t="s">
        <v>1510</v>
      </c>
      <c r="P1" s="539" t="s">
        <v>1511</v>
      </c>
      <c r="Q1" s="539" t="s">
        <v>1512</v>
      </c>
      <c r="R1" s="539" t="s">
        <v>1513</v>
      </c>
      <c r="S1" s="539" t="s">
        <v>1514</v>
      </c>
      <c r="T1" s="540" t="s">
        <v>1515</v>
      </c>
      <c r="U1" s="540" t="s">
        <v>1516</v>
      </c>
      <c r="V1" s="540" t="s">
        <v>1517</v>
      </c>
      <c r="W1" s="540" t="s">
        <v>1518</v>
      </c>
    </row>
    <row r="2" spans="1:23" outlineLevel="2">
      <c r="A2" s="541" t="s">
        <v>1519</v>
      </c>
      <c r="B2" s="541" t="s">
        <v>155</v>
      </c>
      <c r="C2" s="533" t="s">
        <v>1022</v>
      </c>
      <c r="D2" s="533" t="s">
        <v>1520</v>
      </c>
      <c r="E2" s="542"/>
      <c r="F2" s="534">
        <v>1882</v>
      </c>
      <c r="G2" s="534">
        <v>411</v>
      </c>
      <c r="H2" s="534">
        <v>181</v>
      </c>
      <c r="I2" s="534">
        <v>88</v>
      </c>
      <c r="J2" s="534">
        <v>18</v>
      </c>
      <c r="K2" s="534">
        <v>63</v>
      </c>
      <c r="L2" s="49">
        <v>169</v>
      </c>
      <c r="M2" s="543"/>
      <c r="N2" s="543"/>
      <c r="O2" s="543"/>
      <c r="P2" s="543"/>
      <c r="Q2" s="543">
        <f t="shared" ref="Q2:R27" si="0">O2-M2</f>
        <v>0</v>
      </c>
      <c r="R2" s="543">
        <f t="shared" si="0"/>
        <v>0</v>
      </c>
    </row>
    <row r="3" spans="1:23" outlineLevel="2">
      <c r="A3" s="541" t="s">
        <v>1519</v>
      </c>
      <c r="B3" s="541" t="s">
        <v>155</v>
      </c>
      <c r="C3" s="544" t="s">
        <v>1024</v>
      </c>
      <c r="D3" s="533" t="s">
        <v>1520</v>
      </c>
      <c r="E3" s="545"/>
      <c r="F3" s="546">
        <v>819</v>
      </c>
      <c r="G3" s="546">
        <v>128</v>
      </c>
      <c r="H3" s="546"/>
      <c r="I3" s="546">
        <v>32</v>
      </c>
      <c r="J3" s="546">
        <v>10</v>
      </c>
      <c r="K3" s="546"/>
      <c r="L3" s="49">
        <v>42</v>
      </c>
      <c r="M3" s="543"/>
      <c r="N3" s="543"/>
      <c r="O3" s="543"/>
      <c r="P3" s="543"/>
      <c r="Q3" s="543">
        <f t="shared" si="0"/>
        <v>0</v>
      </c>
      <c r="R3" s="543">
        <f t="shared" si="0"/>
        <v>0</v>
      </c>
    </row>
    <row r="4" spans="1:23" outlineLevel="2">
      <c r="A4" s="541" t="s">
        <v>1519</v>
      </c>
      <c r="B4" s="541" t="s">
        <v>155</v>
      </c>
      <c r="C4" s="533" t="s">
        <v>1025</v>
      </c>
      <c r="D4" s="533" t="s">
        <v>1520</v>
      </c>
      <c r="E4" s="542"/>
      <c r="F4" s="534">
        <v>4590</v>
      </c>
      <c r="G4" s="534">
        <v>221</v>
      </c>
      <c r="H4" s="534">
        <v>361</v>
      </c>
      <c r="I4" s="534">
        <v>106</v>
      </c>
      <c r="J4" s="534">
        <v>13</v>
      </c>
      <c r="K4" s="534">
        <v>82</v>
      </c>
      <c r="L4" s="49">
        <v>201</v>
      </c>
      <c r="M4" s="543"/>
      <c r="N4" s="543"/>
      <c r="O4" s="543"/>
      <c r="P4" s="543"/>
      <c r="Q4" s="543">
        <f t="shared" si="0"/>
        <v>0</v>
      </c>
      <c r="R4" s="543">
        <f t="shared" si="0"/>
        <v>0</v>
      </c>
    </row>
    <row r="5" spans="1:23" outlineLevel="2">
      <c r="A5" s="541" t="s">
        <v>1519</v>
      </c>
      <c r="B5" s="541" t="s">
        <v>155</v>
      </c>
      <c r="C5" s="544" t="s">
        <v>1038</v>
      </c>
      <c r="D5" s="533" t="s">
        <v>1520</v>
      </c>
      <c r="E5" s="545">
        <v>1411911.29</v>
      </c>
      <c r="F5" s="546">
        <v>797</v>
      </c>
      <c r="G5" s="546">
        <v>112</v>
      </c>
      <c r="H5" s="546">
        <v>188</v>
      </c>
      <c r="I5" s="546">
        <v>27</v>
      </c>
      <c r="J5" s="546">
        <v>11</v>
      </c>
      <c r="K5" s="546">
        <v>62</v>
      </c>
      <c r="L5" s="49">
        <v>100</v>
      </c>
      <c r="M5" s="543">
        <v>1</v>
      </c>
      <c r="N5" s="543">
        <v>1</v>
      </c>
      <c r="O5" s="543"/>
      <c r="P5" s="543"/>
      <c r="Q5" s="543">
        <f t="shared" si="0"/>
        <v>-1</v>
      </c>
      <c r="R5" s="543">
        <f t="shared" si="0"/>
        <v>-1</v>
      </c>
    </row>
    <row r="6" spans="1:23" outlineLevel="2">
      <c r="A6" s="541" t="s">
        <v>1519</v>
      </c>
      <c r="B6" s="541" t="s">
        <v>155</v>
      </c>
      <c r="C6" s="533" t="s">
        <v>1041</v>
      </c>
      <c r="D6" s="533" t="s">
        <v>1520</v>
      </c>
      <c r="E6" s="542"/>
      <c r="F6" s="534"/>
      <c r="G6" s="534">
        <v>107</v>
      </c>
      <c r="H6" s="534">
        <v>75</v>
      </c>
      <c r="I6" s="534"/>
      <c r="J6" s="534">
        <v>3</v>
      </c>
      <c r="K6" s="534">
        <v>28</v>
      </c>
      <c r="L6" s="49">
        <v>31</v>
      </c>
      <c r="M6" s="543"/>
      <c r="N6" s="543"/>
      <c r="O6" s="543"/>
      <c r="P6" s="543"/>
      <c r="Q6" s="543">
        <f t="shared" si="0"/>
        <v>0</v>
      </c>
      <c r="R6" s="543">
        <f t="shared" si="0"/>
        <v>0</v>
      </c>
    </row>
    <row r="7" spans="1:23" outlineLevel="2">
      <c r="A7" s="541" t="s">
        <v>1519</v>
      </c>
      <c r="B7" s="541" t="s">
        <v>155</v>
      </c>
      <c r="C7" s="544" t="s">
        <v>1042</v>
      </c>
      <c r="D7" s="533" t="s">
        <v>1520</v>
      </c>
      <c r="E7" s="545"/>
      <c r="F7" s="546">
        <v>296</v>
      </c>
      <c r="G7" s="546">
        <v>182</v>
      </c>
      <c r="H7" s="546">
        <v>270</v>
      </c>
      <c r="I7" s="546">
        <v>11</v>
      </c>
      <c r="J7" s="546">
        <v>14</v>
      </c>
      <c r="K7" s="546">
        <v>63</v>
      </c>
      <c r="L7" s="49">
        <v>88</v>
      </c>
      <c r="M7" s="543"/>
      <c r="N7" s="543"/>
      <c r="O7" s="543"/>
      <c r="P7" s="543"/>
      <c r="Q7" s="543">
        <f t="shared" si="0"/>
        <v>0</v>
      </c>
      <c r="R7" s="543">
        <f t="shared" si="0"/>
        <v>0</v>
      </c>
    </row>
    <row r="8" spans="1:23" outlineLevel="2">
      <c r="A8" s="541" t="s">
        <v>1519</v>
      </c>
      <c r="B8" s="541" t="s">
        <v>155</v>
      </c>
      <c r="C8" s="533" t="s">
        <v>1043</v>
      </c>
      <c r="D8" s="533" t="s">
        <v>1520</v>
      </c>
      <c r="E8" s="542"/>
      <c r="F8" s="534">
        <v>5</v>
      </c>
      <c r="G8" s="534">
        <v>8</v>
      </c>
      <c r="H8" s="534">
        <v>48</v>
      </c>
      <c r="I8" s="534">
        <v>3</v>
      </c>
      <c r="J8" s="534">
        <v>1</v>
      </c>
      <c r="K8" s="534">
        <v>8</v>
      </c>
      <c r="L8" s="49">
        <v>12</v>
      </c>
      <c r="M8" s="543"/>
      <c r="N8" s="543"/>
      <c r="O8" s="543"/>
      <c r="P8" s="543"/>
      <c r="Q8" s="543">
        <f t="shared" si="0"/>
        <v>0</v>
      </c>
      <c r="R8" s="543">
        <f t="shared" si="0"/>
        <v>0</v>
      </c>
    </row>
    <row r="9" spans="1:23" outlineLevel="2">
      <c r="A9" s="541" t="s">
        <v>1519</v>
      </c>
      <c r="B9" s="541" t="s">
        <v>155</v>
      </c>
      <c r="C9" s="544" t="s">
        <v>1014</v>
      </c>
      <c r="D9" s="544" t="s">
        <v>1521</v>
      </c>
      <c r="E9" s="545">
        <v>2075051.0699999998</v>
      </c>
      <c r="F9" s="546">
        <v>3579</v>
      </c>
      <c r="G9" s="546">
        <v>289</v>
      </c>
      <c r="H9" s="546">
        <v>459</v>
      </c>
      <c r="I9" s="546">
        <v>121</v>
      </c>
      <c r="J9" s="546">
        <v>16</v>
      </c>
      <c r="K9" s="546">
        <v>111</v>
      </c>
      <c r="L9" s="49">
        <v>248</v>
      </c>
      <c r="M9" s="543">
        <v>2</v>
      </c>
      <c r="N9" s="543">
        <v>1</v>
      </c>
      <c r="O9" s="543"/>
      <c r="P9" s="543"/>
      <c r="Q9" s="543">
        <f t="shared" si="0"/>
        <v>-2</v>
      </c>
      <c r="R9" s="543">
        <f t="shared" si="0"/>
        <v>-1</v>
      </c>
      <c r="S9" t="s">
        <v>1522</v>
      </c>
    </row>
    <row r="10" spans="1:23" outlineLevel="2">
      <c r="A10" s="541" t="s">
        <v>1519</v>
      </c>
      <c r="B10" s="541" t="s">
        <v>155</v>
      </c>
      <c r="C10" s="533" t="s">
        <v>1016</v>
      </c>
      <c r="D10" s="544" t="s">
        <v>1521</v>
      </c>
      <c r="E10" s="542"/>
      <c r="F10" s="534">
        <v>4476</v>
      </c>
      <c r="G10" s="534">
        <v>679</v>
      </c>
      <c r="H10" s="534">
        <v>710</v>
      </c>
      <c r="I10" s="534">
        <v>119</v>
      </c>
      <c r="J10" s="534">
        <v>43</v>
      </c>
      <c r="K10" s="534">
        <v>228</v>
      </c>
      <c r="L10" s="49">
        <v>390</v>
      </c>
      <c r="M10" s="543"/>
      <c r="N10" s="543"/>
      <c r="O10" s="543"/>
      <c r="P10" s="543"/>
      <c r="Q10" s="543">
        <f t="shared" si="0"/>
        <v>0</v>
      </c>
      <c r="R10" s="543">
        <f t="shared" si="0"/>
        <v>0</v>
      </c>
    </row>
    <row r="11" spans="1:23" outlineLevel="2">
      <c r="A11" s="541" t="s">
        <v>1519</v>
      </c>
      <c r="B11" s="541" t="s">
        <v>155</v>
      </c>
      <c r="C11" s="544" t="s">
        <v>1017</v>
      </c>
      <c r="D11" s="533" t="s">
        <v>1521</v>
      </c>
      <c r="E11" s="545"/>
      <c r="F11" s="546">
        <v>1518</v>
      </c>
      <c r="G11" s="546">
        <v>371</v>
      </c>
      <c r="H11" s="546">
        <v>306</v>
      </c>
      <c r="I11" s="546">
        <v>51</v>
      </c>
      <c r="J11" s="546">
        <v>18</v>
      </c>
      <c r="K11" s="546">
        <v>79</v>
      </c>
      <c r="L11" s="49">
        <v>148</v>
      </c>
      <c r="M11" s="543"/>
      <c r="N11" s="543"/>
      <c r="O11" s="543"/>
      <c r="P11" s="543"/>
      <c r="Q11" s="543">
        <f t="shared" si="0"/>
        <v>0</v>
      </c>
      <c r="R11" s="543">
        <f t="shared" si="0"/>
        <v>0</v>
      </c>
    </row>
    <row r="12" spans="1:23" outlineLevel="2">
      <c r="A12" s="541" t="s">
        <v>1519</v>
      </c>
      <c r="B12" s="541" t="s">
        <v>155</v>
      </c>
      <c r="C12" s="533" t="s">
        <v>1019</v>
      </c>
      <c r="D12" s="544" t="s">
        <v>1521</v>
      </c>
      <c r="E12" s="542"/>
      <c r="F12" s="534">
        <v>2</v>
      </c>
      <c r="G12" s="534">
        <v>201</v>
      </c>
      <c r="H12" s="534">
        <v>174</v>
      </c>
      <c r="I12" s="534">
        <v>1</v>
      </c>
      <c r="J12" s="534">
        <v>11</v>
      </c>
      <c r="K12" s="534">
        <v>46</v>
      </c>
      <c r="L12" s="49">
        <v>58</v>
      </c>
      <c r="M12" s="543"/>
      <c r="N12" s="543"/>
      <c r="O12" s="543"/>
      <c r="P12" s="543"/>
      <c r="Q12" s="543">
        <f t="shared" si="0"/>
        <v>0</v>
      </c>
      <c r="R12" s="543">
        <f t="shared" si="0"/>
        <v>0</v>
      </c>
    </row>
    <row r="13" spans="1:23" outlineLevel="2">
      <c r="A13" s="541" t="s">
        <v>1519</v>
      </c>
      <c r="B13" s="541" t="s">
        <v>155</v>
      </c>
      <c r="C13" s="544" t="s">
        <v>1020</v>
      </c>
      <c r="D13" s="544" t="s">
        <v>1521</v>
      </c>
      <c r="E13" s="545"/>
      <c r="F13" s="546">
        <v>7462</v>
      </c>
      <c r="G13" s="546">
        <v>268</v>
      </c>
      <c r="H13" s="546">
        <v>186</v>
      </c>
      <c r="I13" s="546">
        <v>185</v>
      </c>
      <c r="J13" s="546">
        <v>13</v>
      </c>
      <c r="K13" s="546">
        <v>34</v>
      </c>
      <c r="L13" s="49">
        <v>232</v>
      </c>
      <c r="M13" s="543"/>
      <c r="N13" s="543"/>
      <c r="O13" s="543"/>
      <c r="P13" s="543"/>
      <c r="Q13" s="543">
        <f t="shared" si="0"/>
        <v>0</v>
      </c>
      <c r="R13" s="543">
        <f t="shared" si="0"/>
        <v>0</v>
      </c>
    </row>
    <row r="14" spans="1:23" outlineLevel="2">
      <c r="A14" s="541" t="s">
        <v>1519</v>
      </c>
      <c r="B14" s="541" t="s">
        <v>155</v>
      </c>
      <c r="C14" s="533" t="s">
        <v>1021</v>
      </c>
      <c r="D14" s="544" t="s">
        <v>1523</v>
      </c>
      <c r="E14" s="542"/>
      <c r="F14" s="534"/>
      <c r="G14" s="534">
        <v>156</v>
      </c>
      <c r="H14" s="534"/>
      <c r="I14" s="534"/>
      <c r="J14" s="534">
        <v>8</v>
      </c>
      <c r="K14" s="534"/>
      <c r="L14" s="49">
        <v>8</v>
      </c>
      <c r="M14" s="543"/>
      <c r="N14" s="543"/>
      <c r="O14" s="543"/>
      <c r="P14" s="543"/>
      <c r="Q14" s="543">
        <f t="shared" si="0"/>
        <v>0</v>
      </c>
      <c r="R14" s="543">
        <f t="shared" si="0"/>
        <v>0</v>
      </c>
    </row>
    <row r="15" spans="1:23" outlineLevel="2">
      <c r="A15" s="541" t="s">
        <v>1519</v>
      </c>
      <c r="B15" s="541" t="s">
        <v>155</v>
      </c>
      <c r="C15" s="544" t="s">
        <v>1026</v>
      </c>
      <c r="D15" s="544" t="s">
        <v>1523</v>
      </c>
      <c r="E15" s="545"/>
      <c r="F15" s="546">
        <v>2497</v>
      </c>
      <c r="G15" s="546">
        <v>95</v>
      </c>
      <c r="H15" s="546">
        <v>262</v>
      </c>
      <c r="I15" s="546">
        <v>43</v>
      </c>
      <c r="J15" s="546">
        <v>6</v>
      </c>
      <c r="K15" s="546">
        <v>72</v>
      </c>
      <c r="L15" s="49">
        <v>121</v>
      </c>
      <c r="M15" s="543"/>
      <c r="N15" s="543"/>
      <c r="O15" s="543"/>
      <c r="P15" s="543"/>
      <c r="Q15" s="543">
        <f t="shared" si="0"/>
        <v>0</v>
      </c>
      <c r="R15" s="543">
        <f t="shared" si="0"/>
        <v>0</v>
      </c>
    </row>
    <row r="16" spans="1:23" outlineLevel="2">
      <c r="A16" s="541" t="s">
        <v>1519</v>
      </c>
      <c r="B16" s="541" t="s">
        <v>155</v>
      </c>
      <c r="C16" s="533" t="s">
        <v>1027</v>
      </c>
      <c r="D16" s="533" t="s">
        <v>1523</v>
      </c>
      <c r="E16" s="542">
        <v>2469938.46</v>
      </c>
      <c r="F16" s="534">
        <v>20498</v>
      </c>
      <c r="G16" s="534">
        <v>170</v>
      </c>
      <c r="H16" s="534">
        <v>635</v>
      </c>
      <c r="I16" s="534">
        <v>342</v>
      </c>
      <c r="J16" s="534">
        <v>7</v>
      </c>
      <c r="K16" s="534">
        <v>155</v>
      </c>
      <c r="L16" s="49">
        <v>504</v>
      </c>
      <c r="M16" s="543">
        <v>1</v>
      </c>
      <c r="N16" s="543">
        <v>0</v>
      </c>
      <c r="O16" s="543"/>
      <c r="P16" s="543"/>
      <c r="Q16" s="543">
        <f t="shared" si="0"/>
        <v>-1</v>
      </c>
      <c r="R16" s="543">
        <f t="shared" si="0"/>
        <v>0</v>
      </c>
      <c r="S16" t="s">
        <v>1524</v>
      </c>
    </row>
    <row r="17" spans="1:23" outlineLevel="2">
      <c r="A17" s="541" t="s">
        <v>1519</v>
      </c>
      <c r="B17" s="541" t="s">
        <v>155</v>
      </c>
      <c r="C17" s="544" t="s">
        <v>1015</v>
      </c>
      <c r="D17" s="533" t="s">
        <v>1525</v>
      </c>
      <c r="E17" s="545"/>
      <c r="F17" s="546"/>
      <c r="G17" s="546">
        <v>148</v>
      </c>
      <c r="H17" s="546">
        <v>5</v>
      </c>
      <c r="I17" s="546"/>
      <c r="J17" s="546">
        <v>5</v>
      </c>
      <c r="K17" s="546">
        <v>1</v>
      </c>
      <c r="L17" s="49">
        <v>6</v>
      </c>
      <c r="M17" s="543"/>
      <c r="N17" s="543"/>
      <c r="O17" s="543"/>
      <c r="P17" s="543"/>
      <c r="Q17" s="543">
        <f t="shared" si="0"/>
        <v>0</v>
      </c>
      <c r="R17" s="543">
        <f t="shared" si="0"/>
        <v>0</v>
      </c>
    </row>
    <row r="18" spans="1:23" outlineLevel="2">
      <c r="A18" s="541" t="s">
        <v>1519</v>
      </c>
      <c r="B18" s="541" t="s">
        <v>155</v>
      </c>
      <c r="C18" s="533" t="s">
        <v>1018</v>
      </c>
      <c r="D18" s="533" t="s">
        <v>1525</v>
      </c>
      <c r="E18" s="542"/>
      <c r="F18" s="534">
        <v>4</v>
      </c>
      <c r="G18" s="534">
        <v>273</v>
      </c>
      <c r="H18" s="534">
        <v>70</v>
      </c>
      <c r="I18" s="534">
        <v>1</v>
      </c>
      <c r="J18" s="534">
        <v>11</v>
      </c>
      <c r="K18" s="534">
        <v>14</v>
      </c>
      <c r="L18" s="49">
        <v>26</v>
      </c>
      <c r="M18" s="543"/>
      <c r="N18" s="543"/>
      <c r="O18" s="543"/>
      <c r="P18" s="543"/>
      <c r="Q18" s="543">
        <f t="shared" si="0"/>
        <v>0</v>
      </c>
      <c r="R18" s="543">
        <f t="shared" si="0"/>
        <v>0</v>
      </c>
    </row>
    <row r="19" spans="1:23" outlineLevel="2">
      <c r="A19" s="541" t="s">
        <v>1519</v>
      </c>
      <c r="B19" s="541" t="s">
        <v>155</v>
      </c>
      <c r="C19" s="544" t="s">
        <v>1023</v>
      </c>
      <c r="D19" s="533" t="s">
        <v>1525</v>
      </c>
      <c r="E19" s="545"/>
      <c r="F19" s="546">
        <v>4049</v>
      </c>
      <c r="G19" s="546">
        <v>169</v>
      </c>
      <c r="H19" s="546">
        <v>394</v>
      </c>
      <c r="I19" s="546">
        <v>68</v>
      </c>
      <c r="J19" s="546">
        <v>17</v>
      </c>
      <c r="K19" s="546">
        <v>65</v>
      </c>
      <c r="L19" s="49">
        <v>150</v>
      </c>
      <c r="M19" s="543"/>
      <c r="N19" s="543"/>
      <c r="O19" s="543"/>
      <c r="P19" s="543"/>
      <c r="Q19" s="543">
        <f t="shared" si="0"/>
        <v>0</v>
      </c>
      <c r="R19" s="543">
        <f t="shared" si="0"/>
        <v>0</v>
      </c>
    </row>
    <row r="20" spans="1:23" outlineLevel="2">
      <c r="A20" s="541" t="s">
        <v>1519</v>
      </c>
      <c r="B20" s="541" t="s">
        <v>155</v>
      </c>
      <c r="C20" s="533" t="s">
        <v>1028</v>
      </c>
      <c r="D20" s="533" t="s">
        <v>1525</v>
      </c>
      <c r="E20" s="542">
        <v>2123396.7000000002</v>
      </c>
      <c r="F20" s="534">
        <v>514</v>
      </c>
      <c r="G20" s="534">
        <v>245</v>
      </c>
      <c r="H20" s="534">
        <v>92</v>
      </c>
      <c r="I20" s="534">
        <v>27</v>
      </c>
      <c r="J20" s="534">
        <v>17</v>
      </c>
      <c r="K20" s="534">
        <v>25</v>
      </c>
      <c r="L20" s="49">
        <v>69</v>
      </c>
      <c r="M20" s="543">
        <v>1</v>
      </c>
      <c r="N20" s="543">
        <v>0</v>
      </c>
      <c r="O20" s="543"/>
      <c r="P20" s="543"/>
      <c r="Q20" s="543">
        <f t="shared" si="0"/>
        <v>-1</v>
      </c>
      <c r="R20" s="543">
        <f t="shared" si="0"/>
        <v>0</v>
      </c>
      <c r="S20" t="s">
        <v>913</v>
      </c>
    </row>
    <row r="21" spans="1:23" outlineLevel="2">
      <c r="A21" s="541" t="s">
        <v>1519</v>
      </c>
      <c r="B21" s="541" t="s">
        <v>155</v>
      </c>
      <c r="C21" s="544" t="s">
        <v>1029</v>
      </c>
      <c r="D21" s="533" t="s">
        <v>1525</v>
      </c>
      <c r="E21" s="545"/>
      <c r="F21" s="546">
        <v>1165</v>
      </c>
      <c r="G21" s="546">
        <v>254</v>
      </c>
      <c r="H21" s="546">
        <v>26</v>
      </c>
      <c r="I21" s="546">
        <v>14</v>
      </c>
      <c r="J21" s="546">
        <v>7</v>
      </c>
      <c r="K21" s="546">
        <v>10</v>
      </c>
      <c r="L21" s="49">
        <v>31</v>
      </c>
      <c r="M21" s="543"/>
      <c r="N21" s="543"/>
      <c r="O21" s="543"/>
      <c r="P21" s="543"/>
      <c r="Q21" s="543">
        <f t="shared" si="0"/>
        <v>0</v>
      </c>
      <c r="R21" s="543">
        <f t="shared" si="0"/>
        <v>0</v>
      </c>
    </row>
    <row r="22" spans="1:23" outlineLevel="2">
      <c r="A22" s="541" t="s">
        <v>1519</v>
      </c>
      <c r="B22" s="541" t="s">
        <v>155</v>
      </c>
      <c r="C22" s="533" t="s">
        <v>1030</v>
      </c>
      <c r="D22" s="533" t="s">
        <v>1525</v>
      </c>
      <c r="E22" s="542"/>
      <c r="F22" s="534">
        <v>7082</v>
      </c>
      <c r="G22" s="534">
        <v>124</v>
      </c>
      <c r="H22" s="534">
        <v>201</v>
      </c>
      <c r="I22" s="534">
        <v>137</v>
      </c>
      <c r="J22" s="534">
        <v>8</v>
      </c>
      <c r="K22" s="534">
        <v>41</v>
      </c>
      <c r="L22" s="49">
        <v>186</v>
      </c>
      <c r="M22" s="543"/>
      <c r="N22" s="543"/>
      <c r="O22" s="543"/>
      <c r="P22" s="543"/>
      <c r="Q22" s="543">
        <f t="shared" si="0"/>
        <v>0</v>
      </c>
      <c r="R22" s="543">
        <f t="shared" si="0"/>
        <v>0</v>
      </c>
    </row>
    <row r="23" spans="1:23" outlineLevel="2">
      <c r="A23" s="541" t="s">
        <v>1519</v>
      </c>
      <c r="B23" s="541" t="s">
        <v>155</v>
      </c>
      <c r="C23" s="544" t="s">
        <v>1031</v>
      </c>
      <c r="D23" s="533" t="s">
        <v>1525</v>
      </c>
      <c r="E23" s="545"/>
      <c r="F23" s="546">
        <v>232</v>
      </c>
      <c r="G23" s="546">
        <v>72</v>
      </c>
      <c r="H23" s="546">
        <v>137</v>
      </c>
      <c r="I23" s="546">
        <v>16</v>
      </c>
      <c r="J23" s="546">
        <v>8</v>
      </c>
      <c r="K23" s="546">
        <v>30</v>
      </c>
      <c r="L23" s="49">
        <v>54</v>
      </c>
      <c r="M23" s="543"/>
      <c r="N23" s="543"/>
      <c r="O23" s="543"/>
      <c r="P23" s="543"/>
      <c r="Q23" s="543">
        <f t="shared" si="0"/>
        <v>0</v>
      </c>
      <c r="R23" s="543">
        <f t="shared" si="0"/>
        <v>0</v>
      </c>
    </row>
    <row r="24" spans="1:23" outlineLevel="2">
      <c r="A24" s="541" t="s">
        <v>1519</v>
      </c>
      <c r="B24" s="541" t="s">
        <v>155</v>
      </c>
      <c r="C24" s="533" t="s">
        <v>1032</v>
      </c>
      <c r="D24" s="533" t="s">
        <v>1525</v>
      </c>
      <c r="E24" s="542"/>
      <c r="F24" s="534">
        <v>248</v>
      </c>
      <c r="G24" s="534"/>
      <c r="H24" s="534">
        <v>109</v>
      </c>
      <c r="I24" s="534">
        <v>22</v>
      </c>
      <c r="J24" s="534"/>
      <c r="K24" s="534">
        <v>26</v>
      </c>
      <c r="L24" s="49">
        <v>48</v>
      </c>
      <c r="M24" s="543"/>
      <c r="N24" s="543"/>
      <c r="O24" s="543"/>
      <c r="P24" s="543"/>
      <c r="Q24" s="543">
        <f t="shared" si="0"/>
        <v>0</v>
      </c>
      <c r="R24" s="543">
        <f t="shared" si="0"/>
        <v>0</v>
      </c>
    </row>
    <row r="25" spans="1:23" outlineLevel="2">
      <c r="A25" s="541" t="s">
        <v>1519</v>
      </c>
      <c r="B25" s="541" t="s">
        <v>155</v>
      </c>
      <c r="C25" s="544" t="s">
        <v>1033</v>
      </c>
      <c r="D25" s="533" t="s">
        <v>1525</v>
      </c>
      <c r="E25" s="545"/>
      <c r="F25" s="546">
        <v>329</v>
      </c>
      <c r="G25" s="546">
        <v>34</v>
      </c>
      <c r="H25" s="546">
        <v>67</v>
      </c>
      <c r="I25" s="546">
        <v>8</v>
      </c>
      <c r="J25" s="546">
        <v>1</v>
      </c>
      <c r="K25" s="546">
        <v>19</v>
      </c>
      <c r="L25" s="49">
        <v>28</v>
      </c>
      <c r="M25" s="543"/>
      <c r="N25" s="543"/>
      <c r="O25" s="543"/>
      <c r="P25" s="543"/>
      <c r="Q25" s="543">
        <f t="shared" si="0"/>
        <v>0</v>
      </c>
      <c r="R25" s="543">
        <f t="shared" si="0"/>
        <v>0</v>
      </c>
    </row>
    <row r="26" spans="1:23" outlineLevel="2">
      <c r="A26" s="541" t="s">
        <v>1519</v>
      </c>
      <c r="B26" s="541" t="s">
        <v>155</v>
      </c>
      <c r="C26" s="533" t="s">
        <v>1034</v>
      </c>
      <c r="D26" s="544" t="s">
        <v>1525</v>
      </c>
      <c r="E26" s="545"/>
      <c r="F26" s="534">
        <v>2455</v>
      </c>
      <c r="G26" s="534">
        <v>236</v>
      </c>
      <c r="H26" s="534">
        <v>105</v>
      </c>
      <c r="I26" s="534">
        <v>69</v>
      </c>
      <c r="J26" s="534">
        <v>10</v>
      </c>
      <c r="K26" s="534">
        <v>31</v>
      </c>
      <c r="L26" s="49">
        <v>110</v>
      </c>
      <c r="M26" s="543"/>
      <c r="N26" s="543"/>
      <c r="O26" s="543"/>
      <c r="P26" s="543"/>
      <c r="Q26" s="543">
        <f t="shared" si="0"/>
        <v>0</v>
      </c>
      <c r="R26" s="543">
        <f t="shared" si="0"/>
        <v>0</v>
      </c>
    </row>
    <row r="27" spans="1:23" outlineLevel="2">
      <c r="A27" s="541" t="s">
        <v>1519</v>
      </c>
      <c r="B27" s="541" t="s">
        <v>155</v>
      </c>
      <c r="C27" s="544" t="s">
        <v>1035</v>
      </c>
      <c r="D27" s="533" t="s">
        <v>1525</v>
      </c>
      <c r="E27" s="545"/>
      <c r="F27" s="546"/>
      <c r="G27" s="546">
        <v>3</v>
      </c>
      <c r="H27" s="546">
        <v>35</v>
      </c>
      <c r="I27" s="546"/>
      <c r="J27" s="546">
        <v>1</v>
      </c>
      <c r="K27" s="546">
        <v>15</v>
      </c>
      <c r="L27" s="49">
        <v>16</v>
      </c>
      <c r="M27" s="543"/>
      <c r="N27" s="543"/>
      <c r="O27" s="543"/>
      <c r="P27" s="543"/>
      <c r="Q27" s="543">
        <f t="shared" si="0"/>
        <v>0</v>
      </c>
      <c r="R27" s="543">
        <f t="shared" si="0"/>
        <v>0</v>
      </c>
    </row>
    <row r="28" spans="1:23" outlineLevel="1">
      <c r="A28" s="547" t="s">
        <v>1526</v>
      </c>
      <c r="B28" s="541"/>
      <c r="C28" s="544"/>
      <c r="D28" s="533"/>
      <c r="E28" s="545">
        <f>SUBTOTAL(9,E2:E27)</f>
        <v>8080297.5200000005</v>
      </c>
      <c r="F28" s="546">
        <f>SUBTOTAL(9,F2:F27)</f>
        <v>64499</v>
      </c>
      <c r="G28" s="546">
        <f>SUBTOTAL(9,G2:G27)</f>
        <v>4956</v>
      </c>
      <c r="H28" s="546">
        <f>SUBTOTAL(9,H2:H27)</f>
        <v>5096</v>
      </c>
      <c r="I28" s="546"/>
      <c r="J28" s="546"/>
      <c r="K28" s="546"/>
      <c r="L28" s="49">
        <f t="shared" ref="L28:R28" si="1">SUBTOTAL(9,L2:L27)</f>
        <v>3076</v>
      </c>
      <c r="M28" s="543">
        <f t="shared" si="1"/>
        <v>5</v>
      </c>
      <c r="N28" s="543">
        <f t="shared" si="1"/>
        <v>2</v>
      </c>
      <c r="O28" s="543">
        <f t="shared" si="1"/>
        <v>0</v>
      </c>
      <c r="P28" s="543">
        <f t="shared" si="1"/>
        <v>0</v>
      </c>
      <c r="Q28" s="543">
        <f t="shared" si="1"/>
        <v>-5</v>
      </c>
      <c r="R28" s="543">
        <f t="shared" si="1"/>
        <v>-2</v>
      </c>
      <c r="T28" s="548">
        <f>E28/L28</f>
        <v>2626.8847594278286</v>
      </c>
      <c r="U28">
        <v>1</v>
      </c>
      <c r="W28" s="543">
        <f>E28/M28</f>
        <v>1616059.5040000002</v>
      </c>
    </row>
    <row r="29" spans="1:23" hidden="1" outlineLevel="2">
      <c r="A29" s="541" t="s">
        <v>1527</v>
      </c>
      <c r="B29" s="541" t="s">
        <v>1528</v>
      </c>
      <c r="C29" s="533" t="s">
        <v>1039</v>
      </c>
      <c r="D29" s="533" t="s">
        <v>1529</v>
      </c>
      <c r="E29" s="542"/>
      <c r="F29" s="534">
        <v>2110</v>
      </c>
      <c r="G29" s="534">
        <v>308</v>
      </c>
      <c r="H29" s="534">
        <v>612</v>
      </c>
      <c r="I29" s="534">
        <v>61</v>
      </c>
      <c r="J29" s="534">
        <v>12</v>
      </c>
      <c r="K29" s="534">
        <v>139</v>
      </c>
      <c r="L29" s="49">
        <v>212</v>
      </c>
      <c r="M29" s="543"/>
      <c r="N29" s="543"/>
      <c r="O29" s="543"/>
      <c r="P29" s="543"/>
      <c r="Q29" s="543">
        <f t="shared" ref="Q29:R43" si="2">O29-M29</f>
        <v>0</v>
      </c>
      <c r="R29" s="543">
        <f t="shared" si="2"/>
        <v>0</v>
      </c>
      <c r="W29" s="543" t="e">
        <f t="shared" ref="W29:W92" si="3">E29/M29</f>
        <v>#DIV/0!</v>
      </c>
    </row>
    <row r="30" spans="1:23" hidden="1" outlineLevel="2">
      <c r="A30" s="541" t="s">
        <v>1527</v>
      </c>
      <c r="B30" s="541" t="s">
        <v>1528</v>
      </c>
      <c r="C30" s="544" t="s">
        <v>1040</v>
      </c>
      <c r="D30" s="544" t="s">
        <v>1529</v>
      </c>
      <c r="E30" s="545"/>
      <c r="F30" s="546">
        <v>276</v>
      </c>
      <c r="G30" s="546">
        <v>137</v>
      </c>
      <c r="H30" s="546">
        <v>158</v>
      </c>
      <c r="I30" s="546">
        <v>18</v>
      </c>
      <c r="J30" s="546">
        <v>5</v>
      </c>
      <c r="K30" s="546">
        <v>49</v>
      </c>
      <c r="L30" s="49">
        <v>72</v>
      </c>
      <c r="M30" s="543"/>
      <c r="N30" s="543"/>
      <c r="O30" s="543"/>
      <c r="P30" s="543"/>
      <c r="Q30" s="543">
        <f t="shared" si="2"/>
        <v>0</v>
      </c>
      <c r="R30" s="543">
        <f t="shared" si="2"/>
        <v>0</v>
      </c>
      <c r="W30" s="543" t="e">
        <f t="shared" si="3"/>
        <v>#DIV/0!</v>
      </c>
    </row>
    <row r="31" spans="1:23" hidden="1" outlineLevel="2">
      <c r="A31" s="541" t="s">
        <v>1527</v>
      </c>
      <c r="B31" s="541" t="s">
        <v>1528</v>
      </c>
      <c r="C31" s="533" t="s">
        <v>1047</v>
      </c>
      <c r="D31" s="544" t="s">
        <v>1529</v>
      </c>
      <c r="E31" s="542">
        <v>1854790.3499999996</v>
      </c>
      <c r="F31" s="534">
        <v>935</v>
      </c>
      <c r="G31" s="534">
        <v>310</v>
      </c>
      <c r="H31" s="534">
        <v>312</v>
      </c>
      <c r="I31" s="534">
        <v>37</v>
      </c>
      <c r="J31" s="534">
        <v>14</v>
      </c>
      <c r="K31" s="534">
        <v>108</v>
      </c>
      <c r="L31" s="49">
        <v>159</v>
      </c>
      <c r="M31" s="543">
        <v>1</v>
      </c>
      <c r="N31" s="543">
        <v>0</v>
      </c>
      <c r="O31" s="543"/>
      <c r="P31" s="543"/>
      <c r="Q31" s="543">
        <f t="shared" si="2"/>
        <v>-1</v>
      </c>
      <c r="R31" s="543">
        <f t="shared" si="2"/>
        <v>0</v>
      </c>
      <c r="W31" s="543">
        <f t="shared" si="3"/>
        <v>1854790.3499999996</v>
      </c>
    </row>
    <row r="32" spans="1:23" hidden="1" outlineLevel="2">
      <c r="A32" s="541" t="s">
        <v>1527</v>
      </c>
      <c r="B32" s="541" t="s">
        <v>1528</v>
      </c>
      <c r="C32" s="544" t="s">
        <v>1049</v>
      </c>
      <c r="D32" s="544" t="s">
        <v>1529</v>
      </c>
      <c r="E32" s="545"/>
      <c r="F32" s="546">
        <v>1016</v>
      </c>
      <c r="G32" s="546">
        <v>1394</v>
      </c>
      <c r="H32" s="546">
        <v>396</v>
      </c>
      <c r="I32" s="546">
        <v>26</v>
      </c>
      <c r="J32" s="546">
        <v>90</v>
      </c>
      <c r="K32" s="546">
        <v>125</v>
      </c>
      <c r="L32" s="49">
        <v>241</v>
      </c>
      <c r="M32" s="543"/>
      <c r="N32" s="543"/>
      <c r="O32" s="543"/>
      <c r="P32" s="543"/>
      <c r="Q32" s="543">
        <f t="shared" si="2"/>
        <v>0</v>
      </c>
      <c r="R32" s="543">
        <f t="shared" si="2"/>
        <v>0</v>
      </c>
      <c r="W32" s="543" t="e">
        <f t="shared" si="3"/>
        <v>#DIV/0!</v>
      </c>
    </row>
    <row r="33" spans="1:23" hidden="1" outlineLevel="2">
      <c r="A33" s="541" t="s">
        <v>1527</v>
      </c>
      <c r="B33" s="541" t="s">
        <v>1528</v>
      </c>
      <c r="C33" s="533" t="s">
        <v>1050</v>
      </c>
      <c r="D33" s="544" t="s">
        <v>1529</v>
      </c>
      <c r="E33" s="542"/>
      <c r="F33" s="534">
        <v>154</v>
      </c>
      <c r="G33" s="534">
        <v>124</v>
      </c>
      <c r="H33" s="534">
        <v>570</v>
      </c>
      <c r="I33" s="534">
        <v>10</v>
      </c>
      <c r="J33" s="534">
        <v>4</v>
      </c>
      <c r="K33" s="534">
        <v>110</v>
      </c>
      <c r="L33" s="49">
        <v>124</v>
      </c>
      <c r="M33" s="543"/>
      <c r="N33" s="543"/>
      <c r="O33" s="543"/>
      <c r="P33" s="543"/>
      <c r="Q33" s="543">
        <f t="shared" si="2"/>
        <v>0</v>
      </c>
      <c r="R33" s="543">
        <f t="shared" si="2"/>
        <v>0</v>
      </c>
      <c r="W33" s="543" t="e">
        <f t="shared" si="3"/>
        <v>#DIV/0!</v>
      </c>
    </row>
    <row r="34" spans="1:23" hidden="1" outlineLevel="2">
      <c r="A34" s="541" t="s">
        <v>1527</v>
      </c>
      <c r="B34" s="541" t="s">
        <v>1528</v>
      </c>
      <c r="C34" s="544" t="s">
        <v>1051</v>
      </c>
      <c r="D34" s="544" t="s">
        <v>1529</v>
      </c>
      <c r="E34" s="545"/>
      <c r="F34" s="546">
        <v>1127</v>
      </c>
      <c r="G34" s="546">
        <v>361</v>
      </c>
      <c r="H34" s="546">
        <v>27</v>
      </c>
      <c r="I34" s="546">
        <v>24</v>
      </c>
      <c r="J34" s="546">
        <v>21</v>
      </c>
      <c r="K34" s="546">
        <v>9</v>
      </c>
      <c r="L34" s="49">
        <v>54</v>
      </c>
      <c r="M34" s="543"/>
      <c r="N34" s="543"/>
      <c r="O34" s="543"/>
      <c r="P34" s="543"/>
      <c r="Q34" s="543">
        <f t="shared" si="2"/>
        <v>0</v>
      </c>
      <c r="R34" s="543">
        <f t="shared" si="2"/>
        <v>0</v>
      </c>
      <c r="W34" s="543" t="e">
        <f t="shared" si="3"/>
        <v>#DIV/0!</v>
      </c>
    </row>
    <row r="35" spans="1:23" hidden="1" outlineLevel="2">
      <c r="A35" s="541" t="s">
        <v>1527</v>
      </c>
      <c r="B35" s="541" t="s">
        <v>1528</v>
      </c>
      <c r="C35" s="533" t="s">
        <v>1053</v>
      </c>
      <c r="D35" s="544" t="s">
        <v>1530</v>
      </c>
      <c r="E35" s="542"/>
      <c r="F35" s="534">
        <v>815</v>
      </c>
      <c r="G35" s="534">
        <v>464</v>
      </c>
      <c r="H35" s="534">
        <v>466</v>
      </c>
      <c r="I35" s="534">
        <v>43</v>
      </c>
      <c r="J35" s="534">
        <v>34</v>
      </c>
      <c r="K35" s="534">
        <v>94</v>
      </c>
      <c r="L35" s="49">
        <v>171</v>
      </c>
      <c r="M35" s="543"/>
      <c r="N35" s="543"/>
      <c r="O35" s="543"/>
      <c r="P35" s="543"/>
      <c r="Q35" s="543">
        <f t="shared" si="2"/>
        <v>0</v>
      </c>
      <c r="R35" s="543">
        <f t="shared" si="2"/>
        <v>0</v>
      </c>
      <c r="W35" s="543" t="e">
        <f t="shared" si="3"/>
        <v>#DIV/0!</v>
      </c>
    </row>
    <row r="36" spans="1:23" hidden="1" outlineLevel="2">
      <c r="A36" s="541" t="s">
        <v>1527</v>
      </c>
      <c r="B36" s="541" t="s">
        <v>1528</v>
      </c>
      <c r="C36" s="544" t="s">
        <v>1058</v>
      </c>
      <c r="D36" s="533" t="s">
        <v>1530</v>
      </c>
      <c r="E36" s="542"/>
      <c r="F36" s="546">
        <v>57</v>
      </c>
      <c r="G36" s="546">
        <v>89</v>
      </c>
      <c r="H36" s="546">
        <v>69</v>
      </c>
      <c r="I36" s="546">
        <v>7</v>
      </c>
      <c r="J36" s="546">
        <v>3</v>
      </c>
      <c r="K36" s="546">
        <v>20</v>
      </c>
      <c r="L36" s="49">
        <v>30</v>
      </c>
      <c r="M36" s="543"/>
      <c r="N36" s="543"/>
      <c r="O36" s="543"/>
      <c r="P36" s="543"/>
      <c r="Q36" s="543">
        <f t="shared" si="2"/>
        <v>0</v>
      </c>
      <c r="R36" s="543">
        <f t="shared" si="2"/>
        <v>0</v>
      </c>
      <c r="W36" s="543" t="e">
        <f t="shared" si="3"/>
        <v>#DIV/0!</v>
      </c>
    </row>
    <row r="37" spans="1:23" hidden="1" outlineLevel="2">
      <c r="A37" s="541" t="s">
        <v>1527</v>
      </c>
      <c r="B37" s="541" t="s">
        <v>1528</v>
      </c>
      <c r="C37" s="533" t="s">
        <v>1059</v>
      </c>
      <c r="D37" s="544" t="s">
        <v>1530</v>
      </c>
      <c r="F37" s="534">
        <v>2715</v>
      </c>
      <c r="G37" s="534">
        <v>23</v>
      </c>
      <c r="H37" s="534">
        <v>82</v>
      </c>
      <c r="I37" s="534">
        <v>68</v>
      </c>
      <c r="J37" s="534">
        <v>4</v>
      </c>
      <c r="K37" s="534">
        <v>23</v>
      </c>
      <c r="L37" s="49">
        <v>95</v>
      </c>
      <c r="M37" s="543"/>
      <c r="N37" s="543"/>
      <c r="O37" s="543"/>
      <c r="P37" s="543"/>
      <c r="Q37" s="543">
        <f t="shared" si="2"/>
        <v>0</v>
      </c>
      <c r="R37" s="543">
        <f t="shared" si="2"/>
        <v>0</v>
      </c>
      <c r="W37" s="543" t="e">
        <f t="shared" si="3"/>
        <v>#DIV/0!</v>
      </c>
    </row>
    <row r="38" spans="1:23" hidden="1" outlineLevel="2">
      <c r="A38" s="541" t="s">
        <v>1527</v>
      </c>
      <c r="B38" s="541" t="s">
        <v>1528</v>
      </c>
      <c r="C38" s="544" t="s">
        <v>1060</v>
      </c>
      <c r="D38" s="533" t="s">
        <v>1530</v>
      </c>
      <c r="E38" s="545"/>
      <c r="F38" s="546">
        <v>2719</v>
      </c>
      <c r="G38" s="546">
        <v>163</v>
      </c>
      <c r="H38" s="546">
        <v>170</v>
      </c>
      <c r="I38" s="546">
        <v>62</v>
      </c>
      <c r="J38" s="546">
        <v>13</v>
      </c>
      <c r="K38" s="546">
        <v>46</v>
      </c>
      <c r="L38" s="49">
        <v>121</v>
      </c>
      <c r="M38" s="543"/>
      <c r="N38" s="543"/>
      <c r="O38" s="543"/>
      <c r="P38" s="543"/>
      <c r="Q38" s="543">
        <f t="shared" si="2"/>
        <v>0</v>
      </c>
      <c r="R38" s="543">
        <f t="shared" si="2"/>
        <v>0</v>
      </c>
      <c r="W38" s="543" t="e">
        <f t="shared" si="3"/>
        <v>#DIV/0!</v>
      </c>
    </row>
    <row r="39" spans="1:23" hidden="1" outlineLevel="2">
      <c r="A39" s="541" t="s">
        <v>1527</v>
      </c>
      <c r="B39" s="541" t="s">
        <v>1528</v>
      </c>
      <c r="C39" s="533" t="s">
        <v>1061</v>
      </c>
      <c r="D39" s="533" t="s">
        <v>1530</v>
      </c>
      <c r="E39" s="542">
        <v>2529527.2099999981</v>
      </c>
      <c r="F39" s="534">
        <v>4336</v>
      </c>
      <c r="G39" s="534">
        <v>484</v>
      </c>
      <c r="H39" s="534">
        <v>80</v>
      </c>
      <c r="I39" s="534">
        <v>160</v>
      </c>
      <c r="J39" s="534">
        <v>22</v>
      </c>
      <c r="K39" s="534">
        <v>20</v>
      </c>
      <c r="L39" s="49">
        <v>202</v>
      </c>
      <c r="M39" s="543">
        <v>2</v>
      </c>
      <c r="N39" s="543">
        <v>1</v>
      </c>
      <c r="O39" s="543"/>
      <c r="P39" s="543"/>
      <c r="Q39" s="543">
        <f t="shared" si="2"/>
        <v>-2</v>
      </c>
      <c r="R39" s="543">
        <f t="shared" si="2"/>
        <v>-1</v>
      </c>
      <c r="W39" s="543">
        <f t="shared" si="3"/>
        <v>1264763.6049999991</v>
      </c>
    </row>
    <row r="40" spans="1:23" hidden="1" outlineLevel="2">
      <c r="A40" s="541" t="s">
        <v>1527</v>
      </c>
      <c r="B40" s="541" t="s">
        <v>1528</v>
      </c>
      <c r="C40" s="544" t="s">
        <v>1062</v>
      </c>
      <c r="D40" s="533" t="s">
        <v>1530</v>
      </c>
      <c r="E40" s="545"/>
      <c r="F40" s="546">
        <v>1895</v>
      </c>
      <c r="G40" s="546">
        <v>34</v>
      </c>
      <c r="H40" s="546">
        <v>487</v>
      </c>
      <c r="I40" s="546">
        <v>105</v>
      </c>
      <c r="J40" s="546">
        <v>3</v>
      </c>
      <c r="K40" s="546">
        <v>103</v>
      </c>
      <c r="L40" s="49">
        <v>211</v>
      </c>
      <c r="M40" s="543"/>
      <c r="N40" s="543"/>
      <c r="O40" s="543"/>
      <c r="P40" s="543"/>
      <c r="Q40" s="543">
        <f t="shared" si="2"/>
        <v>0</v>
      </c>
      <c r="R40" s="543">
        <f t="shared" si="2"/>
        <v>0</v>
      </c>
      <c r="W40" s="543" t="e">
        <f t="shared" si="3"/>
        <v>#DIV/0!</v>
      </c>
    </row>
    <row r="41" spans="1:23" hidden="1" outlineLevel="2">
      <c r="A41" s="541" t="s">
        <v>1527</v>
      </c>
      <c r="B41" s="541" t="s">
        <v>1528</v>
      </c>
      <c r="C41" s="533" t="s">
        <v>1063</v>
      </c>
      <c r="D41" s="533" t="s">
        <v>1530</v>
      </c>
      <c r="E41" s="542"/>
      <c r="F41" s="534">
        <v>7065</v>
      </c>
      <c r="G41" s="534">
        <v>13</v>
      </c>
      <c r="H41" s="534">
        <v>435</v>
      </c>
      <c r="I41" s="534">
        <v>80</v>
      </c>
      <c r="J41" s="534">
        <v>2</v>
      </c>
      <c r="K41" s="534">
        <v>72</v>
      </c>
      <c r="L41" s="49">
        <v>154</v>
      </c>
      <c r="M41" s="543"/>
      <c r="N41" s="543"/>
      <c r="O41" s="543"/>
      <c r="P41" s="543"/>
      <c r="Q41" s="543">
        <f t="shared" si="2"/>
        <v>0</v>
      </c>
      <c r="R41" s="543">
        <f t="shared" si="2"/>
        <v>0</v>
      </c>
      <c r="W41" s="543" t="e">
        <f t="shared" si="3"/>
        <v>#DIV/0!</v>
      </c>
    </row>
    <row r="42" spans="1:23" hidden="1" outlineLevel="2">
      <c r="A42" s="541" t="s">
        <v>1527</v>
      </c>
      <c r="B42" s="541" t="s">
        <v>1528</v>
      </c>
      <c r="C42" s="544" t="s">
        <v>1046</v>
      </c>
      <c r="D42" s="533" t="s">
        <v>1531</v>
      </c>
      <c r="E42" s="545"/>
      <c r="F42" s="546">
        <v>1992</v>
      </c>
      <c r="G42" s="546">
        <v>51</v>
      </c>
      <c r="H42" s="546">
        <v>290</v>
      </c>
      <c r="I42" s="546">
        <v>29</v>
      </c>
      <c r="J42" s="546">
        <v>4</v>
      </c>
      <c r="K42" s="546">
        <v>58</v>
      </c>
      <c r="L42" s="49">
        <v>91</v>
      </c>
      <c r="M42" s="543"/>
      <c r="N42" s="543"/>
      <c r="O42" s="543"/>
      <c r="P42" s="543"/>
      <c r="Q42" s="543">
        <f t="shared" si="2"/>
        <v>0</v>
      </c>
      <c r="R42" s="543">
        <f t="shared" si="2"/>
        <v>0</v>
      </c>
      <c r="W42" s="543" t="e">
        <f t="shared" si="3"/>
        <v>#DIV/0!</v>
      </c>
    </row>
    <row r="43" spans="1:23" hidden="1" outlineLevel="2">
      <c r="A43" s="541" t="s">
        <v>1527</v>
      </c>
      <c r="B43" s="541" t="s">
        <v>1528</v>
      </c>
      <c r="C43" s="533" t="s">
        <v>1048</v>
      </c>
      <c r="D43" s="544" t="s">
        <v>1531</v>
      </c>
      <c r="E43" s="542">
        <v>1469146.0299999998</v>
      </c>
      <c r="F43" s="534">
        <v>16434</v>
      </c>
      <c r="G43" s="534">
        <v>158</v>
      </c>
      <c r="H43" s="534">
        <v>434</v>
      </c>
      <c r="I43" s="534">
        <v>358</v>
      </c>
      <c r="J43" s="534">
        <v>11</v>
      </c>
      <c r="K43" s="534">
        <v>126</v>
      </c>
      <c r="L43" s="49">
        <v>495</v>
      </c>
      <c r="M43" s="543">
        <v>1</v>
      </c>
      <c r="N43" s="543">
        <v>0</v>
      </c>
      <c r="O43" s="543"/>
      <c r="P43" s="543"/>
      <c r="Q43" s="543">
        <f t="shared" si="2"/>
        <v>-1</v>
      </c>
      <c r="R43" s="543">
        <f t="shared" si="2"/>
        <v>0</v>
      </c>
      <c r="W43" s="543">
        <f t="shared" si="3"/>
        <v>1469146.0299999998</v>
      </c>
    </row>
    <row r="44" spans="1:23" outlineLevel="1" collapsed="1">
      <c r="A44" s="541" t="s">
        <v>1532</v>
      </c>
      <c r="B44" s="541"/>
      <c r="C44" s="544"/>
      <c r="D44" s="544"/>
      <c r="E44" s="545">
        <f>SUBTOTAL(9,E29:E43)</f>
        <v>0</v>
      </c>
      <c r="F44" s="546">
        <f>SUBTOTAL(9,F29:F43)</f>
        <v>0</v>
      </c>
      <c r="G44" s="546">
        <f>SUBTOTAL(9,G29:G43)</f>
        <v>0</v>
      </c>
      <c r="H44" s="546">
        <f>SUBTOTAL(9,H29:H43)</f>
        <v>0</v>
      </c>
      <c r="I44" s="546"/>
      <c r="J44" s="546"/>
      <c r="K44" s="546"/>
      <c r="L44" s="49">
        <f t="shared" ref="L44:R44" si="4">SUBTOTAL(9,L29:L43)</f>
        <v>0</v>
      </c>
      <c r="M44" s="543">
        <f t="shared" si="4"/>
        <v>0</v>
      </c>
      <c r="N44" s="543">
        <f t="shared" si="4"/>
        <v>0</v>
      </c>
      <c r="O44" s="543">
        <f t="shared" si="4"/>
        <v>0</v>
      </c>
      <c r="P44" s="543">
        <f t="shared" si="4"/>
        <v>0</v>
      </c>
      <c r="Q44" s="543">
        <f t="shared" si="4"/>
        <v>0</v>
      </c>
      <c r="R44" s="543">
        <f t="shared" si="4"/>
        <v>0</v>
      </c>
      <c r="T44" s="548" t="e">
        <f t="shared" ref="T44:T107" si="5">E44/L44</f>
        <v>#DIV/0!</v>
      </c>
      <c r="U44">
        <v>1</v>
      </c>
      <c r="W44" s="543" t="e">
        <f t="shared" si="3"/>
        <v>#DIV/0!</v>
      </c>
    </row>
    <row r="45" spans="1:23" hidden="1" outlineLevel="2">
      <c r="A45" s="541" t="s">
        <v>1533</v>
      </c>
      <c r="B45" s="541" t="s">
        <v>1528</v>
      </c>
      <c r="C45" s="544" t="s">
        <v>1054</v>
      </c>
      <c r="D45" s="533" t="s">
        <v>1534</v>
      </c>
      <c r="E45" s="545"/>
      <c r="F45" s="546">
        <v>23849</v>
      </c>
      <c r="G45" s="546">
        <v>1019</v>
      </c>
      <c r="H45" s="546">
        <v>171</v>
      </c>
      <c r="I45" s="546">
        <v>560</v>
      </c>
      <c r="J45" s="546">
        <v>48</v>
      </c>
      <c r="K45" s="546">
        <v>33</v>
      </c>
      <c r="L45" s="49">
        <v>641</v>
      </c>
      <c r="M45" s="543"/>
      <c r="N45" s="543"/>
      <c r="O45" s="543"/>
      <c r="P45" s="543"/>
      <c r="Q45" s="543">
        <f t="shared" ref="Q45:R57" si="6">O45-M45</f>
        <v>0</v>
      </c>
      <c r="R45" s="543">
        <f t="shared" si="6"/>
        <v>0</v>
      </c>
      <c r="T45" s="548">
        <f t="shared" si="5"/>
        <v>0</v>
      </c>
      <c r="W45" s="543" t="e">
        <f t="shared" si="3"/>
        <v>#DIV/0!</v>
      </c>
    </row>
    <row r="46" spans="1:23" hidden="1" outlineLevel="2">
      <c r="A46" s="541" t="s">
        <v>1533</v>
      </c>
      <c r="B46" s="541" t="s">
        <v>1528</v>
      </c>
      <c r="C46" s="533" t="s">
        <v>1056</v>
      </c>
      <c r="D46" s="544" t="s">
        <v>1534</v>
      </c>
      <c r="E46" s="542"/>
      <c r="F46" s="534">
        <v>15247</v>
      </c>
      <c r="G46" s="534">
        <v>1176</v>
      </c>
      <c r="H46" s="534">
        <v>520</v>
      </c>
      <c r="I46" s="534">
        <v>330</v>
      </c>
      <c r="J46" s="534">
        <v>60</v>
      </c>
      <c r="K46" s="534">
        <v>187</v>
      </c>
      <c r="L46" s="49">
        <v>577</v>
      </c>
      <c r="M46" s="543"/>
      <c r="N46" s="543"/>
      <c r="O46" s="543"/>
      <c r="P46" s="543"/>
      <c r="Q46" s="543">
        <f t="shared" si="6"/>
        <v>0</v>
      </c>
      <c r="R46" s="543">
        <f t="shared" si="6"/>
        <v>0</v>
      </c>
      <c r="T46" s="548">
        <f t="shared" si="5"/>
        <v>0</v>
      </c>
      <c r="W46" s="543" t="e">
        <f t="shared" si="3"/>
        <v>#DIV/0!</v>
      </c>
    </row>
    <row r="47" spans="1:23" hidden="1" outlineLevel="2">
      <c r="A47" s="541" t="s">
        <v>1533</v>
      </c>
      <c r="B47" s="541" t="s">
        <v>1528</v>
      </c>
      <c r="C47" s="544" t="s">
        <v>1064</v>
      </c>
      <c r="D47" s="533" t="s">
        <v>1534</v>
      </c>
      <c r="E47" s="545">
        <v>2962304.2099999995</v>
      </c>
      <c r="F47" s="546">
        <v>2495</v>
      </c>
      <c r="G47" s="546">
        <v>434</v>
      </c>
      <c r="H47" s="546">
        <v>267</v>
      </c>
      <c r="I47" s="546">
        <v>57</v>
      </c>
      <c r="J47" s="546">
        <v>17</v>
      </c>
      <c r="K47" s="546">
        <v>73</v>
      </c>
      <c r="L47" s="49">
        <v>147</v>
      </c>
      <c r="M47" s="543">
        <v>2</v>
      </c>
      <c r="N47" s="543"/>
      <c r="O47" s="543"/>
      <c r="P47" s="543"/>
      <c r="Q47" s="543">
        <f t="shared" si="6"/>
        <v>-2</v>
      </c>
      <c r="R47" s="543">
        <f t="shared" si="6"/>
        <v>0</v>
      </c>
      <c r="T47" s="548">
        <f t="shared" si="5"/>
        <v>20151.729319727889</v>
      </c>
      <c r="W47" s="543">
        <f t="shared" si="3"/>
        <v>1481152.1049999997</v>
      </c>
    </row>
    <row r="48" spans="1:23" hidden="1" outlineLevel="2">
      <c r="A48" s="541" t="s">
        <v>1533</v>
      </c>
      <c r="B48" s="541" t="s">
        <v>1528</v>
      </c>
      <c r="C48" s="533" t="s">
        <v>1065</v>
      </c>
      <c r="D48" s="533" t="s">
        <v>1534</v>
      </c>
      <c r="E48" s="542"/>
      <c r="F48" s="534">
        <v>1501</v>
      </c>
      <c r="G48" s="534">
        <v>694</v>
      </c>
      <c r="H48" s="534">
        <v>313</v>
      </c>
      <c r="I48" s="534">
        <v>25</v>
      </c>
      <c r="J48" s="534">
        <v>34</v>
      </c>
      <c r="K48" s="534">
        <v>115</v>
      </c>
      <c r="L48" s="49">
        <v>174</v>
      </c>
      <c r="M48" s="543"/>
      <c r="N48" s="543"/>
      <c r="O48" s="543"/>
      <c r="P48" s="543"/>
      <c r="Q48" s="543">
        <f t="shared" si="6"/>
        <v>0</v>
      </c>
      <c r="R48" s="543">
        <f t="shared" si="6"/>
        <v>0</v>
      </c>
      <c r="T48" s="548">
        <f t="shared" si="5"/>
        <v>0</v>
      </c>
      <c r="W48" s="543" t="e">
        <f t="shared" si="3"/>
        <v>#DIV/0!</v>
      </c>
    </row>
    <row r="49" spans="1:23" hidden="1" outlineLevel="2">
      <c r="A49" s="541" t="s">
        <v>1533</v>
      </c>
      <c r="B49" s="541" t="s">
        <v>1528</v>
      </c>
      <c r="C49" s="544" t="s">
        <v>1066</v>
      </c>
      <c r="D49" s="533" t="s">
        <v>1534</v>
      </c>
      <c r="E49" s="545"/>
      <c r="F49" s="546">
        <v>41</v>
      </c>
      <c r="G49" s="546">
        <v>1403</v>
      </c>
      <c r="H49" s="546">
        <v>146</v>
      </c>
      <c r="I49" s="546">
        <v>6</v>
      </c>
      <c r="J49" s="546">
        <v>53</v>
      </c>
      <c r="K49" s="546">
        <v>40</v>
      </c>
      <c r="L49" s="49">
        <v>99</v>
      </c>
      <c r="M49" s="543"/>
      <c r="N49" s="543"/>
      <c r="O49" s="543"/>
      <c r="P49" s="543"/>
      <c r="Q49" s="543">
        <f t="shared" si="6"/>
        <v>0</v>
      </c>
      <c r="R49" s="543">
        <f t="shared" si="6"/>
        <v>0</v>
      </c>
      <c r="T49" s="548">
        <f t="shared" si="5"/>
        <v>0</v>
      </c>
      <c r="W49" s="543" t="e">
        <f t="shared" si="3"/>
        <v>#DIV/0!</v>
      </c>
    </row>
    <row r="50" spans="1:23" hidden="1" outlineLevel="2">
      <c r="A50" s="541" t="s">
        <v>1533</v>
      </c>
      <c r="B50" s="541" t="s">
        <v>1528</v>
      </c>
      <c r="C50" s="533" t="s">
        <v>1067</v>
      </c>
      <c r="D50" s="533" t="s">
        <v>1534</v>
      </c>
      <c r="E50" s="542"/>
      <c r="F50" s="534">
        <v>3</v>
      </c>
      <c r="G50" s="534">
        <v>2640</v>
      </c>
      <c r="H50" s="534">
        <v>357</v>
      </c>
      <c r="I50" s="534">
        <v>2</v>
      </c>
      <c r="J50" s="534">
        <v>56</v>
      </c>
      <c r="K50" s="534">
        <v>88</v>
      </c>
      <c r="L50" s="49">
        <v>146</v>
      </c>
      <c r="M50" s="543"/>
      <c r="N50" s="543"/>
      <c r="O50" s="543"/>
      <c r="P50" s="543"/>
      <c r="Q50" s="543">
        <f t="shared" si="6"/>
        <v>0</v>
      </c>
      <c r="R50" s="543">
        <f t="shared" si="6"/>
        <v>0</v>
      </c>
      <c r="T50" s="548">
        <f t="shared" si="5"/>
        <v>0</v>
      </c>
      <c r="W50" s="543" t="e">
        <f t="shared" si="3"/>
        <v>#DIV/0!</v>
      </c>
    </row>
    <row r="51" spans="1:23" hidden="1" outlineLevel="2">
      <c r="A51" s="541" t="s">
        <v>1533</v>
      </c>
      <c r="B51" s="541" t="s">
        <v>1528</v>
      </c>
      <c r="C51" s="544" t="s">
        <v>1069</v>
      </c>
      <c r="D51" s="533" t="s">
        <v>1534</v>
      </c>
      <c r="E51" s="542"/>
      <c r="F51" s="546">
        <v>4</v>
      </c>
      <c r="G51" s="546">
        <v>390</v>
      </c>
      <c r="H51" s="546">
        <v>289</v>
      </c>
      <c r="I51" s="546">
        <v>2</v>
      </c>
      <c r="J51" s="546">
        <v>24</v>
      </c>
      <c r="K51" s="546">
        <v>83</v>
      </c>
      <c r="L51" s="49">
        <v>109</v>
      </c>
      <c r="M51" s="543"/>
      <c r="N51" s="543"/>
      <c r="O51" s="543"/>
      <c r="P51" s="543"/>
      <c r="Q51" s="543">
        <f t="shared" si="6"/>
        <v>0</v>
      </c>
      <c r="R51" s="543">
        <f t="shared" si="6"/>
        <v>0</v>
      </c>
      <c r="T51" s="548">
        <f t="shared" si="5"/>
        <v>0</v>
      </c>
      <c r="W51" s="543" t="e">
        <f t="shared" si="3"/>
        <v>#DIV/0!</v>
      </c>
    </row>
    <row r="52" spans="1:23" hidden="1" outlineLevel="2">
      <c r="A52" s="541" t="s">
        <v>1533</v>
      </c>
      <c r="B52" s="541" t="s">
        <v>1528</v>
      </c>
      <c r="C52" s="533" t="s">
        <v>1070</v>
      </c>
      <c r="D52" s="533" t="s">
        <v>1535</v>
      </c>
      <c r="E52" s="542"/>
      <c r="F52" s="534">
        <v>32</v>
      </c>
      <c r="G52" s="534">
        <v>918</v>
      </c>
      <c r="H52" s="534">
        <v>629</v>
      </c>
      <c r="I52" s="534">
        <v>4</v>
      </c>
      <c r="J52" s="534">
        <v>38</v>
      </c>
      <c r="K52" s="534">
        <v>174</v>
      </c>
      <c r="L52" s="49">
        <v>216</v>
      </c>
      <c r="M52" s="543"/>
      <c r="N52" s="543"/>
      <c r="O52" s="543"/>
      <c r="P52" s="543"/>
      <c r="Q52" s="543">
        <f t="shared" si="6"/>
        <v>0</v>
      </c>
      <c r="R52" s="543">
        <f t="shared" si="6"/>
        <v>0</v>
      </c>
      <c r="T52" s="548">
        <f t="shared" si="5"/>
        <v>0</v>
      </c>
      <c r="W52" s="543" t="e">
        <f t="shared" si="3"/>
        <v>#DIV/0!</v>
      </c>
    </row>
    <row r="53" spans="1:23" hidden="1" outlineLevel="2">
      <c r="A53" s="541" t="s">
        <v>1533</v>
      </c>
      <c r="B53" s="541" t="s">
        <v>1528</v>
      </c>
      <c r="C53" s="544" t="s">
        <v>1071</v>
      </c>
      <c r="D53" s="533" t="s">
        <v>1535</v>
      </c>
      <c r="E53" s="545">
        <v>2570434.0499999998</v>
      </c>
      <c r="F53" s="546">
        <v>12</v>
      </c>
      <c r="G53" s="546">
        <v>5938</v>
      </c>
      <c r="H53" s="546">
        <v>1497</v>
      </c>
      <c r="I53" s="546">
        <v>5</v>
      </c>
      <c r="J53" s="546">
        <v>237</v>
      </c>
      <c r="K53" s="546">
        <v>426</v>
      </c>
      <c r="L53" s="49">
        <v>668</v>
      </c>
      <c r="M53" s="543">
        <v>2</v>
      </c>
      <c r="N53" s="543">
        <v>2</v>
      </c>
      <c r="O53" s="543"/>
      <c r="P53" s="543"/>
      <c r="Q53" s="543">
        <f t="shared" si="6"/>
        <v>-2</v>
      </c>
      <c r="R53" s="543">
        <f t="shared" si="6"/>
        <v>-2</v>
      </c>
      <c r="T53" s="548">
        <f t="shared" si="5"/>
        <v>3847.9551646706582</v>
      </c>
      <c r="W53" s="543">
        <f t="shared" si="3"/>
        <v>1285217.0249999999</v>
      </c>
    </row>
    <row r="54" spans="1:23" hidden="1" outlineLevel="2">
      <c r="A54" s="541" t="s">
        <v>1533</v>
      </c>
      <c r="B54" s="541" t="s">
        <v>1528</v>
      </c>
      <c r="C54" s="533" t="s">
        <v>1074</v>
      </c>
      <c r="D54" s="544" t="s">
        <v>1535</v>
      </c>
      <c r="E54" s="545"/>
      <c r="F54" s="534"/>
      <c r="G54" s="534">
        <v>2582</v>
      </c>
      <c r="H54" s="534">
        <v>402</v>
      </c>
      <c r="I54" s="534"/>
      <c r="J54" s="534">
        <v>126</v>
      </c>
      <c r="K54" s="534">
        <v>156</v>
      </c>
      <c r="L54" s="49">
        <v>282</v>
      </c>
      <c r="M54" s="543"/>
      <c r="N54" s="543"/>
      <c r="O54" s="543"/>
      <c r="P54" s="543"/>
      <c r="Q54" s="543">
        <f t="shared" si="6"/>
        <v>0</v>
      </c>
      <c r="R54" s="543">
        <f t="shared" si="6"/>
        <v>0</v>
      </c>
      <c r="T54" s="548">
        <f t="shared" si="5"/>
        <v>0</v>
      </c>
      <c r="W54" s="543" t="e">
        <f t="shared" si="3"/>
        <v>#DIV/0!</v>
      </c>
    </row>
    <row r="55" spans="1:23" hidden="1" outlineLevel="2">
      <c r="A55" s="541" t="s">
        <v>1533</v>
      </c>
      <c r="B55" s="541" t="s">
        <v>1528</v>
      </c>
      <c r="C55" s="544" t="s">
        <v>1068</v>
      </c>
      <c r="D55" s="544" t="s">
        <v>1536</v>
      </c>
      <c r="E55" s="545"/>
      <c r="F55" s="546">
        <v>5</v>
      </c>
      <c r="G55" s="546">
        <v>2055</v>
      </c>
      <c r="H55" s="546">
        <v>442</v>
      </c>
      <c r="I55" s="546">
        <v>2</v>
      </c>
      <c r="J55" s="546">
        <v>72</v>
      </c>
      <c r="K55" s="546">
        <v>114</v>
      </c>
      <c r="L55" s="49">
        <v>188</v>
      </c>
      <c r="M55" s="543"/>
      <c r="N55" s="543"/>
      <c r="O55" s="543"/>
      <c r="P55" s="543"/>
      <c r="Q55" s="543">
        <f t="shared" si="6"/>
        <v>0</v>
      </c>
      <c r="R55" s="543">
        <f t="shared" si="6"/>
        <v>0</v>
      </c>
      <c r="T55" s="548">
        <f t="shared" si="5"/>
        <v>0</v>
      </c>
      <c r="W55" s="543" t="e">
        <f t="shared" si="3"/>
        <v>#DIV/0!</v>
      </c>
    </row>
    <row r="56" spans="1:23" hidden="1" outlineLevel="2">
      <c r="A56" s="541" t="s">
        <v>1533</v>
      </c>
      <c r="B56" s="541" t="s">
        <v>1528</v>
      </c>
      <c r="C56" s="533" t="s">
        <v>1072</v>
      </c>
      <c r="D56" s="544" t="s">
        <v>1536</v>
      </c>
      <c r="E56" s="542">
        <v>2982147.4000000008</v>
      </c>
      <c r="F56" s="534">
        <v>2013</v>
      </c>
      <c r="G56" s="534">
        <v>7610</v>
      </c>
      <c r="H56" s="534">
        <v>803</v>
      </c>
      <c r="I56" s="534">
        <v>28</v>
      </c>
      <c r="J56" s="534">
        <v>313</v>
      </c>
      <c r="K56" s="534">
        <v>249</v>
      </c>
      <c r="L56" s="49">
        <v>590</v>
      </c>
      <c r="M56" s="543">
        <v>2</v>
      </c>
      <c r="N56" s="543">
        <v>1</v>
      </c>
      <c r="O56" s="543"/>
      <c r="P56" s="543"/>
      <c r="Q56" s="543">
        <f t="shared" si="6"/>
        <v>-2</v>
      </c>
      <c r="R56" s="543">
        <f t="shared" si="6"/>
        <v>-1</v>
      </c>
      <c r="T56" s="548">
        <f t="shared" si="5"/>
        <v>5054.4871186440696</v>
      </c>
      <c r="W56" s="543">
        <f t="shared" si="3"/>
        <v>1491073.7000000004</v>
      </c>
    </row>
    <row r="57" spans="1:23" hidden="1" outlineLevel="2">
      <c r="A57" s="541" t="s">
        <v>1533</v>
      </c>
      <c r="B57" s="541" t="s">
        <v>1528</v>
      </c>
      <c r="C57" s="544" t="s">
        <v>1073</v>
      </c>
      <c r="D57" s="544" t="s">
        <v>1536</v>
      </c>
      <c r="E57" s="545"/>
      <c r="F57" s="546">
        <v>2</v>
      </c>
      <c r="G57" s="546">
        <v>5717</v>
      </c>
      <c r="H57" s="546">
        <v>862</v>
      </c>
      <c r="I57" s="546">
        <v>1</v>
      </c>
      <c r="J57" s="546">
        <v>214</v>
      </c>
      <c r="K57" s="546">
        <v>268</v>
      </c>
      <c r="L57" s="49">
        <v>483</v>
      </c>
      <c r="M57" s="543"/>
      <c r="N57" s="543"/>
      <c r="O57" s="543"/>
      <c r="P57" s="543"/>
      <c r="Q57" s="543">
        <f t="shared" si="6"/>
        <v>0</v>
      </c>
      <c r="R57" s="543">
        <f t="shared" si="6"/>
        <v>0</v>
      </c>
      <c r="T57" s="548">
        <f t="shared" si="5"/>
        <v>0</v>
      </c>
      <c r="W57" s="543" t="e">
        <f t="shared" si="3"/>
        <v>#DIV/0!</v>
      </c>
    </row>
    <row r="58" spans="1:23" outlineLevel="1" collapsed="1">
      <c r="A58" s="541" t="s">
        <v>1537</v>
      </c>
      <c r="B58" s="541"/>
      <c r="C58" s="544"/>
      <c r="D58" s="544"/>
      <c r="E58" s="545">
        <f>SUBTOTAL(9,E45:E57)</f>
        <v>0</v>
      </c>
      <c r="F58" s="546">
        <f>SUBTOTAL(9,F45:F57)</f>
        <v>0</v>
      </c>
      <c r="G58" s="546">
        <f>SUBTOTAL(9,G45:G57)</f>
        <v>0</v>
      </c>
      <c r="H58" s="546">
        <f>SUBTOTAL(9,H45:H57)</f>
        <v>0</v>
      </c>
      <c r="I58" s="546"/>
      <c r="J58" s="546"/>
      <c r="K58" s="546"/>
      <c r="L58" s="49">
        <f t="shared" ref="L58:R58" si="7">SUBTOTAL(9,L45:L57)</f>
        <v>0</v>
      </c>
      <c r="M58" s="543">
        <f t="shared" si="7"/>
        <v>0</v>
      </c>
      <c r="N58" s="543">
        <f t="shared" si="7"/>
        <v>0</v>
      </c>
      <c r="O58" s="543">
        <f t="shared" si="7"/>
        <v>0</v>
      </c>
      <c r="P58" s="543">
        <f t="shared" si="7"/>
        <v>0</v>
      </c>
      <c r="Q58" s="543">
        <f t="shared" si="7"/>
        <v>0</v>
      </c>
      <c r="R58" s="543">
        <f t="shared" si="7"/>
        <v>0</v>
      </c>
      <c r="T58" s="548" t="e">
        <f t="shared" si="5"/>
        <v>#DIV/0!</v>
      </c>
      <c r="U58">
        <v>2</v>
      </c>
      <c r="V58" t="s">
        <v>615</v>
      </c>
      <c r="W58" s="543" t="e">
        <f t="shared" si="3"/>
        <v>#DIV/0!</v>
      </c>
    </row>
    <row r="59" spans="1:23" hidden="1" outlineLevel="2">
      <c r="A59" s="541" t="s">
        <v>1538</v>
      </c>
      <c r="B59" s="541" t="s">
        <v>1528</v>
      </c>
      <c r="C59" s="533" t="s">
        <v>1077</v>
      </c>
      <c r="D59" s="544" t="s">
        <v>1539</v>
      </c>
      <c r="E59" s="542"/>
      <c r="F59" s="534">
        <v>2</v>
      </c>
      <c r="G59" s="534">
        <v>3845</v>
      </c>
      <c r="H59" s="534">
        <v>1388</v>
      </c>
      <c r="I59" s="534">
        <v>1</v>
      </c>
      <c r="J59" s="534">
        <v>126</v>
      </c>
      <c r="K59" s="534">
        <v>356</v>
      </c>
      <c r="L59" s="49">
        <v>483</v>
      </c>
      <c r="M59" s="543"/>
      <c r="N59" s="543"/>
      <c r="O59" s="543"/>
      <c r="P59" s="543"/>
      <c r="Q59" s="543">
        <f t="shared" ref="Q59:R66" si="8">O59-M59</f>
        <v>0</v>
      </c>
      <c r="R59" s="543">
        <f t="shared" si="8"/>
        <v>0</v>
      </c>
      <c r="T59" s="548">
        <f t="shared" si="5"/>
        <v>0</v>
      </c>
      <c r="W59" s="543" t="e">
        <f t="shared" si="3"/>
        <v>#DIV/0!</v>
      </c>
    </row>
    <row r="60" spans="1:23" hidden="1" outlineLevel="2">
      <c r="A60" s="541" t="s">
        <v>1538</v>
      </c>
      <c r="B60" s="541" t="s">
        <v>1528</v>
      </c>
      <c r="C60" s="544" t="s">
        <v>1078</v>
      </c>
      <c r="D60" s="544" t="s">
        <v>1539</v>
      </c>
      <c r="E60" s="545">
        <v>2615349.2900000005</v>
      </c>
      <c r="F60" s="546">
        <v>28</v>
      </c>
      <c r="G60" s="546">
        <v>10714</v>
      </c>
      <c r="H60" s="546">
        <v>2442</v>
      </c>
      <c r="I60" s="546">
        <v>9</v>
      </c>
      <c r="J60" s="546">
        <v>364</v>
      </c>
      <c r="K60" s="546">
        <v>606</v>
      </c>
      <c r="L60" s="49">
        <v>979</v>
      </c>
      <c r="M60" s="543">
        <v>2</v>
      </c>
      <c r="N60" s="543">
        <v>1</v>
      </c>
      <c r="O60" s="543"/>
      <c r="P60" s="543"/>
      <c r="Q60" s="543">
        <f t="shared" si="8"/>
        <v>-2</v>
      </c>
      <c r="R60" s="543">
        <f t="shared" si="8"/>
        <v>-1</v>
      </c>
      <c r="T60" s="548">
        <f t="shared" si="5"/>
        <v>2671.4497344228812</v>
      </c>
      <c r="W60" s="543">
        <f t="shared" si="3"/>
        <v>1307674.6450000003</v>
      </c>
    </row>
    <row r="61" spans="1:23" hidden="1" outlineLevel="2">
      <c r="A61" s="541" t="s">
        <v>1538</v>
      </c>
      <c r="B61" s="541" t="s">
        <v>1528</v>
      </c>
      <c r="C61" s="533" t="s">
        <v>1082</v>
      </c>
      <c r="D61" s="533" t="s">
        <v>1540</v>
      </c>
      <c r="E61" s="542"/>
      <c r="F61" s="534">
        <v>1164</v>
      </c>
      <c r="G61" s="534">
        <v>6200</v>
      </c>
      <c r="H61" s="534">
        <v>1232</v>
      </c>
      <c r="I61" s="534">
        <v>24</v>
      </c>
      <c r="J61" s="534">
        <v>281</v>
      </c>
      <c r="K61" s="534">
        <v>314</v>
      </c>
      <c r="L61" s="49">
        <v>619</v>
      </c>
      <c r="M61" s="543"/>
      <c r="N61" s="543"/>
      <c r="O61" s="543"/>
      <c r="P61" s="543"/>
      <c r="Q61" s="543">
        <f t="shared" si="8"/>
        <v>0</v>
      </c>
      <c r="R61" s="543">
        <f t="shared" si="8"/>
        <v>0</v>
      </c>
      <c r="T61" s="548">
        <f t="shared" si="5"/>
        <v>0</v>
      </c>
      <c r="W61" s="543" t="e">
        <f t="shared" si="3"/>
        <v>#DIV/0!</v>
      </c>
    </row>
    <row r="62" spans="1:23" hidden="1" outlineLevel="2">
      <c r="A62" s="541" t="s">
        <v>1538</v>
      </c>
      <c r="B62" s="541" t="s">
        <v>1528</v>
      </c>
      <c r="C62" s="544" t="s">
        <v>1084</v>
      </c>
      <c r="D62" s="533" t="s">
        <v>1540</v>
      </c>
      <c r="E62" s="542">
        <v>1632299.5600000003</v>
      </c>
      <c r="F62" s="546">
        <v>1796</v>
      </c>
      <c r="G62" s="546">
        <v>5637</v>
      </c>
      <c r="H62" s="546">
        <v>878</v>
      </c>
      <c r="I62" s="546">
        <v>49</v>
      </c>
      <c r="J62" s="546">
        <v>188</v>
      </c>
      <c r="K62" s="546">
        <v>232</v>
      </c>
      <c r="L62" s="49">
        <v>469</v>
      </c>
      <c r="M62" s="543">
        <v>2</v>
      </c>
      <c r="N62" s="543"/>
      <c r="O62" s="543"/>
      <c r="P62" s="543"/>
      <c r="Q62" s="543">
        <f t="shared" si="8"/>
        <v>-2</v>
      </c>
      <c r="R62" s="543">
        <f t="shared" si="8"/>
        <v>0</v>
      </c>
      <c r="T62" s="548">
        <f t="shared" si="5"/>
        <v>3480.3828571428576</v>
      </c>
      <c r="W62" s="543">
        <f t="shared" si="3"/>
        <v>816149.78000000014</v>
      </c>
    </row>
    <row r="63" spans="1:23" hidden="1" outlineLevel="2">
      <c r="A63" s="541" t="s">
        <v>1538</v>
      </c>
      <c r="B63" s="541" t="s">
        <v>1528</v>
      </c>
      <c r="C63" s="533" t="s">
        <v>1079</v>
      </c>
      <c r="D63" s="544" t="s">
        <v>1541</v>
      </c>
      <c r="E63" s="545"/>
      <c r="F63" s="534">
        <v>12530</v>
      </c>
      <c r="G63" s="534">
        <v>1508</v>
      </c>
      <c r="H63" s="534">
        <v>1102</v>
      </c>
      <c r="I63" s="534">
        <v>364</v>
      </c>
      <c r="J63" s="534">
        <v>91</v>
      </c>
      <c r="K63" s="534">
        <v>257</v>
      </c>
      <c r="L63" s="49">
        <v>712</v>
      </c>
      <c r="M63" s="543"/>
      <c r="N63" s="543"/>
      <c r="O63" s="543"/>
      <c r="P63" s="543"/>
      <c r="Q63" s="543">
        <f t="shared" si="8"/>
        <v>0</v>
      </c>
      <c r="R63" s="543">
        <f t="shared" si="8"/>
        <v>0</v>
      </c>
      <c r="T63" s="548">
        <f t="shared" si="5"/>
        <v>0</v>
      </c>
      <c r="W63" s="543" t="e">
        <f t="shared" si="3"/>
        <v>#DIV/0!</v>
      </c>
    </row>
    <row r="64" spans="1:23" hidden="1" outlineLevel="2">
      <c r="A64" s="541" t="s">
        <v>1538</v>
      </c>
      <c r="B64" s="541" t="s">
        <v>1528</v>
      </c>
      <c r="C64" s="544" t="s">
        <v>1080</v>
      </c>
      <c r="D64" s="544" t="s">
        <v>1541</v>
      </c>
      <c r="E64" s="545">
        <v>4625966.6000000006</v>
      </c>
      <c r="F64" s="546">
        <v>1271</v>
      </c>
      <c r="G64" s="546">
        <v>3985</v>
      </c>
      <c r="H64" s="546">
        <v>1184</v>
      </c>
      <c r="I64" s="546">
        <v>48</v>
      </c>
      <c r="J64" s="546">
        <v>210</v>
      </c>
      <c r="K64" s="546">
        <v>387</v>
      </c>
      <c r="L64" s="49">
        <v>645</v>
      </c>
      <c r="M64" s="543">
        <v>3</v>
      </c>
      <c r="N64" s="543">
        <v>2</v>
      </c>
      <c r="O64" s="543"/>
      <c r="P64" s="543"/>
      <c r="Q64" s="543">
        <f t="shared" si="8"/>
        <v>-3</v>
      </c>
      <c r="R64" s="543">
        <f t="shared" si="8"/>
        <v>-2</v>
      </c>
      <c r="T64" s="548">
        <f t="shared" si="5"/>
        <v>7172.0412403100781</v>
      </c>
      <c r="W64" s="543">
        <f t="shared" si="3"/>
        <v>1541988.8666666669</v>
      </c>
    </row>
    <row r="65" spans="1:23" hidden="1" outlineLevel="2">
      <c r="A65" s="541" t="s">
        <v>1538</v>
      </c>
      <c r="B65" s="541" t="s">
        <v>1528</v>
      </c>
      <c r="C65" s="533" t="s">
        <v>1081</v>
      </c>
      <c r="D65" s="533" t="s">
        <v>1541</v>
      </c>
      <c r="E65" s="542"/>
      <c r="F65" s="534">
        <v>340</v>
      </c>
      <c r="G65" s="534">
        <v>5558</v>
      </c>
      <c r="H65" s="534">
        <v>1509</v>
      </c>
      <c r="I65" s="534">
        <v>12</v>
      </c>
      <c r="J65" s="534">
        <v>253</v>
      </c>
      <c r="K65" s="534">
        <v>428</v>
      </c>
      <c r="L65" s="49">
        <v>693</v>
      </c>
      <c r="M65" s="543"/>
      <c r="N65" s="543"/>
      <c r="O65" s="543"/>
      <c r="P65" s="543"/>
      <c r="Q65" s="543">
        <f t="shared" si="8"/>
        <v>0</v>
      </c>
      <c r="R65" s="543">
        <f t="shared" si="8"/>
        <v>0</v>
      </c>
      <c r="T65" s="548">
        <f t="shared" si="5"/>
        <v>0</v>
      </c>
      <c r="W65" s="543" t="e">
        <f t="shared" si="3"/>
        <v>#DIV/0!</v>
      </c>
    </row>
    <row r="66" spans="1:23" hidden="1" outlineLevel="2">
      <c r="A66" s="541" t="s">
        <v>1538</v>
      </c>
      <c r="B66" s="541" t="s">
        <v>1528</v>
      </c>
      <c r="C66" s="544" t="s">
        <v>1083</v>
      </c>
      <c r="D66" s="533" t="s">
        <v>1541</v>
      </c>
      <c r="E66" s="542"/>
      <c r="F66" s="546">
        <v>48</v>
      </c>
      <c r="G66" s="546">
        <v>3706</v>
      </c>
      <c r="H66" s="546">
        <v>1119</v>
      </c>
      <c r="I66" s="546">
        <v>7</v>
      </c>
      <c r="J66" s="546">
        <v>158</v>
      </c>
      <c r="K66" s="546">
        <v>294</v>
      </c>
      <c r="L66" s="49">
        <v>459</v>
      </c>
      <c r="M66" s="543"/>
      <c r="N66" s="543"/>
      <c r="O66" s="543"/>
      <c r="P66" s="543"/>
      <c r="Q66" s="543">
        <f t="shared" si="8"/>
        <v>0</v>
      </c>
      <c r="R66" s="543">
        <f t="shared" si="8"/>
        <v>0</v>
      </c>
      <c r="T66" s="548">
        <f t="shared" si="5"/>
        <v>0</v>
      </c>
      <c r="W66" s="543" t="e">
        <f t="shared" si="3"/>
        <v>#DIV/0!</v>
      </c>
    </row>
    <row r="67" spans="1:23" outlineLevel="1" collapsed="1">
      <c r="A67" s="541" t="s">
        <v>1542</v>
      </c>
      <c r="B67" s="541"/>
      <c r="C67" s="544"/>
      <c r="D67" s="533"/>
      <c r="E67" s="542">
        <f>SUBTOTAL(9,E59:E66)</f>
        <v>0</v>
      </c>
      <c r="F67" s="546">
        <f>SUBTOTAL(9,F59:F66)</f>
        <v>0</v>
      </c>
      <c r="G67" s="546">
        <f>SUBTOTAL(9,G59:G66)</f>
        <v>0</v>
      </c>
      <c r="H67" s="546">
        <f>SUBTOTAL(9,H59:H66)</f>
        <v>0</v>
      </c>
      <c r="I67" s="546"/>
      <c r="J67" s="546"/>
      <c r="K67" s="546"/>
      <c r="L67" s="49">
        <f t="shared" ref="L67:R67" si="9">SUBTOTAL(9,L59:L66)</f>
        <v>0</v>
      </c>
      <c r="M67" s="543">
        <f t="shared" si="9"/>
        <v>0</v>
      </c>
      <c r="N67" s="543">
        <f t="shared" si="9"/>
        <v>0</v>
      </c>
      <c r="O67" s="543">
        <f t="shared" si="9"/>
        <v>0</v>
      </c>
      <c r="P67" s="543">
        <f t="shared" si="9"/>
        <v>0</v>
      </c>
      <c r="Q67" s="543">
        <f t="shared" si="9"/>
        <v>0</v>
      </c>
      <c r="R67" s="543">
        <f t="shared" si="9"/>
        <v>0</v>
      </c>
      <c r="T67" s="548" t="e">
        <f t="shared" si="5"/>
        <v>#DIV/0!</v>
      </c>
      <c r="U67">
        <v>2</v>
      </c>
      <c r="V67" t="s">
        <v>682</v>
      </c>
      <c r="W67" s="543" t="e">
        <f t="shared" si="3"/>
        <v>#DIV/0!</v>
      </c>
    </row>
    <row r="68" spans="1:23" hidden="1" outlineLevel="2">
      <c r="A68" s="541" t="s">
        <v>1543</v>
      </c>
      <c r="B68" s="541" t="s">
        <v>1528</v>
      </c>
      <c r="C68" s="533" t="s">
        <v>1086</v>
      </c>
      <c r="D68" s="533" t="s">
        <v>1544</v>
      </c>
      <c r="E68" s="542">
        <v>1339937.6700000004</v>
      </c>
      <c r="F68" s="534">
        <v>6708</v>
      </c>
      <c r="G68" s="534">
        <v>3944</v>
      </c>
      <c r="H68" s="534">
        <v>1273</v>
      </c>
      <c r="I68" s="534">
        <v>170</v>
      </c>
      <c r="J68" s="534">
        <v>180</v>
      </c>
      <c r="K68" s="534">
        <v>347</v>
      </c>
      <c r="L68" s="49">
        <v>697</v>
      </c>
      <c r="M68" s="543">
        <v>2</v>
      </c>
      <c r="N68" s="543"/>
      <c r="O68" s="543"/>
      <c r="P68" s="543"/>
      <c r="Q68" s="543">
        <f t="shared" ref="Q68:R73" si="10">O68-M68</f>
        <v>-2</v>
      </c>
      <c r="R68" s="543">
        <f t="shared" si="10"/>
        <v>0</v>
      </c>
      <c r="T68" s="548">
        <f t="shared" si="5"/>
        <v>1922.4356814921096</v>
      </c>
      <c r="W68" s="543">
        <f t="shared" si="3"/>
        <v>669968.8350000002</v>
      </c>
    </row>
    <row r="69" spans="1:23" hidden="1" outlineLevel="2">
      <c r="A69" s="541" t="s">
        <v>1543</v>
      </c>
      <c r="B69" s="541" t="s">
        <v>1528</v>
      </c>
      <c r="C69" s="544" t="s">
        <v>1087</v>
      </c>
      <c r="D69" s="544" t="s">
        <v>1545</v>
      </c>
      <c r="E69" s="545">
        <v>1771644.01</v>
      </c>
      <c r="F69" s="546">
        <v>3141</v>
      </c>
      <c r="G69" s="546">
        <v>5405</v>
      </c>
      <c r="H69" s="546">
        <v>2738</v>
      </c>
      <c r="I69" s="546">
        <v>54</v>
      </c>
      <c r="J69" s="546">
        <v>237</v>
      </c>
      <c r="K69" s="546">
        <v>693</v>
      </c>
      <c r="L69" s="49">
        <v>984</v>
      </c>
      <c r="M69" s="543">
        <v>2</v>
      </c>
      <c r="N69" s="543"/>
      <c r="O69" s="543"/>
      <c r="P69" s="543"/>
      <c r="Q69" s="543">
        <f t="shared" si="10"/>
        <v>-2</v>
      </c>
      <c r="R69" s="543">
        <f t="shared" si="10"/>
        <v>0</v>
      </c>
      <c r="T69" s="548">
        <f t="shared" si="5"/>
        <v>1800.4512296747967</v>
      </c>
      <c r="W69" s="543">
        <f t="shared" si="3"/>
        <v>885822.005</v>
      </c>
    </row>
    <row r="70" spans="1:23" hidden="1" outlineLevel="2">
      <c r="A70" s="541" t="s">
        <v>1543</v>
      </c>
      <c r="B70" s="541" t="s">
        <v>1528</v>
      </c>
      <c r="C70" s="533" t="s">
        <v>1085</v>
      </c>
      <c r="D70" s="544" t="s">
        <v>1446</v>
      </c>
      <c r="E70" s="545">
        <v>1345391.0099999995</v>
      </c>
      <c r="F70" s="534">
        <v>4302</v>
      </c>
      <c r="G70" s="534">
        <v>6443</v>
      </c>
      <c r="H70" s="534">
        <v>1376</v>
      </c>
      <c r="I70" s="534">
        <v>90</v>
      </c>
      <c r="J70" s="534">
        <v>304</v>
      </c>
      <c r="K70" s="534">
        <v>378</v>
      </c>
      <c r="L70" s="49">
        <v>772</v>
      </c>
      <c r="M70" s="543">
        <v>1</v>
      </c>
      <c r="N70" s="543"/>
      <c r="O70" s="543"/>
      <c r="P70" s="543"/>
      <c r="Q70" s="543">
        <f t="shared" si="10"/>
        <v>-1</v>
      </c>
      <c r="R70" s="543">
        <f t="shared" si="10"/>
        <v>0</v>
      </c>
      <c r="T70" s="548">
        <f t="shared" si="5"/>
        <v>1742.7344689119166</v>
      </c>
      <c r="W70" s="543">
        <f t="shared" si="3"/>
        <v>1345391.0099999995</v>
      </c>
    </row>
    <row r="71" spans="1:23" hidden="1" outlineLevel="2">
      <c r="A71" s="541" t="s">
        <v>1543</v>
      </c>
      <c r="B71" s="541" t="s">
        <v>1528</v>
      </c>
      <c r="C71" s="544" t="s">
        <v>1055</v>
      </c>
      <c r="D71" s="544" t="s">
        <v>1546</v>
      </c>
      <c r="E71" s="542"/>
      <c r="F71" s="546">
        <v>54253</v>
      </c>
      <c r="G71" s="546">
        <v>9202</v>
      </c>
      <c r="H71" s="546">
        <v>3956</v>
      </c>
      <c r="I71" s="546">
        <v>1186</v>
      </c>
      <c r="J71" s="546">
        <v>538</v>
      </c>
      <c r="K71" s="546">
        <v>1052</v>
      </c>
      <c r="L71" s="49">
        <v>2776</v>
      </c>
      <c r="M71" s="543"/>
      <c r="N71" s="543"/>
      <c r="O71" s="543"/>
      <c r="P71" s="543"/>
      <c r="Q71" s="543">
        <f t="shared" si="10"/>
        <v>0</v>
      </c>
      <c r="R71" s="543">
        <f t="shared" si="10"/>
        <v>0</v>
      </c>
      <c r="T71" s="548">
        <f t="shared" si="5"/>
        <v>0</v>
      </c>
      <c r="W71" s="543" t="e">
        <f t="shared" si="3"/>
        <v>#DIV/0!</v>
      </c>
    </row>
    <row r="72" spans="1:23" hidden="1" outlineLevel="2">
      <c r="A72" s="541" t="s">
        <v>1543</v>
      </c>
      <c r="B72" s="541" t="s">
        <v>1528</v>
      </c>
      <c r="C72" s="533" t="s">
        <v>1057</v>
      </c>
      <c r="D72" s="544" t="s">
        <v>1546</v>
      </c>
      <c r="E72" s="545"/>
      <c r="F72" s="534">
        <v>19310</v>
      </c>
      <c r="G72" s="534">
        <v>734</v>
      </c>
      <c r="H72" s="534">
        <v>648</v>
      </c>
      <c r="I72" s="534">
        <v>338</v>
      </c>
      <c r="J72" s="534">
        <v>37</v>
      </c>
      <c r="K72" s="534">
        <v>163</v>
      </c>
      <c r="L72" s="49">
        <v>538</v>
      </c>
      <c r="M72" s="543"/>
      <c r="N72" s="543"/>
      <c r="O72" s="543"/>
      <c r="P72" s="543"/>
      <c r="Q72" s="543">
        <f t="shared" si="10"/>
        <v>0</v>
      </c>
      <c r="R72" s="543">
        <f t="shared" si="10"/>
        <v>0</v>
      </c>
      <c r="T72" s="548">
        <f t="shared" si="5"/>
        <v>0</v>
      </c>
      <c r="W72" s="543" t="e">
        <f t="shared" si="3"/>
        <v>#DIV/0!</v>
      </c>
    </row>
    <row r="73" spans="1:23" hidden="1" outlineLevel="2">
      <c r="A73" s="541" t="s">
        <v>1543</v>
      </c>
      <c r="B73" s="541" t="s">
        <v>1528</v>
      </c>
      <c r="C73" s="544" t="s">
        <v>1075</v>
      </c>
      <c r="D73" s="544" t="s">
        <v>1546</v>
      </c>
      <c r="E73" s="545">
        <v>4762002.3899999997</v>
      </c>
      <c r="F73" s="546">
        <v>203</v>
      </c>
      <c r="G73" s="546">
        <v>3866</v>
      </c>
      <c r="H73" s="546">
        <v>950</v>
      </c>
      <c r="I73" s="546">
        <v>27</v>
      </c>
      <c r="J73" s="546">
        <v>189</v>
      </c>
      <c r="K73" s="546">
        <v>251</v>
      </c>
      <c r="L73" s="49">
        <v>467</v>
      </c>
      <c r="M73" s="543">
        <v>5</v>
      </c>
      <c r="N73" s="543">
        <v>2</v>
      </c>
      <c r="O73" s="543"/>
      <c r="P73" s="543"/>
      <c r="Q73" s="543">
        <f t="shared" si="10"/>
        <v>-5</v>
      </c>
      <c r="R73" s="543">
        <f t="shared" si="10"/>
        <v>-2</v>
      </c>
      <c r="T73" s="548">
        <f t="shared" si="5"/>
        <v>10197.007259100641</v>
      </c>
      <c r="W73" s="543">
        <f t="shared" si="3"/>
        <v>952400.47799999989</v>
      </c>
    </row>
    <row r="74" spans="1:23" outlineLevel="1" collapsed="1">
      <c r="A74" s="541" t="s">
        <v>1547</v>
      </c>
      <c r="B74" s="541"/>
      <c r="C74" s="544"/>
      <c r="D74" s="544"/>
      <c r="E74" s="545">
        <f>SUBTOTAL(9,E68:E73)</f>
        <v>0</v>
      </c>
      <c r="F74" s="546">
        <f>SUBTOTAL(9,F68:F73)</f>
        <v>0</v>
      </c>
      <c r="G74" s="546">
        <f>SUBTOTAL(9,G68:G73)</f>
        <v>0</v>
      </c>
      <c r="H74" s="546">
        <f>SUBTOTAL(9,H68:H73)</f>
        <v>0</v>
      </c>
      <c r="I74" s="546"/>
      <c r="J74" s="546"/>
      <c r="K74" s="546"/>
      <c r="L74" s="49">
        <f t="shared" ref="L74:R74" si="11">SUBTOTAL(9,L68:L73)</f>
        <v>0</v>
      </c>
      <c r="M74" s="543">
        <f t="shared" si="11"/>
        <v>0</v>
      </c>
      <c r="N74" s="543">
        <f t="shared" si="11"/>
        <v>0</v>
      </c>
      <c r="O74" s="543">
        <f t="shared" si="11"/>
        <v>0</v>
      </c>
      <c r="P74" s="543">
        <f t="shared" si="11"/>
        <v>0</v>
      </c>
      <c r="Q74" s="543">
        <f t="shared" si="11"/>
        <v>0</v>
      </c>
      <c r="R74" s="543">
        <f t="shared" si="11"/>
        <v>0</v>
      </c>
      <c r="T74" s="548" t="e">
        <f t="shared" si="5"/>
        <v>#DIV/0!</v>
      </c>
      <c r="U74">
        <v>3</v>
      </c>
      <c r="V74" t="s">
        <v>1528</v>
      </c>
      <c r="W74" s="543" t="e">
        <f t="shared" si="3"/>
        <v>#DIV/0!</v>
      </c>
    </row>
    <row r="75" spans="1:23" hidden="1" outlineLevel="2">
      <c r="A75" s="541" t="s">
        <v>1548</v>
      </c>
      <c r="B75" s="541" t="s">
        <v>1528</v>
      </c>
      <c r="C75" s="533" t="s">
        <v>1088</v>
      </c>
      <c r="D75" s="533" t="s">
        <v>1549</v>
      </c>
      <c r="E75" s="542"/>
      <c r="F75" s="534">
        <v>10767</v>
      </c>
      <c r="G75" s="534">
        <v>4402</v>
      </c>
      <c r="H75" s="534">
        <v>2124</v>
      </c>
      <c r="I75" s="534">
        <v>164</v>
      </c>
      <c r="J75" s="534">
        <v>273</v>
      </c>
      <c r="K75" s="534">
        <v>374</v>
      </c>
      <c r="L75" s="49">
        <v>811</v>
      </c>
      <c r="M75" s="543"/>
      <c r="N75" s="543"/>
      <c r="O75" s="543"/>
      <c r="P75" s="543"/>
      <c r="Q75" s="543">
        <f t="shared" ref="Q75:R84" si="12">O75-M75</f>
        <v>0</v>
      </c>
      <c r="R75" s="543">
        <f t="shared" si="12"/>
        <v>0</v>
      </c>
      <c r="T75" s="548">
        <f t="shared" si="5"/>
        <v>0</v>
      </c>
      <c r="W75" s="543" t="e">
        <f t="shared" si="3"/>
        <v>#DIV/0!</v>
      </c>
    </row>
    <row r="76" spans="1:23" hidden="1" outlineLevel="2">
      <c r="A76" s="541" t="s">
        <v>1548</v>
      </c>
      <c r="B76" s="541" t="s">
        <v>1528</v>
      </c>
      <c r="C76" s="544" t="s">
        <v>1089</v>
      </c>
      <c r="D76" s="544" t="s">
        <v>1549</v>
      </c>
      <c r="E76" s="545">
        <v>2232259.0100000002</v>
      </c>
      <c r="F76" s="546">
        <v>5938</v>
      </c>
      <c r="G76" s="546">
        <v>2516</v>
      </c>
      <c r="H76" s="546">
        <v>1520</v>
      </c>
      <c r="I76" s="546">
        <v>122</v>
      </c>
      <c r="J76" s="546">
        <v>135</v>
      </c>
      <c r="K76" s="546">
        <v>287</v>
      </c>
      <c r="L76" s="49">
        <v>544</v>
      </c>
      <c r="M76" s="543">
        <v>2</v>
      </c>
      <c r="N76" s="543">
        <v>1</v>
      </c>
      <c r="O76" s="543"/>
      <c r="P76" s="543"/>
      <c r="Q76" s="543">
        <f t="shared" si="12"/>
        <v>-2</v>
      </c>
      <c r="R76" s="543">
        <f t="shared" si="12"/>
        <v>-1</v>
      </c>
      <c r="T76" s="548">
        <f t="shared" si="5"/>
        <v>4103.417297794118</v>
      </c>
      <c r="W76" s="543">
        <f t="shared" si="3"/>
        <v>1116129.5050000001</v>
      </c>
    </row>
    <row r="77" spans="1:23" hidden="1" outlineLevel="2">
      <c r="A77" s="541" t="s">
        <v>1548</v>
      </c>
      <c r="B77" s="541" t="s">
        <v>1528</v>
      </c>
      <c r="C77" s="533" t="s">
        <v>1076</v>
      </c>
      <c r="D77" s="533" t="s">
        <v>1550</v>
      </c>
      <c r="E77" s="542"/>
      <c r="F77" s="534">
        <v>73</v>
      </c>
      <c r="G77" s="534">
        <v>5508</v>
      </c>
      <c r="H77" s="534">
        <v>2102</v>
      </c>
      <c r="I77" s="534">
        <v>12</v>
      </c>
      <c r="J77" s="534">
        <v>215</v>
      </c>
      <c r="K77" s="534">
        <v>560</v>
      </c>
      <c r="L77" s="49">
        <v>787</v>
      </c>
      <c r="M77" s="543"/>
      <c r="N77" s="543"/>
      <c r="O77" s="543"/>
      <c r="P77" s="543"/>
      <c r="Q77" s="543">
        <f t="shared" si="12"/>
        <v>0</v>
      </c>
      <c r="R77" s="543">
        <f t="shared" si="12"/>
        <v>0</v>
      </c>
      <c r="T77" s="548">
        <f t="shared" si="5"/>
        <v>0</v>
      </c>
      <c r="W77" s="543" t="e">
        <f t="shared" si="3"/>
        <v>#DIV/0!</v>
      </c>
    </row>
    <row r="78" spans="1:23" hidden="1" outlineLevel="2">
      <c r="A78" s="541" t="s">
        <v>1548</v>
      </c>
      <c r="B78" s="541" t="s">
        <v>1528</v>
      </c>
      <c r="C78" s="544" t="s">
        <v>1092</v>
      </c>
      <c r="D78" s="544" t="s">
        <v>1550</v>
      </c>
      <c r="E78" s="545"/>
      <c r="F78" s="546">
        <v>10451</v>
      </c>
      <c r="G78" s="546">
        <v>1572</v>
      </c>
      <c r="H78" s="546">
        <v>1958</v>
      </c>
      <c r="I78" s="546">
        <v>237</v>
      </c>
      <c r="J78" s="546">
        <v>87</v>
      </c>
      <c r="K78" s="546">
        <v>300</v>
      </c>
      <c r="L78" s="49">
        <v>624</v>
      </c>
      <c r="M78" s="543"/>
      <c r="N78" s="543"/>
      <c r="O78" s="543"/>
      <c r="P78" s="543"/>
      <c r="Q78" s="543">
        <f t="shared" si="12"/>
        <v>0</v>
      </c>
      <c r="R78" s="543">
        <f t="shared" si="12"/>
        <v>0</v>
      </c>
      <c r="T78" s="548">
        <f t="shared" si="5"/>
        <v>0</v>
      </c>
      <c r="W78" s="543" t="e">
        <f t="shared" si="3"/>
        <v>#DIV/0!</v>
      </c>
    </row>
    <row r="79" spans="1:23" hidden="1" outlineLevel="2">
      <c r="A79" s="541" t="s">
        <v>1548</v>
      </c>
      <c r="B79" s="541" t="s">
        <v>1528</v>
      </c>
      <c r="C79" s="533" t="s">
        <v>1093</v>
      </c>
      <c r="D79" s="533" t="s">
        <v>1550</v>
      </c>
      <c r="E79" s="542"/>
      <c r="F79" s="534">
        <v>222</v>
      </c>
      <c r="G79" s="534">
        <v>1380</v>
      </c>
      <c r="H79" s="534">
        <v>271</v>
      </c>
      <c r="I79" s="534">
        <v>19</v>
      </c>
      <c r="J79" s="534">
        <v>59</v>
      </c>
      <c r="K79" s="534">
        <v>54</v>
      </c>
      <c r="L79" s="49">
        <v>132</v>
      </c>
      <c r="M79" s="543"/>
      <c r="N79" s="543"/>
      <c r="O79" s="543"/>
      <c r="P79" s="543"/>
      <c r="Q79" s="543">
        <f t="shared" si="12"/>
        <v>0</v>
      </c>
      <c r="R79" s="543">
        <f t="shared" si="12"/>
        <v>0</v>
      </c>
      <c r="T79" s="548">
        <f t="shared" si="5"/>
        <v>0</v>
      </c>
      <c r="W79" s="543" t="e">
        <f t="shared" si="3"/>
        <v>#DIV/0!</v>
      </c>
    </row>
    <row r="80" spans="1:23" hidden="1" outlineLevel="2">
      <c r="A80" s="541" t="s">
        <v>1548</v>
      </c>
      <c r="B80" s="541" t="s">
        <v>1528</v>
      </c>
      <c r="C80" s="544" t="s">
        <v>1094</v>
      </c>
      <c r="D80" s="544" t="s">
        <v>1550</v>
      </c>
      <c r="E80" s="545">
        <v>3118153.9899999993</v>
      </c>
      <c r="F80" s="546">
        <v>97</v>
      </c>
      <c r="G80" s="546">
        <v>3067</v>
      </c>
      <c r="H80" s="546">
        <v>808</v>
      </c>
      <c r="I80" s="546">
        <v>9</v>
      </c>
      <c r="J80" s="546">
        <v>157</v>
      </c>
      <c r="K80" s="546">
        <v>237</v>
      </c>
      <c r="L80" s="49">
        <v>403</v>
      </c>
      <c r="M80" s="543">
        <v>4</v>
      </c>
      <c r="N80" s="543"/>
      <c r="O80" s="543"/>
      <c r="P80" s="543"/>
      <c r="Q80" s="543">
        <f t="shared" si="12"/>
        <v>-4</v>
      </c>
      <c r="R80" s="543">
        <f t="shared" si="12"/>
        <v>0</v>
      </c>
      <c r="T80" s="548">
        <f t="shared" si="5"/>
        <v>7737.3548138957794</v>
      </c>
      <c r="W80" s="543">
        <f t="shared" si="3"/>
        <v>779538.49749999982</v>
      </c>
    </row>
    <row r="81" spans="1:23" hidden="1" outlineLevel="2">
      <c r="A81" s="541" t="s">
        <v>1548</v>
      </c>
      <c r="B81" s="541" t="s">
        <v>1528</v>
      </c>
      <c r="C81" s="533" t="s">
        <v>1044</v>
      </c>
      <c r="D81" s="533" t="s">
        <v>1551</v>
      </c>
      <c r="E81" s="542"/>
      <c r="F81" s="534">
        <v>3131</v>
      </c>
      <c r="G81" s="534">
        <v>32</v>
      </c>
      <c r="H81" s="534">
        <v>157</v>
      </c>
      <c r="I81" s="534">
        <v>68</v>
      </c>
      <c r="J81" s="534">
        <v>2</v>
      </c>
      <c r="K81" s="534">
        <v>45</v>
      </c>
      <c r="L81" s="49">
        <v>115</v>
      </c>
      <c r="M81" s="543"/>
      <c r="N81" s="543"/>
      <c r="O81" s="543"/>
      <c r="P81" s="543"/>
      <c r="Q81" s="543">
        <f t="shared" si="12"/>
        <v>0</v>
      </c>
      <c r="R81" s="543">
        <f t="shared" si="12"/>
        <v>0</v>
      </c>
      <c r="T81" s="548">
        <f t="shared" si="5"/>
        <v>0</v>
      </c>
      <c r="W81" s="543" t="e">
        <f t="shared" si="3"/>
        <v>#DIV/0!</v>
      </c>
    </row>
    <row r="82" spans="1:23" hidden="1" outlineLevel="2">
      <c r="A82" s="541" t="s">
        <v>1548</v>
      </c>
      <c r="B82" s="541" t="s">
        <v>1528</v>
      </c>
      <c r="C82" s="544" t="s">
        <v>1045</v>
      </c>
      <c r="D82" s="533" t="s">
        <v>1551</v>
      </c>
      <c r="E82" s="542"/>
      <c r="F82" s="546">
        <v>3506</v>
      </c>
      <c r="G82" s="546">
        <v>16</v>
      </c>
      <c r="H82" s="546">
        <v>82</v>
      </c>
      <c r="I82" s="546">
        <v>48</v>
      </c>
      <c r="J82" s="546">
        <v>2</v>
      </c>
      <c r="K82" s="546">
        <v>26</v>
      </c>
      <c r="L82" s="49">
        <v>76</v>
      </c>
      <c r="M82" s="543"/>
      <c r="N82" s="543"/>
      <c r="O82" s="543"/>
      <c r="P82" s="543"/>
      <c r="Q82" s="543">
        <f t="shared" si="12"/>
        <v>0</v>
      </c>
      <c r="R82" s="543">
        <f t="shared" si="12"/>
        <v>0</v>
      </c>
      <c r="T82" s="548">
        <f t="shared" si="5"/>
        <v>0</v>
      </c>
      <c r="W82" s="543" t="e">
        <f t="shared" si="3"/>
        <v>#DIV/0!</v>
      </c>
    </row>
    <row r="83" spans="1:23" hidden="1" outlineLevel="2">
      <c r="A83" s="541" t="s">
        <v>1548</v>
      </c>
      <c r="B83" s="541" t="s">
        <v>1528</v>
      </c>
      <c r="C83" s="533" t="s">
        <v>1090</v>
      </c>
      <c r="D83" s="544" t="s">
        <v>1551</v>
      </c>
      <c r="E83" s="542"/>
      <c r="F83" s="534">
        <v>1922</v>
      </c>
      <c r="G83" s="534">
        <v>1050</v>
      </c>
      <c r="H83" s="534">
        <v>312</v>
      </c>
      <c r="I83" s="534">
        <v>44</v>
      </c>
      <c r="J83" s="534">
        <v>48</v>
      </c>
      <c r="K83" s="534">
        <v>84</v>
      </c>
      <c r="L83" s="49">
        <v>176</v>
      </c>
      <c r="M83" s="543"/>
      <c r="N83" s="543"/>
      <c r="O83" s="543"/>
      <c r="P83" s="543"/>
      <c r="Q83" s="543">
        <f t="shared" si="12"/>
        <v>0</v>
      </c>
      <c r="R83" s="543">
        <f t="shared" si="12"/>
        <v>0</v>
      </c>
      <c r="T83" s="548">
        <f t="shared" si="5"/>
        <v>0</v>
      </c>
      <c r="W83" s="543" t="e">
        <f t="shared" si="3"/>
        <v>#DIV/0!</v>
      </c>
    </row>
    <row r="84" spans="1:23" hidden="1" outlineLevel="2">
      <c r="A84" s="541" t="s">
        <v>1548</v>
      </c>
      <c r="B84" s="541" t="s">
        <v>1528</v>
      </c>
      <c r="C84" s="544" t="s">
        <v>1091</v>
      </c>
      <c r="D84" s="544" t="s">
        <v>1551</v>
      </c>
      <c r="E84" s="545">
        <v>1481809.1499999997</v>
      </c>
      <c r="F84" s="546">
        <v>811</v>
      </c>
      <c r="G84" s="546">
        <v>1799</v>
      </c>
      <c r="H84" s="546">
        <v>470</v>
      </c>
      <c r="I84" s="546">
        <v>16</v>
      </c>
      <c r="J84" s="546">
        <v>78</v>
      </c>
      <c r="K84" s="546">
        <v>118</v>
      </c>
      <c r="L84" s="49">
        <v>212</v>
      </c>
      <c r="M84" s="543">
        <v>1</v>
      </c>
      <c r="N84" s="543">
        <v>0</v>
      </c>
      <c r="O84" s="543"/>
      <c r="P84" s="543"/>
      <c r="Q84" s="543">
        <f t="shared" si="12"/>
        <v>-1</v>
      </c>
      <c r="R84" s="543">
        <f t="shared" si="12"/>
        <v>0</v>
      </c>
      <c r="S84" t="s">
        <v>1552</v>
      </c>
      <c r="T84" s="548">
        <f t="shared" si="5"/>
        <v>6989.6658018867911</v>
      </c>
      <c r="W84" s="543">
        <f t="shared" si="3"/>
        <v>1481809.1499999997</v>
      </c>
    </row>
    <row r="85" spans="1:23" outlineLevel="1" collapsed="1">
      <c r="A85" s="541" t="s">
        <v>1553</v>
      </c>
      <c r="B85" s="541"/>
      <c r="C85" s="544"/>
      <c r="D85" s="544"/>
      <c r="E85" s="545">
        <f>SUBTOTAL(9,E75:E84)</f>
        <v>0</v>
      </c>
      <c r="F85" s="546">
        <f>SUBTOTAL(9,F75:F84)</f>
        <v>0</v>
      </c>
      <c r="G85" s="546">
        <f>SUBTOTAL(9,G75:G84)</f>
        <v>0</v>
      </c>
      <c r="H85" s="546">
        <f>SUBTOTAL(9,H75:H84)</f>
        <v>0</v>
      </c>
      <c r="I85" s="546"/>
      <c r="J85" s="546"/>
      <c r="K85" s="546"/>
      <c r="L85" s="49">
        <f t="shared" ref="L85:R85" si="13">SUBTOTAL(9,L75:L84)</f>
        <v>0</v>
      </c>
      <c r="M85" s="543">
        <f t="shared" si="13"/>
        <v>0</v>
      </c>
      <c r="N85" s="543">
        <f t="shared" si="13"/>
        <v>0</v>
      </c>
      <c r="O85" s="543">
        <f t="shared" si="13"/>
        <v>0</v>
      </c>
      <c r="P85" s="543">
        <f t="shared" si="13"/>
        <v>0</v>
      </c>
      <c r="Q85" s="543">
        <f t="shared" si="13"/>
        <v>0</v>
      </c>
      <c r="R85" s="543">
        <f t="shared" si="13"/>
        <v>0</v>
      </c>
      <c r="T85" s="548" t="e">
        <f t="shared" si="5"/>
        <v>#DIV/0!</v>
      </c>
      <c r="U85">
        <v>3</v>
      </c>
      <c r="V85" t="s">
        <v>1554</v>
      </c>
      <c r="W85" s="543" t="e">
        <f t="shared" si="3"/>
        <v>#DIV/0!</v>
      </c>
    </row>
    <row r="86" spans="1:23" hidden="1" outlineLevel="2">
      <c r="A86" s="541" t="s">
        <v>1555</v>
      </c>
      <c r="B86" s="541" t="s">
        <v>1528</v>
      </c>
      <c r="C86" s="533" t="s">
        <v>1095</v>
      </c>
      <c r="D86" s="533" t="s">
        <v>1556</v>
      </c>
      <c r="E86" s="542"/>
      <c r="F86" s="534">
        <v>500</v>
      </c>
      <c r="G86" s="534">
        <v>1965</v>
      </c>
      <c r="H86" s="534">
        <v>388</v>
      </c>
      <c r="I86" s="534">
        <v>18</v>
      </c>
      <c r="J86" s="534">
        <v>96</v>
      </c>
      <c r="K86" s="534">
        <v>117</v>
      </c>
      <c r="L86" s="49">
        <v>231</v>
      </c>
      <c r="M86" s="543"/>
      <c r="N86" s="543"/>
      <c r="O86" s="543"/>
      <c r="P86" s="543"/>
      <c r="Q86" s="543">
        <f t="shared" ref="Q86:R97" si="14">O86-M86</f>
        <v>0</v>
      </c>
      <c r="R86" s="543">
        <f t="shared" si="14"/>
        <v>0</v>
      </c>
      <c r="T86" s="548">
        <f t="shared" si="5"/>
        <v>0</v>
      </c>
      <c r="W86" s="543" t="e">
        <f t="shared" si="3"/>
        <v>#DIV/0!</v>
      </c>
    </row>
    <row r="87" spans="1:23" hidden="1" outlineLevel="2">
      <c r="A87" s="541" t="s">
        <v>1555</v>
      </c>
      <c r="B87" s="541" t="s">
        <v>1528</v>
      </c>
      <c r="C87" s="544" t="s">
        <v>1096</v>
      </c>
      <c r="D87" s="533" t="s">
        <v>1556</v>
      </c>
      <c r="E87" s="545"/>
      <c r="F87" s="546"/>
      <c r="G87" s="546">
        <v>1165</v>
      </c>
      <c r="H87" s="546">
        <v>472</v>
      </c>
      <c r="I87" s="546"/>
      <c r="J87" s="546">
        <v>57</v>
      </c>
      <c r="K87" s="546">
        <v>129</v>
      </c>
      <c r="L87" s="49">
        <v>186</v>
      </c>
      <c r="M87" s="543"/>
      <c r="N87" s="543"/>
      <c r="O87" s="543"/>
      <c r="P87" s="543"/>
      <c r="Q87" s="543">
        <f t="shared" si="14"/>
        <v>0</v>
      </c>
      <c r="R87" s="543">
        <f t="shared" si="14"/>
        <v>0</v>
      </c>
      <c r="T87" s="548">
        <f t="shared" si="5"/>
        <v>0</v>
      </c>
      <c r="W87" s="543" t="e">
        <f t="shared" si="3"/>
        <v>#DIV/0!</v>
      </c>
    </row>
    <row r="88" spans="1:23" hidden="1" outlineLevel="2">
      <c r="A88" s="541" t="s">
        <v>1555</v>
      </c>
      <c r="B88" s="541" t="s">
        <v>1528</v>
      </c>
      <c r="C88" s="533" t="s">
        <v>1097</v>
      </c>
      <c r="D88" s="533" t="s">
        <v>1556</v>
      </c>
      <c r="E88" s="542"/>
      <c r="F88" s="534">
        <v>303</v>
      </c>
      <c r="G88" s="534">
        <v>4429</v>
      </c>
      <c r="H88" s="534">
        <v>706</v>
      </c>
      <c r="I88" s="534">
        <v>15</v>
      </c>
      <c r="J88" s="534">
        <v>195</v>
      </c>
      <c r="K88" s="534">
        <v>251</v>
      </c>
      <c r="L88" s="49">
        <v>461</v>
      </c>
      <c r="M88" s="543"/>
      <c r="N88" s="543"/>
      <c r="O88" s="543"/>
      <c r="P88" s="543"/>
      <c r="Q88" s="543">
        <f t="shared" si="14"/>
        <v>0</v>
      </c>
      <c r="R88" s="543">
        <f t="shared" si="14"/>
        <v>0</v>
      </c>
      <c r="T88" s="548">
        <f t="shared" si="5"/>
        <v>0</v>
      </c>
      <c r="W88" s="543" t="e">
        <f t="shared" si="3"/>
        <v>#DIV/0!</v>
      </c>
    </row>
    <row r="89" spans="1:23" hidden="1" outlineLevel="2">
      <c r="A89" s="541" t="s">
        <v>1555</v>
      </c>
      <c r="B89" s="541" t="s">
        <v>1528</v>
      </c>
      <c r="C89" s="544" t="s">
        <v>1098</v>
      </c>
      <c r="D89" s="535" t="s">
        <v>1556</v>
      </c>
      <c r="E89" s="545"/>
      <c r="F89" s="546"/>
      <c r="G89" s="546">
        <v>589</v>
      </c>
      <c r="H89" s="546">
        <v>395</v>
      </c>
      <c r="I89" s="546"/>
      <c r="J89" s="546">
        <v>39</v>
      </c>
      <c r="K89" s="546">
        <v>158</v>
      </c>
      <c r="L89" s="49">
        <v>197</v>
      </c>
      <c r="M89" s="543"/>
      <c r="N89" s="543"/>
      <c r="O89" s="543"/>
      <c r="P89" s="543"/>
      <c r="Q89" s="543">
        <f t="shared" si="14"/>
        <v>0</v>
      </c>
      <c r="R89" s="543">
        <f t="shared" si="14"/>
        <v>0</v>
      </c>
      <c r="T89" s="548">
        <f t="shared" si="5"/>
        <v>0</v>
      </c>
      <c r="W89" s="543" t="e">
        <f t="shared" si="3"/>
        <v>#DIV/0!</v>
      </c>
    </row>
    <row r="90" spans="1:23" hidden="1" outlineLevel="2">
      <c r="A90" s="541" t="s">
        <v>1555</v>
      </c>
      <c r="B90" s="541" t="s">
        <v>1528</v>
      </c>
      <c r="C90" s="533" t="s">
        <v>1099</v>
      </c>
      <c r="D90" s="544" t="s">
        <v>1556</v>
      </c>
      <c r="E90" s="542">
        <v>2584120.7399999998</v>
      </c>
      <c r="F90" s="534">
        <v>8</v>
      </c>
      <c r="G90" s="534">
        <v>4799</v>
      </c>
      <c r="H90" s="534">
        <v>724</v>
      </c>
      <c r="I90" s="534">
        <v>4</v>
      </c>
      <c r="J90" s="534">
        <v>151</v>
      </c>
      <c r="K90" s="534">
        <v>249</v>
      </c>
      <c r="L90" s="49">
        <v>404</v>
      </c>
      <c r="M90" s="543">
        <v>2</v>
      </c>
      <c r="N90" s="543"/>
      <c r="O90" s="543"/>
      <c r="P90" s="543"/>
      <c r="Q90" s="543">
        <f t="shared" si="14"/>
        <v>-2</v>
      </c>
      <c r="R90" s="543">
        <f t="shared" si="14"/>
        <v>0</v>
      </c>
      <c r="T90" s="548">
        <f t="shared" si="5"/>
        <v>6396.3384653465337</v>
      </c>
      <c r="W90" s="543">
        <f t="shared" si="3"/>
        <v>1292060.3699999999</v>
      </c>
    </row>
    <row r="91" spans="1:23" hidden="1" outlineLevel="2">
      <c r="A91" s="541" t="s">
        <v>1555</v>
      </c>
      <c r="B91" s="541" t="s">
        <v>1528</v>
      </c>
      <c r="C91" s="544" t="s">
        <v>1100</v>
      </c>
      <c r="D91" s="544" t="s">
        <v>1556</v>
      </c>
      <c r="E91" s="545"/>
      <c r="F91" s="546">
        <v>6</v>
      </c>
      <c r="G91" s="546">
        <v>2810</v>
      </c>
      <c r="H91" s="546">
        <v>423</v>
      </c>
      <c r="I91" s="546">
        <v>2</v>
      </c>
      <c r="J91" s="546">
        <v>119</v>
      </c>
      <c r="K91" s="546">
        <v>136</v>
      </c>
      <c r="L91" s="49">
        <v>257</v>
      </c>
      <c r="M91" s="543"/>
      <c r="N91" s="543"/>
      <c r="O91" s="543"/>
      <c r="P91" s="543"/>
      <c r="Q91" s="543">
        <f t="shared" si="14"/>
        <v>0</v>
      </c>
      <c r="R91" s="543">
        <f t="shared" si="14"/>
        <v>0</v>
      </c>
      <c r="T91" s="548">
        <f t="shared" si="5"/>
        <v>0</v>
      </c>
      <c r="W91" s="543" t="e">
        <f t="shared" si="3"/>
        <v>#DIV/0!</v>
      </c>
    </row>
    <row r="92" spans="1:23" hidden="1" outlineLevel="2">
      <c r="A92" s="541" t="s">
        <v>1555</v>
      </c>
      <c r="B92" s="541" t="s">
        <v>155</v>
      </c>
      <c r="C92" s="533" t="s">
        <v>1106</v>
      </c>
      <c r="D92" s="544" t="s">
        <v>1557</v>
      </c>
      <c r="E92" s="542"/>
      <c r="F92" s="534">
        <v>409</v>
      </c>
      <c r="G92" s="534">
        <v>5689</v>
      </c>
      <c r="H92" s="534">
        <v>252</v>
      </c>
      <c r="I92" s="534">
        <v>15</v>
      </c>
      <c r="J92" s="534">
        <v>290</v>
      </c>
      <c r="K92" s="534">
        <v>73</v>
      </c>
      <c r="L92" s="49">
        <v>378</v>
      </c>
      <c r="M92" s="543"/>
      <c r="N92" s="543"/>
      <c r="O92" s="543"/>
      <c r="P92" s="543"/>
      <c r="Q92" s="543">
        <f t="shared" si="14"/>
        <v>0</v>
      </c>
      <c r="R92" s="543">
        <f t="shared" si="14"/>
        <v>0</v>
      </c>
      <c r="T92" s="548">
        <f t="shared" si="5"/>
        <v>0</v>
      </c>
      <c r="W92" s="543" t="e">
        <f t="shared" si="3"/>
        <v>#DIV/0!</v>
      </c>
    </row>
    <row r="93" spans="1:23" hidden="1" outlineLevel="2">
      <c r="A93" s="541" t="s">
        <v>1555</v>
      </c>
      <c r="B93" s="541" t="s">
        <v>155</v>
      </c>
      <c r="C93" s="544" t="s">
        <v>1107</v>
      </c>
      <c r="D93" s="544" t="s">
        <v>1557</v>
      </c>
      <c r="E93" s="545"/>
      <c r="F93" s="546"/>
      <c r="G93" s="546">
        <v>2838</v>
      </c>
      <c r="H93" s="546">
        <v>678</v>
      </c>
      <c r="I93" s="546"/>
      <c r="J93" s="546">
        <v>138</v>
      </c>
      <c r="K93" s="546">
        <v>263</v>
      </c>
      <c r="L93" s="49">
        <v>401</v>
      </c>
      <c r="M93" s="543"/>
      <c r="N93" s="543"/>
      <c r="O93" s="543"/>
      <c r="P93" s="543"/>
      <c r="Q93" s="543">
        <f t="shared" si="14"/>
        <v>0</v>
      </c>
      <c r="R93" s="543">
        <f t="shared" si="14"/>
        <v>0</v>
      </c>
      <c r="T93" s="548">
        <f t="shared" si="5"/>
        <v>0</v>
      </c>
      <c r="W93" s="543" t="e">
        <f t="shared" ref="W93:W156" si="15">E93/M93</f>
        <v>#DIV/0!</v>
      </c>
    </row>
    <row r="94" spans="1:23" hidden="1" outlineLevel="2">
      <c r="A94" s="541" t="s">
        <v>1555</v>
      </c>
      <c r="B94" s="541" t="s">
        <v>155</v>
      </c>
      <c r="C94" s="533" t="s">
        <v>1108</v>
      </c>
      <c r="D94" s="544" t="s">
        <v>1557</v>
      </c>
      <c r="E94" s="542">
        <v>936186.01999999967</v>
      </c>
      <c r="F94" s="534">
        <v>4</v>
      </c>
      <c r="G94" s="534">
        <v>2260</v>
      </c>
      <c r="H94" s="534">
        <v>778</v>
      </c>
      <c r="I94" s="534">
        <v>1</v>
      </c>
      <c r="J94" s="534">
        <v>115</v>
      </c>
      <c r="K94" s="534">
        <v>252</v>
      </c>
      <c r="L94" s="49">
        <v>368</v>
      </c>
      <c r="M94" s="543">
        <v>1</v>
      </c>
      <c r="N94" s="543">
        <v>0</v>
      </c>
      <c r="O94" s="543"/>
      <c r="P94" s="543"/>
      <c r="Q94" s="543">
        <f t="shared" si="14"/>
        <v>-1</v>
      </c>
      <c r="R94" s="543">
        <f t="shared" si="14"/>
        <v>0</v>
      </c>
      <c r="T94" s="548">
        <f t="shared" si="5"/>
        <v>2543.983749999999</v>
      </c>
      <c r="W94" s="543">
        <f t="shared" si="15"/>
        <v>936186.01999999967</v>
      </c>
    </row>
    <row r="95" spans="1:23" hidden="1" outlineLevel="2">
      <c r="A95" s="541" t="s">
        <v>1555</v>
      </c>
      <c r="B95" s="541" t="s">
        <v>155</v>
      </c>
      <c r="C95" s="544" t="s">
        <v>1110</v>
      </c>
      <c r="D95" s="533" t="s">
        <v>1557</v>
      </c>
      <c r="E95" s="545"/>
      <c r="F95" s="546">
        <v>29</v>
      </c>
      <c r="G95" s="546">
        <v>8215</v>
      </c>
      <c r="H95" s="546">
        <v>278</v>
      </c>
      <c r="I95" s="546">
        <v>4</v>
      </c>
      <c r="J95" s="546">
        <v>295</v>
      </c>
      <c r="K95" s="546">
        <v>92</v>
      </c>
      <c r="L95" s="49">
        <v>391</v>
      </c>
      <c r="M95" s="543"/>
      <c r="N95" s="543"/>
      <c r="O95" s="543"/>
      <c r="P95" s="543"/>
      <c r="Q95" s="543">
        <f t="shared" si="14"/>
        <v>0</v>
      </c>
      <c r="R95" s="543">
        <f t="shared" si="14"/>
        <v>0</v>
      </c>
      <c r="T95" s="548">
        <f t="shared" si="5"/>
        <v>0</v>
      </c>
      <c r="W95" s="543" t="e">
        <f t="shared" si="15"/>
        <v>#DIV/0!</v>
      </c>
    </row>
    <row r="96" spans="1:23" hidden="1" outlineLevel="2">
      <c r="A96" s="541" t="s">
        <v>1555</v>
      </c>
      <c r="B96" s="541" t="s">
        <v>155</v>
      </c>
      <c r="C96" s="533" t="s">
        <v>1109</v>
      </c>
      <c r="D96" s="533" t="s">
        <v>1558</v>
      </c>
      <c r="E96" s="542">
        <v>1327584.8899999997</v>
      </c>
      <c r="F96" s="534">
        <v>301</v>
      </c>
      <c r="G96" s="534">
        <v>11675</v>
      </c>
      <c r="H96" s="534">
        <v>902</v>
      </c>
      <c r="I96" s="534">
        <v>10</v>
      </c>
      <c r="J96" s="534">
        <v>659</v>
      </c>
      <c r="K96" s="534">
        <v>293</v>
      </c>
      <c r="L96" s="49">
        <v>962</v>
      </c>
      <c r="M96" s="543">
        <v>2</v>
      </c>
      <c r="N96" s="543">
        <v>0</v>
      </c>
      <c r="O96" s="543"/>
      <c r="P96" s="543"/>
      <c r="Q96" s="543">
        <f t="shared" si="14"/>
        <v>-2</v>
      </c>
      <c r="R96" s="543">
        <f t="shared" si="14"/>
        <v>0</v>
      </c>
      <c r="T96" s="548">
        <f t="shared" si="5"/>
        <v>1380.0258731808728</v>
      </c>
      <c r="W96" s="543">
        <f t="shared" si="15"/>
        <v>663792.44499999983</v>
      </c>
    </row>
    <row r="97" spans="1:23" hidden="1" outlineLevel="2">
      <c r="A97" s="541" t="s">
        <v>1555</v>
      </c>
      <c r="B97" s="541" t="s">
        <v>155</v>
      </c>
      <c r="C97" s="544" t="s">
        <v>1121</v>
      </c>
      <c r="D97" s="533" t="s">
        <v>1558</v>
      </c>
      <c r="E97" s="545"/>
      <c r="F97" s="546">
        <v>26</v>
      </c>
      <c r="G97" s="546">
        <v>5344</v>
      </c>
      <c r="H97" s="546">
        <v>243</v>
      </c>
      <c r="I97" s="546">
        <v>5</v>
      </c>
      <c r="J97" s="546">
        <v>367</v>
      </c>
      <c r="K97" s="546">
        <v>89</v>
      </c>
      <c r="L97" s="49">
        <v>461</v>
      </c>
      <c r="M97" s="543"/>
      <c r="N97" s="543"/>
      <c r="O97" s="543"/>
      <c r="P97" s="543"/>
      <c r="Q97" s="543">
        <f t="shared" si="14"/>
        <v>0</v>
      </c>
      <c r="R97" s="543">
        <f t="shared" si="14"/>
        <v>0</v>
      </c>
      <c r="T97" s="548">
        <f t="shared" si="5"/>
        <v>0</v>
      </c>
      <c r="W97" s="543" t="e">
        <f t="shared" si="15"/>
        <v>#DIV/0!</v>
      </c>
    </row>
    <row r="98" spans="1:23" outlineLevel="1" collapsed="1">
      <c r="A98" s="541" t="s">
        <v>1559</v>
      </c>
      <c r="B98" s="541"/>
      <c r="C98" s="544"/>
      <c r="D98" s="533"/>
      <c r="E98" s="545">
        <f>SUBTOTAL(9,E86:E97)</f>
        <v>0</v>
      </c>
      <c r="F98" s="546">
        <f>SUBTOTAL(9,F86:F97)</f>
        <v>0</v>
      </c>
      <c r="G98" s="546">
        <f>SUBTOTAL(9,G86:G97)</f>
        <v>0</v>
      </c>
      <c r="H98" s="546">
        <f>SUBTOTAL(9,H86:H97)</f>
        <v>0</v>
      </c>
      <c r="I98" s="546"/>
      <c r="J98" s="546"/>
      <c r="K98" s="546"/>
      <c r="L98" s="49">
        <f t="shared" ref="L98:R98" si="16">SUBTOTAL(9,L86:L97)</f>
        <v>0</v>
      </c>
      <c r="M98" s="543">
        <f t="shared" si="16"/>
        <v>0</v>
      </c>
      <c r="N98" s="543">
        <f t="shared" si="16"/>
        <v>0</v>
      </c>
      <c r="O98" s="543">
        <f t="shared" si="16"/>
        <v>0</v>
      </c>
      <c r="P98" s="543">
        <f t="shared" si="16"/>
        <v>0</v>
      </c>
      <c r="Q98" s="543">
        <f t="shared" si="16"/>
        <v>0</v>
      </c>
      <c r="R98" s="543">
        <f t="shared" si="16"/>
        <v>0</v>
      </c>
      <c r="T98" s="548" t="e">
        <f t="shared" si="5"/>
        <v>#DIV/0!</v>
      </c>
      <c r="U98">
        <v>4</v>
      </c>
      <c r="V98" t="s">
        <v>155</v>
      </c>
      <c r="W98" s="543" t="e">
        <f t="shared" si="15"/>
        <v>#DIV/0!</v>
      </c>
    </row>
    <row r="99" spans="1:23" hidden="1" outlineLevel="2">
      <c r="A99" s="541" t="s">
        <v>1560</v>
      </c>
      <c r="B99" s="541" t="s">
        <v>155</v>
      </c>
      <c r="C99" s="533" t="s">
        <v>1561</v>
      </c>
      <c r="D99" s="533" t="s">
        <v>1562</v>
      </c>
      <c r="E99" s="542">
        <v>1353027.7</v>
      </c>
      <c r="F99" s="534">
        <v>6628</v>
      </c>
      <c r="G99" s="534">
        <v>431</v>
      </c>
      <c r="H99" s="534">
        <v>224</v>
      </c>
      <c r="I99" s="534">
        <v>153</v>
      </c>
      <c r="J99" s="534">
        <v>32</v>
      </c>
      <c r="K99" s="534">
        <v>59</v>
      </c>
      <c r="L99" s="49">
        <v>244</v>
      </c>
      <c r="M99" s="543">
        <v>1</v>
      </c>
      <c r="N99" s="543">
        <v>0</v>
      </c>
      <c r="O99" s="543"/>
      <c r="P99" s="543"/>
      <c r="Q99" s="543">
        <f t="shared" ref="Q99:R130" si="17">O99-M99</f>
        <v>-1</v>
      </c>
      <c r="R99" s="543">
        <f t="shared" si="17"/>
        <v>0</v>
      </c>
      <c r="T99" s="548">
        <f t="shared" si="5"/>
        <v>5545.1954918032789</v>
      </c>
      <c r="W99" s="543">
        <f t="shared" si="15"/>
        <v>1353027.7</v>
      </c>
    </row>
    <row r="100" spans="1:23" hidden="1" outlineLevel="2">
      <c r="A100" s="541" t="s">
        <v>1560</v>
      </c>
      <c r="B100" s="541" t="s">
        <v>155</v>
      </c>
      <c r="C100" s="544" t="s">
        <v>1563</v>
      </c>
      <c r="D100" s="533" t="s">
        <v>1562</v>
      </c>
      <c r="E100" s="545"/>
      <c r="F100" s="546">
        <v>21866</v>
      </c>
      <c r="G100" s="546">
        <v>344</v>
      </c>
      <c r="H100" s="546">
        <v>423</v>
      </c>
      <c r="I100" s="546">
        <v>540</v>
      </c>
      <c r="J100" s="546">
        <v>22</v>
      </c>
      <c r="K100" s="546">
        <v>112</v>
      </c>
      <c r="L100" s="49">
        <v>674</v>
      </c>
      <c r="M100" s="543"/>
      <c r="N100" s="543"/>
      <c r="O100" s="543"/>
      <c r="P100" s="543"/>
      <c r="Q100" s="543">
        <f t="shared" si="17"/>
        <v>0</v>
      </c>
      <c r="R100" s="543">
        <f t="shared" si="17"/>
        <v>0</v>
      </c>
      <c r="T100" s="548">
        <f t="shared" si="5"/>
        <v>0</v>
      </c>
      <c r="W100" s="543" t="e">
        <f t="shared" si="15"/>
        <v>#DIV/0!</v>
      </c>
    </row>
    <row r="101" spans="1:23" hidden="1" outlineLevel="2">
      <c r="A101" s="541" t="s">
        <v>1560</v>
      </c>
      <c r="B101" s="541" t="s">
        <v>155</v>
      </c>
      <c r="C101" s="533" t="s">
        <v>1564</v>
      </c>
      <c r="D101" s="544" t="s">
        <v>1562</v>
      </c>
      <c r="E101" s="542"/>
      <c r="F101" s="534">
        <v>4</v>
      </c>
      <c r="G101" s="534">
        <v>252</v>
      </c>
      <c r="H101" s="534">
        <v>32</v>
      </c>
      <c r="I101" s="534">
        <v>1</v>
      </c>
      <c r="J101" s="534">
        <v>20</v>
      </c>
      <c r="K101" s="534">
        <v>9</v>
      </c>
      <c r="L101" s="49">
        <v>30</v>
      </c>
      <c r="M101" s="543"/>
      <c r="N101" s="543"/>
      <c r="O101" s="543"/>
      <c r="P101" s="543"/>
      <c r="Q101" s="543">
        <f t="shared" si="17"/>
        <v>0</v>
      </c>
      <c r="R101" s="543">
        <f t="shared" si="17"/>
        <v>0</v>
      </c>
      <c r="T101" s="548">
        <f t="shared" si="5"/>
        <v>0</v>
      </c>
      <c r="W101" s="543" t="e">
        <f t="shared" si="15"/>
        <v>#DIV/0!</v>
      </c>
    </row>
    <row r="102" spans="1:23" hidden="1" outlineLevel="2">
      <c r="A102" s="541" t="s">
        <v>1560</v>
      </c>
      <c r="B102" s="541" t="s">
        <v>155</v>
      </c>
      <c r="C102" s="544" t="s">
        <v>1130</v>
      </c>
      <c r="D102" s="544" t="s">
        <v>1562</v>
      </c>
      <c r="E102" s="545"/>
      <c r="F102" s="546"/>
      <c r="G102" s="546">
        <v>120</v>
      </c>
      <c r="H102" s="546">
        <v>74</v>
      </c>
      <c r="I102" s="546"/>
      <c r="J102" s="546">
        <v>8</v>
      </c>
      <c r="K102" s="546">
        <v>17</v>
      </c>
      <c r="L102" s="49">
        <v>25</v>
      </c>
      <c r="M102" s="543"/>
      <c r="N102" s="543"/>
      <c r="O102" s="543"/>
      <c r="P102" s="543"/>
      <c r="Q102" s="543">
        <f t="shared" si="17"/>
        <v>0</v>
      </c>
      <c r="R102" s="543">
        <f t="shared" si="17"/>
        <v>0</v>
      </c>
      <c r="T102" s="548">
        <f t="shared" si="5"/>
        <v>0</v>
      </c>
      <c r="W102" s="543" t="e">
        <f t="shared" si="15"/>
        <v>#DIV/0!</v>
      </c>
    </row>
    <row r="103" spans="1:23" hidden="1" outlineLevel="2">
      <c r="A103" s="541" t="s">
        <v>1560</v>
      </c>
      <c r="B103" s="541" t="s">
        <v>155</v>
      </c>
      <c r="C103" s="533" t="s">
        <v>1565</v>
      </c>
      <c r="D103" s="544" t="s">
        <v>1562</v>
      </c>
      <c r="E103" s="545"/>
      <c r="F103" s="534">
        <v>6941</v>
      </c>
      <c r="G103" s="534">
        <v>310</v>
      </c>
      <c r="H103" s="534">
        <v>172</v>
      </c>
      <c r="I103" s="534">
        <v>112</v>
      </c>
      <c r="J103" s="534">
        <v>20</v>
      </c>
      <c r="K103" s="534">
        <v>52</v>
      </c>
      <c r="L103" s="49">
        <v>184</v>
      </c>
      <c r="M103" s="543"/>
      <c r="N103" s="543"/>
      <c r="O103" s="543"/>
      <c r="P103" s="543"/>
      <c r="Q103" s="543">
        <f t="shared" si="17"/>
        <v>0</v>
      </c>
      <c r="R103" s="543">
        <f t="shared" si="17"/>
        <v>0</v>
      </c>
      <c r="T103" s="548">
        <f t="shared" si="5"/>
        <v>0</v>
      </c>
      <c r="W103" s="543" t="e">
        <f t="shared" si="15"/>
        <v>#DIV/0!</v>
      </c>
    </row>
    <row r="104" spans="1:23" hidden="1" outlineLevel="2">
      <c r="A104" s="541" t="s">
        <v>1560</v>
      </c>
      <c r="B104" s="541" t="s">
        <v>155</v>
      </c>
      <c r="C104" s="544" t="s">
        <v>1122</v>
      </c>
      <c r="D104" s="544" t="s">
        <v>1566</v>
      </c>
      <c r="E104" s="545"/>
      <c r="F104" s="546">
        <v>1602</v>
      </c>
      <c r="G104" s="546">
        <v>280</v>
      </c>
      <c r="H104" s="546">
        <v>78</v>
      </c>
      <c r="I104" s="546">
        <v>62</v>
      </c>
      <c r="J104" s="546">
        <v>28</v>
      </c>
      <c r="K104" s="546">
        <v>28</v>
      </c>
      <c r="L104" s="49">
        <v>118</v>
      </c>
      <c r="M104" s="543"/>
      <c r="N104" s="543"/>
      <c r="O104" s="543"/>
      <c r="P104" s="543"/>
      <c r="Q104" s="543">
        <f t="shared" si="17"/>
        <v>0</v>
      </c>
      <c r="R104" s="543">
        <f t="shared" si="17"/>
        <v>0</v>
      </c>
      <c r="T104" s="548">
        <f t="shared" si="5"/>
        <v>0</v>
      </c>
      <c r="W104" s="543" t="e">
        <f t="shared" si="15"/>
        <v>#DIV/0!</v>
      </c>
    </row>
    <row r="105" spans="1:23" hidden="1" outlineLevel="2">
      <c r="A105" s="541" t="s">
        <v>1560</v>
      </c>
      <c r="B105" s="541" t="s">
        <v>155</v>
      </c>
      <c r="C105" s="533" t="s">
        <v>1123</v>
      </c>
      <c r="D105" s="544" t="s">
        <v>1566</v>
      </c>
      <c r="E105" s="542"/>
      <c r="F105" s="534">
        <v>11333</v>
      </c>
      <c r="G105" s="534">
        <v>76</v>
      </c>
      <c r="H105" s="534">
        <v>161</v>
      </c>
      <c r="I105" s="534">
        <v>218</v>
      </c>
      <c r="J105" s="534">
        <v>9</v>
      </c>
      <c r="K105" s="534">
        <v>33</v>
      </c>
      <c r="L105" s="49">
        <v>260</v>
      </c>
      <c r="M105" s="543"/>
      <c r="N105" s="543"/>
      <c r="O105" s="543"/>
      <c r="P105" s="543"/>
      <c r="Q105" s="543">
        <f t="shared" si="17"/>
        <v>0</v>
      </c>
      <c r="R105" s="543">
        <f t="shared" si="17"/>
        <v>0</v>
      </c>
      <c r="T105" s="548">
        <f t="shared" si="5"/>
        <v>0</v>
      </c>
      <c r="W105" s="543" t="e">
        <f t="shared" si="15"/>
        <v>#DIV/0!</v>
      </c>
    </row>
    <row r="106" spans="1:23" hidden="1" outlineLevel="2">
      <c r="A106" s="541" t="s">
        <v>1560</v>
      </c>
      <c r="B106" s="541" t="s">
        <v>155</v>
      </c>
      <c r="C106" s="544" t="s">
        <v>1567</v>
      </c>
      <c r="D106" s="533" t="s">
        <v>1566</v>
      </c>
      <c r="E106" s="545">
        <v>1681835.0199999996</v>
      </c>
      <c r="F106" s="546">
        <v>3200</v>
      </c>
      <c r="G106" s="546">
        <v>117</v>
      </c>
      <c r="H106" s="546">
        <v>199</v>
      </c>
      <c r="I106" s="546">
        <v>73</v>
      </c>
      <c r="J106" s="546">
        <v>6</v>
      </c>
      <c r="K106" s="546">
        <v>53</v>
      </c>
      <c r="L106" s="49">
        <v>132</v>
      </c>
      <c r="M106" s="543">
        <v>1</v>
      </c>
      <c r="N106" s="543">
        <v>0</v>
      </c>
      <c r="O106" s="543"/>
      <c r="P106" s="543"/>
      <c r="Q106" s="543">
        <f t="shared" si="17"/>
        <v>-1</v>
      </c>
      <c r="R106" s="543">
        <f t="shared" si="17"/>
        <v>0</v>
      </c>
      <c r="T106" s="548">
        <f t="shared" si="5"/>
        <v>12741.174393939391</v>
      </c>
      <c r="W106" s="543">
        <f t="shared" si="15"/>
        <v>1681835.0199999996</v>
      </c>
    </row>
    <row r="107" spans="1:23" hidden="1" outlineLevel="2">
      <c r="A107" s="541" t="s">
        <v>1560</v>
      </c>
      <c r="B107" s="541" t="s">
        <v>155</v>
      </c>
      <c r="C107" s="533" t="s">
        <v>1568</v>
      </c>
      <c r="D107" s="533" t="s">
        <v>1566</v>
      </c>
      <c r="E107" s="542"/>
      <c r="F107" s="534">
        <v>1472</v>
      </c>
      <c r="G107" s="534">
        <v>931</v>
      </c>
      <c r="H107" s="534">
        <v>609</v>
      </c>
      <c r="I107" s="534">
        <v>66</v>
      </c>
      <c r="J107" s="534">
        <v>63</v>
      </c>
      <c r="K107" s="534">
        <v>113</v>
      </c>
      <c r="L107" s="49">
        <v>242</v>
      </c>
      <c r="M107" s="543"/>
      <c r="N107" s="543"/>
      <c r="O107" s="543"/>
      <c r="P107" s="543"/>
      <c r="Q107" s="543">
        <f t="shared" si="17"/>
        <v>0</v>
      </c>
      <c r="R107" s="543">
        <f t="shared" si="17"/>
        <v>0</v>
      </c>
      <c r="T107" s="548">
        <f t="shared" si="5"/>
        <v>0</v>
      </c>
      <c r="W107" s="543" t="e">
        <f t="shared" si="15"/>
        <v>#DIV/0!</v>
      </c>
    </row>
    <row r="108" spans="1:23" hidden="1" outlineLevel="2">
      <c r="A108" s="541" t="s">
        <v>1560</v>
      </c>
      <c r="B108" s="541" t="s">
        <v>155</v>
      </c>
      <c r="C108" s="544" t="s">
        <v>1101</v>
      </c>
      <c r="D108" s="533" t="s">
        <v>1569</v>
      </c>
      <c r="E108" s="542"/>
      <c r="F108" s="546">
        <v>34</v>
      </c>
      <c r="G108" s="546">
        <v>64</v>
      </c>
      <c r="H108" s="546">
        <v>149</v>
      </c>
      <c r="I108" s="546">
        <v>7</v>
      </c>
      <c r="J108" s="546">
        <v>5</v>
      </c>
      <c r="K108" s="546">
        <v>57</v>
      </c>
      <c r="L108" s="49">
        <v>69</v>
      </c>
      <c r="M108" s="543"/>
      <c r="N108" s="543"/>
      <c r="O108" s="543"/>
      <c r="P108" s="543"/>
      <c r="Q108" s="543">
        <f t="shared" si="17"/>
        <v>0</v>
      </c>
      <c r="R108" s="543">
        <f t="shared" si="17"/>
        <v>0</v>
      </c>
      <c r="T108" s="548">
        <f t="shared" ref="T108:T167" si="18">E108/L108</f>
        <v>0</v>
      </c>
      <c r="W108" s="543" t="e">
        <f t="shared" si="15"/>
        <v>#DIV/0!</v>
      </c>
    </row>
    <row r="109" spans="1:23" hidden="1" outlineLevel="2">
      <c r="A109" s="541" t="s">
        <v>1560</v>
      </c>
      <c r="B109" s="541" t="s">
        <v>155</v>
      </c>
      <c r="C109" s="533" t="s">
        <v>1102</v>
      </c>
      <c r="D109" s="533" t="s">
        <v>1569</v>
      </c>
      <c r="E109" s="542"/>
      <c r="F109" s="534">
        <v>1721</v>
      </c>
      <c r="G109" s="534">
        <v>752</v>
      </c>
      <c r="H109" s="534">
        <v>449</v>
      </c>
      <c r="I109" s="534">
        <v>28</v>
      </c>
      <c r="J109" s="534">
        <v>43</v>
      </c>
      <c r="K109" s="534">
        <v>80</v>
      </c>
      <c r="L109" s="49">
        <v>151</v>
      </c>
      <c r="M109" s="543"/>
      <c r="N109" s="543"/>
      <c r="O109" s="543"/>
      <c r="P109" s="543"/>
      <c r="Q109" s="543">
        <f t="shared" si="17"/>
        <v>0</v>
      </c>
      <c r="R109" s="543">
        <f t="shared" si="17"/>
        <v>0</v>
      </c>
      <c r="T109" s="548">
        <f t="shared" si="18"/>
        <v>0</v>
      </c>
      <c r="W109" s="543" t="e">
        <f t="shared" si="15"/>
        <v>#DIV/0!</v>
      </c>
    </row>
    <row r="110" spans="1:23" hidden="1" outlineLevel="2">
      <c r="A110" s="541" t="s">
        <v>1560</v>
      </c>
      <c r="B110" s="541" t="s">
        <v>155</v>
      </c>
      <c r="C110" s="544" t="s">
        <v>1116</v>
      </c>
      <c r="D110" s="533" t="s">
        <v>1569</v>
      </c>
      <c r="E110" s="545"/>
      <c r="F110" s="546">
        <v>2</v>
      </c>
      <c r="G110" s="546">
        <v>2007</v>
      </c>
      <c r="H110" s="546">
        <v>314</v>
      </c>
      <c r="I110" s="546">
        <v>1</v>
      </c>
      <c r="J110" s="546">
        <v>88</v>
      </c>
      <c r="K110" s="546">
        <v>91</v>
      </c>
      <c r="L110" s="49">
        <v>180</v>
      </c>
      <c r="M110" s="543"/>
      <c r="N110" s="543"/>
      <c r="O110" s="543"/>
      <c r="P110" s="543"/>
      <c r="Q110" s="543">
        <f t="shared" si="17"/>
        <v>0</v>
      </c>
      <c r="R110" s="543">
        <f t="shared" si="17"/>
        <v>0</v>
      </c>
      <c r="T110" s="548">
        <f t="shared" si="18"/>
        <v>0</v>
      </c>
      <c r="W110" s="543" t="e">
        <f t="shared" si="15"/>
        <v>#DIV/0!</v>
      </c>
    </row>
    <row r="111" spans="1:23" hidden="1" outlineLevel="2">
      <c r="A111" s="541" t="s">
        <v>1560</v>
      </c>
      <c r="B111" s="541" t="s">
        <v>155</v>
      </c>
      <c r="C111" s="533" t="s">
        <v>1117</v>
      </c>
      <c r="D111" s="533" t="s">
        <v>1569</v>
      </c>
      <c r="E111" s="542"/>
      <c r="F111" s="534">
        <v>2807</v>
      </c>
      <c r="G111" s="534">
        <v>158</v>
      </c>
      <c r="H111" s="534">
        <v>79</v>
      </c>
      <c r="I111" s="534">
        <v>49</v>
      </c>
      <c r="J111" s="534">
        <v>7</v>
      </c>
      <c r="K111" s="534">
        <v>18</v>
      </c>
      <c r="L111" s="49">
        <v>74</v>
      </c>
      <c r="M111" s="543"/>
      <c r="N111" s="543"/>
      <c r="O111" s="543"/>
      <c r="P111" s="543"/>
      <c r="Q111" s="543">
        <f t="shared" si="17"/>
        <v>0</v>
      </c>
      <c r="R111" s="543">
        <f t="shared" si="17"/>
        <v>0</v>
      </c>
      <c r="T111" s="548">
        <f t="shared" si="18"/>
        <v>0</v>
      </c>
      <c r="W111" s="543" t="e">
        <f t="shared" si="15"/>
        <v>#DIV/0!</v>
      </c>
    </row>
    <row r="112" spans="1:23" hidden="1" outlineLevel="2">
      <c r="A112" s="541" t="s">
        <v>1560</v>
      </c>
      <c r="B112" s="541" t="s">
        <v>155</v>
      </c>
      <c r="C112" s="544" t="s">
        <v>1118</v>
      </c>
      <c r="D112" s="533" t="s">
        <v>1569</v>
      </c>
      <c r="E112" s="545"/>
      <c r="F112" s="546">
        <v>146</v>
      </c>
      <c r="G112" s="546">
        <v>852</v>
      </c>
      <c r="H112" s="546">
        <v>213</v>
      </c>
      <c r="I112" s="546">
        <v>15</v>
      </c>
      <c r="J112" s="546">
        <v>40</v>
      </c>
      <c r="K112" s="546">
        <v>34</v>
      </c>
      <c r="L112" s="49">
        <v>89</v>
      </c>
      <c r="M112" s="543"/>
      <c r="N112" s="543"/>
      <c r="O112" s="543"/>
      <c r="P112" s="543"/>
      <c r="Q112" s="543">
        <f t="shared" si="17"/>
        <v>0</v>
      </c>
      <c r="R112" s="543">
        <f t="shared" si="17"/>
        <v>0</v>
      </c>
      <c r="T112" s="548">
        <f t="shared" si="18"/>
        <v>0</v>
      </c>
      <c r="W112" s="543" t="e">
        <f t="shared" si="15"/>
        <v>#DIV/0!</v>
      </c>
    </row>
    <row r="113" spans="1:23" hidden="1" outlineLevel="2">
      <c r="A113" s="541" t="s">
        <v>1560</v>
      </c>
      <c r="B113" s="541" t="s">
        <v>155</v>
      </c>
      <c r="C113" s="533" t="s">
        <v>1120</v>
      </c>
      <c r="D113" s="533" t="s">
        <v>1569</v>
      </c>
      <c r="E113" s="542"/>
      <c r="F113" s="534">
        <v>478</v>
      </c>
      <c r="G113" s="534">
        <v>1051</v>
      </c>
      <c r="H113" s="534">
        <v>143</v>
      </c>
      <c r="I113" s="534">
        <v>24</v>
      </c>
      <c r="J113" s="534">
        <v>54</v>
      </c>
      <c r="K113" s="534">
        <v>36</v>
      </c>
      <c r="L113" s="49">
        <v>114</v>
      </c>
      <c r="M113" s="543"/>
      <c r="N113" s="543"/>
      <c r="O113" s="543"/>
      <c r="P113" s="543"/>
      <c r="Q113" s="543">
        <f t="shared" si="17"/>
        <v>0</v>
      </c>
      <c r="R113" s="543">
        <f t="shared" si="17"/>
        <v>0</v>
      </c>
      <c r="T113" s="548">
        <f t="shared" si="18"/>
        <v>0</v>
      </c>
      <c r="W113" s="543" t="e">
        <f t="shared" si="15"/>
        <v>#DIV/0!</v>
      </c>
    </row>
    <row r="114" spans="1:23" hidden="1" outlineLevel="2">
      <c r="A114" s="541" t="s">
        <v>1560</v>
      </c>
      <c r="B114" s="541" t="s">
        <v>155</v>
      </c>
      <c r="C114" s="544" t="s">
        <v>1570</v>
      </c>
      <c r="D114" s="533" t="s">
        <v>1569</v>
      </c>
      <c r="E114" s="545"/>
      <c r="F114" s="546">
        <v>5995</v>
      </c>
      <c r="G114" s="546">
        <v>145</v>
      </c>
      <c r="H114" s="546">
        <v>155</v>
      </c>
      <c r="I114" s="546">
        <v>101</v>
      </c>
      <c r="J114" s="546">
        <v>9</v>
      </c>
      <c r="K114" s="546">
        <v>63</v>
      </c>
      <c r="L114" s="49">
        <v>173</v>
      </c>
      <c r="M114" s="543"/>
      <c r="N114" s="543"/>
      <c r="O114" s="543"/>
      <c r="P114" s="543"/>
      <c r="Q114" s="543">
        <f t="shared" si="17"/>
        <v>0</v>
      </c>
      <c r="R114" s="543">
        <f t="shared" si="17"/>
        <v>0</v>
      </c>
      <c r="T114" s="548">
        <f t="shared" si="18"/>
        <v>0</v>
      </c>
      <c r="W114" s="543" t="e">
        <f t="shared" si="15"/>
        <v>#DIV/0!</v>
      </c>
    </row>
    <row r="115" spans="1:23" hidden="1" outlineLevel="2">
      <c r="A115" s="541" t="s">
        <v>1560</v>
      </c>
      <c r="B115" s="541" t="s">
        <v>155</v>
      </c>
      <c r="C115" s="533" t="s">
        <v>1125</v>
      </c>
      <c r="D115" s="533" t="s">
        <v>1569</v>
      </c>
      <c r="E115" s="542"/>
      <c r="F115" s="534"/>
      <c r="G115" s="534">
        <v>136</v>
      </c>
      <c r="H115" s="534"/>
      <c r="I115" s="534"/>
      <c r="J115" s="534">
        <v>9</v>
      </c>
      <c r="K115" s="534"/>
      <c r="L115" s="49">
        <v>9</v>
      </c>
      <c r="M115" s="543"/>
      <c r="N115" s="543"/>
      <c r="O115" s="543"/>
      <c r="P115" s="543"/>
      <c r="Q115" s="543">
        <f t="shared" si="17"/>
        <v>0</v>
      </c>
      <c r="R115" s="543">
        <f t="shared" si="17"/>
        <v>0</v>
      </c>
      <c r="T115" s="548">
        <f t="shared" si="18"/>
        <v>0</v>
      </c>
      <c r="W115" s="543" t="e">
        <f t="shared" si="15"/>
        <v>#DIV/0!</v>
      </c>
    </row>
    <row r="116" spans="1:23" hidden="1" outlineLevel="2">
      <c r="A116" s="541" t="s">
        <v>1560</v>
      </c>
      <c r="B116" s="541" t="s">
        <v>155</v>
      </c>
      <c r="C116" s="544" t="s">
        <v>1127</v>
      </c>
      <c r="D116" s="544" t="s">
        <v>1569</v>
      </c>
      <c r="E116" s="545"/>
      <c r="F116" s="546">
        <v>815</v>
      </c>
      <c r="G116" s="546">
        <v>112</v>
      </c>
      <c r="H116" s="546">
        <v>523</v>
      </c>
      <c r="I116" s="546">
        <v>13</v>
      </c>
      <c r="J116" s="546">
        <v>12</v>
      </c>
      <c r="K116" s="546">
        <v>119</v>
      </c>
      <c r="L116" s="49">
        <v>144</v>
      </c>
      <c r="M116" s="543"/>
      <c r="N116" s="543"/>
      <c r="O116" s="543"/>
      <c r="P116" s="543"/>
      <c r="Q116" s="543">
        <f t="shared" si="17"/>
        <v>0</v>
      </c>
      <c r="R116" s="543">
        <f t="shared" si="17"/>
        <v>0</v>
      </c>
      <c r="T116" s="548">
        <f t="shared" si="18"/>
        <v>0</v>
      </c>
      <c r="W116" s="543" t="e">
        <f t="shared" si="15"/>
        <v>#DIV/0!</v>
      </c>
    </row>
    <row r="117" spans="1:23" hidden="1" outlineLevel="2">
      <c r="A117" s="541" t="s">
        <v>1560</v>
      </c>
      <c r="B117" s="541" t="s">
        <v>155</v>
      </c>
      <c r="C117" s="533" t="s">
        <v>1571</v>
      </c>
      <c r="D117" s="533" t="s">
        <v>1569</v>
      </c>
      <c r="E117" s="542"/>
      <c r="F117" s="534">
        <v>2236</v>
      </c>
      <c r="G117" s="534">
        <v>140</v>
      </c>
      <c r="H117" s="534">
        <v>58</v>
      </c>
      <c r="I117" s="534">
        <v>26</v>
      </c>
      <c r="J117" s="534">
        <v>12</v>
      </c>
      <c r="K117" s="534">
        <v>12</v>
      </c>
      <c r="L117" s="49">
        <v>50</v>
      </c>
      <c r="M117" s="543"/>
      <c r="N117" s="543"/>
      <c r="O117" s="543"/>
      <c r="P117" s="543"/>
      <c r="Q117" s="543">
        <f t="shared" si="17"/>
        <v>0</v>
      </c>
      <c r="R117" s="543">
        <f t="shared" si="17"/>
        <v>0</v>
      </c>
      <c r="T117" s="548">
        <f t="shared" si="18"/>
        <v>0</v>
      </c>
      <c r="W117" s="543" t="e">
        <f t="shared" si="15"/>
        <v>#DIV/0!</v>
      </c>
    </row>
    <row r="118" spans="1:23" hidden="1" outlineLevel="2">
      <c r="A118" s="541" t="s">
        <v>1560</v>
      </c>
      <c r="B118" s="541" t="s">
        <v>155</v>
      </c>
      <c r="C118" s="544" t="s">
        <v>1129</v>
      </c>
      <c r="D118" s="533" t="s">
        <v>1569</v>
      </c>
      <c r="E118" s="545">
        <v>3862338.9600000014</v>
      </c>
      <c r="F118" s="546">
        <v>26473</v>
      </c>
      <c r="G118" s="546">
        <v>1611</v>
      </c>
      <c r="H118" s="546">
        <v>1113</v>
      </c>
      <c r="I118" s="546">
        <v>564</v>
      </c>
      <c r="J118" s="546">
        <v>85</v>
      </c>
      <c r="K118" s="546">
        <v>224</v>
      </c>
      <c r="L118" s="49">
        <v>873</v>
      </c>
      <c r="M118" s="543">
        <v>2</v>
      </c>
      <c r="N118" s="543">
        <v>1</v>
      </c>
      <c r="O118" s="543"/>
      <c r="P118" s="543"/>
      <c r="Q118" s="543">
        <f t="shared" si="17"/>
        <v>-2</v>
      </c>
      <c r="R118" s="543">
        <f t="shared" si="17"/>
        <v>-1</v>
      </c>
      <c r="S118" t="s">
        <v>1572</v>
      </c>
      <c r="T118" s="548">
        <f t="shared" si="18"/>
        <v>4424.2141580756033</v>
      </c>
      <c r="W118" s="543">
        <f t="shared" si="15"/>
        <v>1931169.4800000007</v>
      </c>
    </row>
    <row r="119" spans="1:23" hidden="1" outlineLevel="2">
      <c r="A119" s="541" t="s">
        <v>1560</v>
      </c>
      <c r="B119" s="541" t="s">
        <v>155</v>
      </c>
      <c r="C119" s="533" t="s">
        <v>1036</v>
      </c>
      <c r="D119" s="533" t="s">
        <v>1573</v>
      </c>
      <c r="E119" s="542"/>
      <c r="F119" s="534">
        <v>672</v>
      </c>
      <c r="G119" s="534">
        <v>208</v>
      </c>
      <c r="H119" s="534">
        <v>25</v>
      </c>
      <c r="I119" s="534">
        <v>18</v>
      </c>
      <c r="J119" s="534">
        <v>6</v>
      </c>
      <c r="K119" s="534">
        <v>7</v>
      </c>
      <c r="L119" s="49">
        <v>31</v>
      </c>
      <c r="M119" s="543"/>
      <c r="N119" s="543"/>
      <c r="O119" s="543"/>
      <c r="P119" s="543"/>
      <c r="Q119" s="543">
        <f t="shared" si="17"/>
        <v>0</v>
      </c>
      <c r="R119" s="543">
        <f t="shared" si="17"/>
        <v>0</v>
      </c>
      <c r="T119" s="548">
        <f t="shared" si="18"/>
        <v>0</v>
      </c>
      <c r="W119" s="543" t="e">
        <f t="shared" si="15"/>
        <v>#DIV/0!</v>
      </c>
    </row>
    <row r="120" spans="1:23" hidden="1" outlineLevel="2">
      <c r="A120" s="541" t="s">
        <v>1560</v>
      </c>
      <c r="B120" s="541" t="s">
        <v>155</v>
      </c>
      <c r="C120" s="544" t="s">
        <v>1037</v>
      </c>
      <c r="D120" s="533" t="s">
        <v>1573</v>
      </c>
      <c r="E120" s="542"/>
      <c r="F120" s="546">
        <v>10</v>
      </c>
      <c r="G120" s="546">
        <v>16</v>
      </c>
      <c r="H120" s="546">
        <v>119</v>
      </c>
      <c r="I120" s="546">
        <v>4</v>
      </c>
      <c r="J120" s="546">
        <v>1</v>
      </c>
      <c r="K120" s="546">
        <v>29</v>
      </c>
      <c r="L120" s="49">
        <v>34</v>
      </c>
      <c r="M120" s="543"/>
      <c r="N120" s="543"/>
      <c r="O120" s="543"/>
      <c r="P120" s="543"/>
      <c r="Q120" s="543">
        <f t="shared" si="17"/>
        <v>0</v>
      </c>
      <c r="R120" s="543">
        <f t="shared" si="17"/>
        <v>0</v>
      </c>
      <c r="T120" s="548">
        <f t="shared" si="18"/>
        <v>0</v>
      </c>
      <c r="W120" s="543" t="e">
        <f t="shared" si="15"/>
        <v>#DIV/0!</v>
      </c>
    </row>
    <row r="121" spans="1:23" hidden="1" outlineLevel="2">
      <c r="A121" s="541" t="s">
        <v>1560</v>
      </c>
      <c r="B121" s="541" t="s">
        <v>155</v>
      </c>
      <c r="C121" s="533" t="s">
        <v>1052</v>
      </c>
      <c r="D121" s="533" t="s">
        <v>1573</v>
      </c>
      <c r="E121" s="542"/>
      <c r="F121" s="534">
        <v>28</v>
      </c>
      <c r="G121" s="534">
        <v>116</v>
      </c>
      <c r="H121" s="534">
        <v>50</v>
      </c>
      <c r="I121" s="534">
        <v>10</v>
      </c>
      <c r="J121" s="534">
        <v>7</v>
      </c>
      <c r="K121" s="534">
        <v>16</v>
      </c>
      <c r="L121" s="49">
        <v>33</v>
      </c>
      <c r="M121" s="543"/>
      <c r="N121" s="543"/>
      <c r="O121" s="543"/>
      <c r="P121" s="543"/>
      <c r="Q121" s="543">
        <f t="shared" si="17"/>
        <v>0</v>
      </c>
      <c r="R121" s="543">
        <f t="shared" si="17"/>
        <v>0</v>
      </c>
      <c r="T121" s="548">
        <f t="shared" si="18"/>
        <v>0</v>
      </c>
      <c r="W121" s="543" t="e">
        <f t="shared" si="15"/>
        <v>#DIV/0!</v>
      </c>
    </row>
    <row r="122" spans="1:23" hidden="1" outlineLevel="2">
      <c r="A122" s="541" t="s">
        <v>1560</v>
      </c>
      <c r="B122" s="541" t="s">
        <v>155</v>
      </c>
      <c r="C122" s="544" t="s">
        <v>1103</v>
      </c>
      <c r="D122" s="533" t="s">
        <v>1573</v>
      </c>
      <c r="E122" s="545"/>
      <c r="F122" s="546">
        <v>1237</v>
      </c>
      <c r="G122" s="546">
        <v>2781</v>
      </c>
      <c r="H122" s="546">
        <v>272</v>
      </c>
      <c r="I122" s="546">
        <v>39</v>
      </c>
      <c r="J122" s="546">
        <v>166</v>
      </c>
      <c r="K122" s="546">
        <v>68</v>
      </c>
      <c r="L122" s="49">
        <v>273</v>
      </c>
      <c r="M122" s="543"/>
      <c r="N122" s="543"/>
      <c r="O122" s="543"/>
      <c r="P122" s="543"/>
      <c r="Q122" s="543">
        <f t="shared" si="17"/>
        <v>0</v>
      </c>
      <c r="R122" s="543">
        <f t="shared" si="17"/>
        <v>0</v>
      </c>
      <c r="T122" s="548">
        <f t="shared" si="18"/>
        <v>0</v>
      </c>
      <c r="W122" s="543" t="e">
        <f t="shared" si="15"/>
        <v>#DIV/0!</v>
      </c>
    </row>
    <row r="123" spans="1:23" hidden="1" outlineLevel="2">
      <c r="A123" s="541" t="s">
        <v>1560</v>
      </c>
      <c r="B123" s="541" t="s">
        <v>155</v>
      </c>
      <c r="C123" s="533" t="s">
        <v>1104</v>
      </c>
      <c r="D123" s="533" t="s">
        <v>1573</v>
      </c>
      <c r="E123" s="542"/>
      <c r="F123" s="534">
        <v>475</v>
      </c>
      <c r="G123" s="534">
        <v>180</v>
      </c>
      <c r="H123" s="534">
        <v>70</v>
      </c>
      <c r="I123" s="534">
        <v>29</v>
      </c>
      <c r="J123" s="534">
        <v>13</v>
      </c>
      <c r="K123" s="534">
        <v>18</v>
      </c>
      <c r="L123" s="49">
        <v>60</v>
      </c>
      <c r="M123" s="543"/>
      <c r="N123" s="543"/>
      <c r="O123" s="543"/>
      <c r="P123" s="543"/>
      <c r="Q123" s="543">
        <f t="shared" si="17"/>
        <v>0</v>
      </c>
      <c r="R123" s="543">
        <f t="shared" si="17"/>
        <v>0</v>
      </c>
      <c r="T123" s="548">
        <f t="shared" si="18"/>
        <v>0</v>
      </c>
      <c r="W123" s="543" t="e">
        <f t="shared" si="15"/>
        <v>#DIV/0!</v>
      </c>
    </row>
    <row r="124" spans="1:23" hidden="1" outlineLevel="2">
      <c r="A124" s="541" t="s">
        <v>1560</v>
      </c>
      <c r="B124" s="541" t="s">
        <v>155</v>
      </c>
      <c r="C124" s="544" t="s">
        <v>1105</v>
      </c>
      <c r="D124" s="533" t="s">
        <v>1573</v>
      </c>
      <c r="E124" s="545"/>
      <c r="F124" s="546"/>
      <c r="G124" s="546">
        <v>1187</v>
      </c>
      <c r="H124" s="546">
        <v>15</v>
      </c>
      <c r="I124" s="546"/>
      <c r="J124" s="546">
        <v>44</v>
      </c>
      <c r="K124" s="546">
        <v>3</v>
      </c>
      <c r="L124" s="49">
        <v>47</v>
      </c>
      <c r="M124" s="543"/>
      <c r="N124" s="543"/>
      <c r="O124" s="543"/>
      <c r="P124" s="543"/>
      <c r="Q124" s="543">
        <f t="shared" si="17"/>
        <v>0</v>
      </c>
      <c r="R124" s="543">
        <f t="shared" si="17"/>
        <v>0</v>
      </c>
      <c r="T124" s="548">
        <f t="shared" si="18"/>
        <v>0</v>
      </c>
      <c r="W124" s="543" t="e">
        <f t="shared" si="15"/>
        <v>#DIV/0!</v>
      </c>
    </row>
    <row r="125" spans="1:23" hidden="1" outlineLevel="2">
      <c r="A125" s="541" t="s">
        <v>1560</v>
      </c>
      <c r="B125" s="541" t="s">
        <v>155</v>
      </c>
      <c r="C125" s="533" t="s">
        <v>1111</v>
      </c>
      <c r="D125" s="533" t="s">
        <v>1573</v>
      </c>
      <c r="E125" s="542"/>
      <c r="F125" s="534">
        <v>623</v>
      </c>
      <c r="G125" s="534">
        <v>2274</v>
      </c>
      <c r="H125" s="534">
        <v>548</v>
      </c>
      <c r="I125" s="534">
        <v>52</v>
      </c>
      <c r="J125" s="534">
        <v>102</v>
      </c>
      <c r="K125" s="534">
        <v>129</v>
      </c>
      <c r="L125" s="49">
        <v>283</v>
      </c>
      <c r="M125" s="543"/>
      <c r="N125" s="543"/>
      <c r="O125" s="543"/>
      <c r="P125" s="543"/>
      <c r="Q125" s="543">
        <f t="shared" si="17"/>
        <v>0</v>
      </c>
      <c r="R125" s="543">
        <f t="shared" si="17"/>
        <v>0</v>
      </c>
      <c r="T125" s="548">
        <f t="shared" si="18"/>
        <v>0</v>
      </c>
      <c r="W125" s="543" t="e">
        <f t="shared" si="15"/>
        <v>#DIV/0!</v>
      </c>
    </row>
    <row r="126" spans="1:23" hidden="1" outlineLevel="2">
      <c r="A126" s="541" t="s">
        <v>1560</v>
      </c>
      <c r="B126" s="541" t="s">
        <v>155</v>
      </c>
      <c r="C126" s="544" t="s">
        <v>1112</v>
      </c>
      <c r="D126" s="544" t="s">
        <v>1573</v>
      </c>
      <c r="E126" s="545"/>
      <c r="F126" s="546">
        <v>5</v>
      </c>
      <c r="G126" s="546">
        <v>588</v>
      </c>
      <c r="H126" s="546">
        <v>64</v>
      </c>
      <c r="I126" s="546">
        <v>1</v>
      </c>
      <c r="J126" s="546">
        <v>38</v>
      </c>
      <c r="K126" s="546">
        <v>10</v>
      </c>
      <c r="L126" s="49">
        <v>49</v>
      </c>
      <c r="M126" s="543"/>
      <c r="N126" s="543"/>
      <c r="O126" s="543"/>
      <c r="P126" s="543"/>
      <c r="Q126" s="543">
        <f t="shared" si="17"/>
        <v>0</v>
      </c>
      <c r="R126" s="543">
        <f t="shared" si="17"/>
        <v>0</v>
      </c>
      <c r="T126" s="548">
        <f t="shared" si="18"/>
        <v>0</v>
      </c>
      <c r="W126" s="543" t="e">
        <f t="shared" si="15"/>
        <v>#DIV/0!</v>
      </c>
    </row>
    <row r="127" spans="1:23" hidden="1" outlineLevel="2">
      <c r="A127" s="541" t="s">
        <v>1560</v>
      </c>
      <c r="B127" s="541" t="s">
        <v>155</v>
      </c>
      <c r="C127" s="533" t="s">
        <v>1113</v>
      </c>
      <c r="D127" s="544" t="s">
        <v>1573</v>
      </c>
      <c r="E127" s="542">
        <v>2420058.4900000007</v>
      </c>
      <c r="F127" s="534">
        <v>509</v>
      </c>
      <c r="G127" s="534">
        <v>2377</v>
      </c>
      <c r="H127" s="534">
        <v>772</v>
      </c>
      <c r="I127" s="534">
        <v>59</v>
      </c>
      <c r="J127" s="534">
        <v>153</v>
      </c>
      <c r="K127" s="534">
        <v>167</v>
      </c>
      <c r="L127" s="49">
        <v>379</v>
      </c>
      <c r="M127" s="543">
        <v>1</v>
      </c>
      <c r="N127" s="543">
        <v>0</v>
      </c>
      <c r="O127" s="543"/>
      <c r="P127" s="543"/>
      <c r="Q127" s="543">
        <f t="shared" si="17"/>
        <v>-1</v>
      </c>
      <c r="R127" s="543">
        <f t="shared" si="17"/>
        <v>0</v>
      </c>
      <c r="S127" t="s">
        <v>1522</v>
      </c>
      <c r="T127" s="548">
        <f t="shared" si="18"/>
        <v>6385.3786015831156</v>
      </c>
      <c r="W127" s="543">
        <f t="shared" si="15"/>
        <v>2420058.4900000007</v>
      </c>
    </row>
    <row r="128" spans="1:23" hidden="1" outlineLevel="2">
      <c r="A128" s="541" t="s">
        <v>1560</v>
      </c>
      <c r="B128" s="541" t="s">
        <v>155</v>
      </c>
      <c r="C128" s="544" t="s">
        <v>1114</v>
      </c>
      <c r="D128" s="544" t="s">
        <v>1573</v>
      </c>
      <c r="E128" s="545"/>
      <c r="F128" s="546">
        <v>3115</v>
      </c>
      <c r="G128" s="546">
        <v>571</v>
      </c>
      <c r="H128" s="546">
        <v>594</v>
      </c>
      <c r="I128" s="546">
        <v>48</v>
      </c>
      <c r="J128" s="546">
        <v>34</v>
      </c>
      <c r="K128" s="546">
        <v>131</v>
      </c>
      <c r="L128" s="49">
        <v>213</v>
      </c>
      <c r="M128" s="543"/>
      <c r="N128" s="543"/>
      <c r="O128" s="543"/>
      <c r="P128" s="543"/>
      <c r="Q128" s="543">
        <f t="shared" si="17"/>
        <v>0</v>
      </c>
      <c r="R128" s="543">
        <f t="shared" si="17"/>
        <v>0</v>
      </c>
      <c r="T128" s="548">
        <f t="shared" si="18"/>
        <v>0</v>
      </c>
      <c r="W128" s="543" t="e">
        <f t="shared" si="15"/>
        <v>#DIV/0!</v>
      </c>
    </row>
    <row r="129" spans="1:23" hidden="1" outlineLevel="2">
      <c r="A129" s="541" t="s">
        <v>1560</v>
      </c>
      <c r="B129" s="541" t="s">
        <v>155</v>
      </c>
      <c r="C129" s="533" t="s">
        <v>1115</v>
      </c>
      <c r="D129" s="544" t="s">
        <v>1573</v>
      </c>
      <c r="E129" s="542"/>
      <c r="F129" s="534">
        <v>219</v>
      </c>
      <c r="G129" s="534">
        <v>99</v>
      </c>
      <c r="H129" s="534">
        <v>10</v>
      </c>
      <c r="I129" s="534">
        <v>46</v>
      </c>
      <c r="J129" s="534">
        <v>7</v>
      </c>
      <c r="K129" s="534">
        <v>2</v>
      </c>
      <c r="L129" s="49">
        <v>55</v>
      </c>
      <c r="M129" s="543"/>
      <c r="N129" s="543"/>
      <c r="O129" s="543"/>
      <c r="P129" s="543"/>
      <c r="Q129" s="543">
        <f t="shared" si="17"/>
        <v>0</v>
      </c>
      <c r="R129" s="543">
        <f t="shared" si="17"/>
        <v>0</v>
      </c>
      <c r="T129" s="548">
        <f t="shared" si="18"/>
        <v>0</v>
      </c>
      <c r="W129" s="543" t="e">
        <f t="shared" si="15"/>
        <v>#DIV/0!</v>
      </c>
    </row>
    <row r="130" spans="1:23" hidden="1" outlineLevel="2">
      <c r="A130" s="541" t="s">
        <v>1560</v>
      </c>
      <c r="B130" s="541" t="s">
        <v>155</v>
      </c>
      <c r="C130" s="544" t="s">
        <v>1119</v>
      </c>
      <c r="D130" s="544" t="s">
        <v>1573</v>
      </c>
      <c r="E130" s="545"/>
      <c r="F130" s="546"/>
      <c r="G130" s="546">
        <v>35</v>
      </c>
      <c r="H130" s="546"/>
      <c r="I130" s="546"/>
      <c r="J130" s="546">
        <v>7</v>
      </c>
      <c r="K130" s="546"/>
      <c r="L130" s="49">
        <v>7</v>
      </c>
      <c r="M130" s="543"/>
      <c r="N130" s="543"/>
      <c r="O130" s="543"/>
      <c r="P130" s="543"/>
      <c r="Q130" s="543">
        <f t="shared" si="17"/>
        <v>0</v>
      </c>
      <c r="R130" s="543">
        <f t="shared" si="17"/>
        <v>0</v>
      </c>
      <c r="T130" s="548">
        <f t="shared" si="18"/>
        <v>0</v>
      </c>
      <c r="W130" s="543" t="e">
        <f t="shared" si="15"/>
        <v>#DIV/0!</v>
      </c>
    </row>
    <row r="131" spans="1:23" outlineLevel="1" collapsed="1">
      <c r="A131" s="541" t="s">
        <v>1574</v>
      </c>
      <c r="B131" s="541"/>
      <c r="C131" s="544"/>
      <c r="D131" s="544"/>
      <c r="E131" s="545">
        <f>SUBTOTAL(9,E99:E130)</f>
        <v>0</v>
      </c>
      <c r="F131" s="546">
        <f>SUBTOTAL(9,F99:F130)</f>
        <v>0</v>
      </c>
      <c r="G131" s="546">
        <f>SUBTOTAL(9,G99:G130)</f>
        <v>0</v>
      </c>
      <c r="H131" s="546">
        <f>SUBTOTAL(9,H99:H130)</f>
        <v>0</v>
      </c>
      <c r="I131" s="546"/>
      <c r="J131" s="546"/>
      <c r="K131" s="546"/>
      <c r="L131" s="49">
        <f t="shared" ref="L131:R131" si="19">SUBTOTAL(9,L99:L130)</f>
        <v>0</v>
      </c>
      <c r="M131" s="543">
        <f t="shared" si="19"/>
        <v>0</v>
      </c>
      <c r="N131" s="543">
        <f t="shared" si="19"/>
        <v>0</v>
      </c>
      <c r="O131" s="543">
        <f t="shared" si="19"/>
        <v>0</v>
      </c>
      <c r="P131" s="543">
        <f t="shared" si="19"/>
        <v>0</v>
      </c>
      <c r="Q131" s="543">
        <f t="shared" si="19"/>
        <v>0</v>
      </c>
      <c r="R131" s="543">
        <f t="shared" si="19"/>
        <v>0</v>
      </c>
      <c r="T131" s="548" t="e">
        <f t="shared" si="18"/>
        <v>#DIV/0!</v>
      </c>
      <c r="U131">
        <v>4</v>
      </c>
      <c r="V131" t="s">
        <v>214</v>
      </c>
      <c r="W131" s="543" t="e">
        <f t="shared" si="15"/>
        <v>#DIV/0!</v>
      </c>
    </row>
    <row r="132" spans="1:23" hidden="1" outlineLevel="2">
      <c r="A132" s="541" t="s">
        <v>1575</v>
      </c>
      <c r="B132" s="541" t="s">
        <v>155</v>
      </c>
      <c r="C132" s="533" t="s">
        <v>1132</v>
      </c>
      <c r="D132" s="533" t="s">
        <v>1576</v>
      </c>
      <c r="E132" s="542"/>
      <c r="F132" s="534">
        <v>317</v>
      </c>
      <c r="G132" s="534">
        <v>82</v>
      </c>
      <c r="H132" s="534">
        <v>187</v>
      </c>
      <c r="I132" s="534">
        <v>13</v>
      </c>
      <c r="J132" s="534">
        <v>7</v>
      </c>
      <c r="K132" s="534">
        <v>42</v>
      </c>
      <c r="L132" s="49">
        <v>62</v>
      </c>
      <c r="M132" s="543"/>
      <c r="N132" s="543"/>
      <c r="O132" s="543"/>
      <c r="P132" s="543"/>
      <c r="Q132" s="543">
        <f t="shared" ref="Q132:R149" si="20">O132-M132</f>
        <v>0</v>
      </c>
      <c r="R132" s="543">
        <f t="shared" si="20"/>
        <v>0</v>
      </c>
      <c r="T132" s="548">
        <f t="shared" si="18"/>
        <v>0</v>
      </c>
      <c r="W132" s="543" t="e">
        <f t="shared" si="15"/>
        <v>#DIV/0!</v>
      </c>
    </row>
    <row r="133" spans="1:23" hidden="1" outlineLevel="2">
      <c r="A133" s="541" t="s">
        <v>1575</v>
      </c>
      <c r="B133" s="541" t="s">
        <v>155</v>
      </c>
      <c r="C133" s="544" t="s">
        <v>1134</v>
      </c>
      <c r="D133" s="544" t="s">
        <v>1576</v>
      </c>
      <c r="E133" s="545"/>
      <c r="F133" s="546">
        <v>66</v>
      </c>
      <c r="G133" s="546">
        <v>762</v>
      </c>
      <c r="H133" s="546">
        <v>179</v>
      </c>
      <c r="I133" s="546">
        <v>10</v>
      </c>
      <c r="J133" s="546">
        <v>40</v>
      </c>
      <c r="K133" s="546">
        <v>33</v>
      </c>
      <c r="L133" s="49">
        <v>83</v>
      </c>
      <c r="M133" s="543"/>
      <c r="N133" s="543"/>
      <c r="O133" s="543"/>
      <c r="P133" s="543"/>
      <c r="Q133" s="543">
        <f t="shared" si="20"/>
        <v>0</v>
      </c>
      <c r="R133" s="543">
        <f t="shared" si="20"/>
        <v>0</v>
      </c>
      <c r="T133" s="548">
        <f t="shared" si="18"/>
        <v>0</v>
      </c>
      <c r="W133" s="543" t="e">
        <f t="shared" si="15"/>
        <v>#DIV/0!</v>
      </c>
    </row>
    <row r="134" spans="1:23" hidden="1" outlineLevel="2">
      <c r="A134" s="541" t="s">
        <v>1575</v>
      </c>
      <c r="B134" s="541" t="s">
        <v>155</v>
      </c>
      <c r="C134" s="533" t="s">
        <v>1135</v>
      </c>
      <c r="D134" s="533" t="s">
        <v>1576</v>
      </c>
      <c r="E134" s="542">
        <v>2743928.03</v>
      </c>
      <c r="F134" s="534">
        <v>1861</v>
      </c>
      <c r="G134" s="534">
        <v>248</v>
      </c>
      <c r="H134" s="534">
        <v>381</v>
      </c>
      <c r="I134" s="534">
        <v>21</v>
      </c>
      <c r="J134" s="534">
        <v>10</v>
      </c>
      <c r="K134" s="534">
        <v>77</v>
      </c>
      <c r="L134" s="49">
        <v>108</v>
      </c>
      <c r="M134" s="543">
        <v>2</v>
      </c>
      <c r="N134" s="543">
        <v>1</v>
      </c>
      <c r="O134" s="543"/>
      <c r="P134" s="543"/>
      <c r="Q134" s="543">
        <f t="shared" si="20"/>
        <v>-2</v>
      </c>
      <c r="R134" s="543">
        <f t="shared" si="20"/>
        <v>-1</v>
      </c>
      <c r="T134" s="548">
        <f t="shared" si="18"/>
        <v>25406.741018518518</v>
      </c>
      <c r="W134" s="543">
        <f t="shared" si="15"/>
        <v>1371964.0149999999</v>
      </c>
    </row>
    <row r="135" spans="1:23" hidden="1" outlineLevel="2">
      <c r="A135" s="541" t="s">
        <v>1575</v>
      </c>
      <c r="B135" s="541" t="s">
        <v>155</v>
      </c>
      <c r="C135" s="544" t="s">
        <v>1136</v>
      </c>
      <c r="D135" s="533" t="s">
        <v>1576</v>
      </c>
      <c r="E135" s="542"/>
      <c r="F135" s="546">
        <v>318</v>
      </c>
      <c r="G135" s="546">
        <v>230</v>
      </c>
      <c r="H135" s="546">
        <v>98</v>
      </c>
      <c r="I135" s="546">
        <v>4</v>
      </c>
      <c r="J135" s="546">
        <v>9</v>
      </c>
      <c r="K135" s="546">
        <v>40</v>
      </c>
      <c r="L135" s="49">
        <v>53</v>
      </c>
      <c r="M135" s="543"/>
      <c r="N135" s="543"/>
      <c r="O135" s="543"/>
      <c r="P135" s="543"/>
      <c r="Q135" s="543">
        <f t="shared" si="20"/>
        <v>0</v>
      </c>
      <c r="R135" s="543">
        <f t="shared" si="20"/>
        <v>0</v>
      </c>
      <c r="T135" s="548">
        <f t="shared" si="18"/>
        <v>0</v>
      </c>
      <c r="W135" s="543" t="e">
        <f t="shared" si="15"/>
        <v>#DIV/0!</v>
      </c>
    </row>
    <row r="136" spans="1:23" hidden="1" outlineLevel="2">
      <c r="A136" s="541" t="s">
        <v>1575</v>
      </c>
      <c r="B136" s="541" t="s">
        <v>155</v>
      </c>
      <c r="C136" s="533" t="s">
        <v>1137</v>
      </c>
      <c r="D136" s="533" t="s">
        <v>1576</v>
      </c>
      <c r="E136" s="542"/>
      <c r="F136" s="534">
        <v>14</v>
      </c>
      <c r="G136" s="534">
        <v>607</v>
      </c>
      <c r="H136" s="534">
        <v>54</v>
      </c>
      <c r="I136" s="534">
        <v>1</v>
      </c>
      <c r="J136" s="534">
        <v>20</v>
      </c>
      <c r="K136" s="534">
        <v>10</v>
      </c>
      <c r="L136" s="49">
        <v>31</v>
      </c>
      <c r="M136" s="543"/>
      <c r="N136" s="543"/>
      <c r="O136" s="543"/>
      <c r="P136" s="543"/>
      <c r="Q136" s="543">
        <f t="shared" si="20"/>
        <v>0</v>
      </c>
      <c r="R136" s="543">
        <f t="shared" si="20"/>
        <v>0</v>
      </c>
      <c r="T136" s="548">
        <f t="shared" si="18"/>
        <v>0</v>
      </c>
      <c r="W136" s="543" t="e">
        <f t="shared" si="15"/>
        <v>#DIV/0!</v>
      </c>
    </row>
    <row r="137" spans="1:23" hidden="1" outlineLevel="2">
      <c r="A137" s="541" t="s">
        <v>1575</v>
      </c>
      <c r="B137" s="541" t="s">
        <v>155</v>
      </c>
      <c r="C137" s="544" t="s">
        <v>1138</v>
      </c>
      <c r="D137" s="533" t="s">
        <v>1576</v>
      </c>
      <c r="E137" s="545"/>
      <c r="F137" s="546">
        <v>11</v>
      </c>
      <c r="G137" s="546">
        <v>580</v>
      </c>
      <c r="H137" s="546">
        <v>115</v>
      </c>
      <c r="I137" s="546">
        <v>2</v>
      </c>
      <c r="J137" s="546">
        <v>28</v>
      </c>
      <c r="K137" s="546">
        <v>49</v>
      </c>
      <c r="L137" s="49">
        <v>79</v>
      </c>
      <c r="M137" s="543"/>
      <c r="N137" s="543"/>
      <c r="O137" s="543"/>
      <c r="P137" s="543"/>
      <c r="Q137" s="543">
        <f t="shared" si="20"/>
        <v>0</v>
      </c>
      <c r="R137" s="543">
        <f t="shared" si="20"/>
        <v>0</v>
      </c>
      <c r="T137" s="548">
        <f t="shared" si="18"/>
        <v>0</v>
      </c>
      <c r="W137" s="543" t="e">
        <f t="shared" si="15"/>
        <v>#DIV/0!</v>
      </c>
    </row>
    <row r="138" spans="1:23" hidden="1" outlineLevel="2">
      <c r="A138" s="541" t="s">
        <v>1575</v>
      </c>
      <c r="B138" s="541" t="s">
        <v>155</v>
      </c>
      <c r="C138" s="533" t="s">
        <v>1133</v>
      </c>
      <c r="D138" s="533" t="s">
        <v>1577</v>
      </c>
      <c r="E138" s="542">
        <v>1779257.03</v>
      </c>
      <c r="F138" s="534">
        <v>3381</v>
      </c>
      <c r="G138" s="534">
        <v>101</v>
      </c>
      <c r="H138" s="534">
        <v>766</v>
      </c>
      <c r="I138" s="534">
        <v>40</v>
      </c>
      <c r="J138" s="534">
        <v>13</v>
      </c>
      <c r="K138" s="534">
        <v>161</v>
      </c>
      <c r="L138" s="49">
        <v>214</v>
      </c>
      <c r="M138" s="543">
        <v>1</v>
      </c>
      <c r="N138" s="543">
        <v>1</v>
      </c>
      <c r="O138" s="543"/>
      <c r="P138" s="543"/>
      <c r="Q138" s="543">
        <f t="shared" si="20"/>
        <v>-1</v>
      </c>
      <c r="R138" s="543">
        <f t="shared" si="20"/>
        <v>-1</v>
      </c>
      <c r="T138" s="548">
        <f t="shared" si="18"/>
        <v>8314.2851869158876</v>
      </c>
      <c r="W138" s="543">
        <f t="shared" si="15"/>
        <v>1779257.03</v>
      </c>
    </row>
    <row r="139" spans="1:23" hidden="1" outlineLevel="2">
      <c r="A139" s="541" t="s">
        <v>1575</v>
      </c>
      <c r="B139" s="541" t="s">
        <v>155</v>
      </c>
      <c r="C139" s="544" t="s">
        <v>1139</v>
      </c>
      <c r="D139" s="544" t="s">
        <v>1577</v>
      </c>
      <c r="E139" s="545"/>
      <c r="F139" s="546">
        <v>1532</v>
      </c>
      <c r="G139" s="546">
        <v>872</v>
      </c>
      <c r="H139" s="546">
        <v>212</v>
      </c>
      <c r="I139" s="546">
        <v>29</v>
      </c>
      <c r="J139" s="546">
        <v>50</v>
      </c>
      <c r="K139" s="546">
        <v>62</v>
      </c>
      <c r="L139" s="49">
        <v>141</v>
      </c>
      <c r="M139" s="543"/>
      <c r="N139" s="543"/>
      <c r="O139" s="543"/>
      <c r="P139" s="543"/>
      <c r="Q139" s="543">
        <f t="shared" si="20"/>
        <v>0</v>
      </c>
      <c r="R139" s="543">
        <f t="shared" si="20"/>
        <v>0</v>
      </c>
      <c r="T139" s="548">
        <f t="shared" si="18"/>
        <v>0</v>
      </c>
      <c r="W139" s="543" t="e">
        <f t="shared" si="15"/>
        <v>#DIV/0!</v>
      </c>
    </row>
    <row r="140" spans="1:23" hidden="1" outlineLevel="2">
      <c r="A140" s="541" t="s">
        <v>1575</v>
      </c>
      <c r="B140" s="541" t="s">
        <v>155</v>
      </c>
      <c r="C140" s="533" t="s">
        <v>1140</v>
      </c>
      <c r="D140" s="544" t="s">
        <v>1577</v>
      </c>
      <c r="E140" s="542"/>
      <c r="F140" s="534">
        <v>8083</v>
      </c>
      <c r="G140" s="534">
        <v>856</v>
      </c>
      <c r="H140" s="534">
        <v>167</v>
      </c>
      <c r="I140" s="534">
        <v>240</v>
      </c>
      <c r="J140" s="534">
        <v>54</v>
      </c>
      <c r="K140" s="534">
        <v>29</v>
      </c>
      <c r="L140" s="49">
        <v>323</v>
      </c>
      <c r="M140" s="543"/>
      <c r="N140" s="543"/>
      <c r="O140" s="543"/>
      <c r="P140" s="543"/>
      <c r="Q140" s="543">
        <f t="shared" si="20"/>
        <v>0</v>
      </c>
      <c r="R140" s="543">
        <f t="shared" si="20"/>
        <v>0</v>
      </c>
      <c r="T140" s="548">
        <f t="shared" si="18"/>
        <v>0</v>
      </c>
      <c r="W140" s="543" t="e">
        <f t="shared" si="15"/>
        <v>#DIV/0!</v>
      </c>
    </row>
    <row r="141" spans="1:23" hidden="1" outlineLevel="2">
      <c r="A141" s="541" t="s">
        <v>1575</v>
      </c>
      <c r="B141" s="541" t="s">
        <v>155</v>
      </c>
      <c r="C141" s="544" t="s">
        <v>1141</v>
      </c>
      <c r="D141" s="544" t="s">
        <v>1577</v>
      </c>
      <c r="E141" s="545"/>
      <c r="F141" s="546">
        <v>1595</v>
      </c>
      <c r="G141" s="546">
        <v>829</v>
      </c>
      <c r="H141" s="546">
        <v>17</v>
      </c>
      <c r="I141" s="546">
        <v>39</v>
      </c>
      <c r="J141" s="546">
        <v>47</v>
      </c>
      <c r="K141" s="546">
        <v>8</v>
      </c>
      <c r="L141" s="49">
        <v>94</v>
      </c>
      <c r="M141" s="543"/>
      <c r="N141" s="543"/>
      <c r="O141" s="543"/>
      <c r="P141" s="543"/>
      <c r="Q141" s="543">
        <f t="shared" si="20"/>
        <v>0</v>
      </c>
      <c r="R141" s="543">
        <f t="shared" si="20"/>
        <v>0</v>
      </c>
      <c r="T141" s="548">
        <f t="shared" si="18"/>
        <v>0</v>
      </c>
      <c r="W141" s="543" t="e">
        <f t="shared" si="15"/>
        <v>#DIV/0!</v>
      </c>
    </row>
    <row r="142" spans="1:23" hidden="1" outlineLevel="2">
      <c r="A142" s="541" t="s">
        <v>1575</v>
      </c>
      <c r="B142" s="541" t="s">
        <v>155</v>
      </c>
      <c r="C142" s="533" t="s">
        <v>1144</v>
      </c>
      <c r="D142" s="544" t="s">
        <v>1578</v>
      </c>
      <c r="E142" s="545"/>
      <c r="F142" s="534">
        <v>22</v>
      </c>
      <c r="G142" s="534">
        <v>1928</v>
      </c>
      <c r="H142" s="534">
        <v>234</v>
      </c>
      <c r="I142" s="534">
        <v>7</v>
      </c>
      <c r="J142" s="534">
        <v>103</v>
      </c>
      <c r="K142" s="534">
        <v>59</v>
      </c>
      <c r="L142" s="49">
        <v>169</v>
      </c>
      <c r="M142" s="543"/>
      <c r="N142" s="543"/>
      <c r="O142" s="543"/>
      <c r="P142" s="543"/>
      <c r="Q142" s="543">
        <f t="shared" si="20"/>
        <v>0</v>
      </c>
      <c r="R142" s="543">
        <f t="shared" si="20"/>
        <v>0</v>
      </c>
      <c r="T142" s="548">
        <f t="shared" si="18"/>
        <v>0</v>
      </c>
      <c r="W142" s="543" t="e">
        <f t="shared" si="15"/>
        <v>#DIV/0!</v>
      </c>
    </row>
    <row r="143" spans="1:23" hidden="1" outlineLevel="2">
      <c r="A143" s="541" t="s">
        <v>1575</v>
      </c>
      <c r="B143" s="541" t="s">
        <v>155</v>
      </c>
      <c r="C143" s="544" t="s">
        <v>1145</v>
      </c>
      <c r="D143" s="544" t="s">
        <v>1578</v>
      </c>
      <c r="E143" s="545">
        <v>1269212.1000000001</v>
      </c>
      <c r="F143" s="546">
        <v>14</v>
      </c>
      <c r="G143" s="546">
        <v>1757</v>
      </c>
      <c r="H143" s="546">
        <v>163</v>
      </c>
      <c r="I143" s="546">
        <v>2</v>
      </c>
      <c r="J143" s="546">
        <v>80</v>
      </c>
      <c r="K143" s="546">
        <v>46</v>
      </c>
      <c r="L143" s="49">
        <v>128</v>
      </c>
      <c r="M143" s="543">
        <v>1</v>
      </c>
      <c r="N143" s="543">
        <v>1</v>
      </c>
      <c r="O143" s="543"/>
      <c r="P143" s="543"/>
      <c r="Q143" s="543">
        <f t="shared" si="20"/>
        <v>-1</v>
      </c>
      <c r="R143" s="543">
        <f t="shared" si="20"/>
        <v>-1</v>
      </c>
      <c r="S143" t="s">
        <v>1572</v>
      </c>
      <c r="T143" s="548">
        <f t="shared" si="18"/>
        <v>9915.7195312500007</v>
      </c>
      <c r="W143" s="543">
        <f t="shared" si="15"/>
        <v>1269212.1000000001</v>
      </c>
    </row>
    <row r="144" spans="1:23" hidden="1" outlineLevel="2">
      <c r="A144" s="541" t="s">
        <v>1575</v>
      </c>
      <c r="B144" s="541" t="s">
        <v>155</v>
      </c>
      <c r="C144" s="533" t="s">
        <v>1146</v>
      </c>
      <c r="D144" s="533" t="s">
        <v>1578</v>
      </c>
      <c r="E144" s="542"/>
      <c r="F144" s="534"/>
      <c r="G144" s="534">
        <v>480</v>
      </c>
      <c r="H144" s="534">
        <v>34</v>
      </c>
      <c r="I144" s="534"/>
      <c r="J144" s="534">
        <v>20</v>
      </c>
      <c r="K144" s="534">
        <v>10</v>
      </c>
      <c r="L144" s="49">
        <v>30</v>
      </c>
      <c r="M144" s="543"/>
      <c r="N144" s="543"/>
      <c r="O144" s="543"/>
      <c r="P144" s="543"/>
      <c r="Q144" s="543">
        <f t="shared" si="20"/>
        <v>0</v>
      </c>
      <c r="R144" s="543">
        <f t="shared" si="20"/>
        <v>0</v>
      </c>
      <c r="T144" s="548">
        <f t="shared" si="18"/>
        <v>0</v>
      </c>
      <c r="W144" s="543" t="e">
        <f t="shared" si="15"/>
        <v>#DIV/0!</v>
      </c>
    </row>
    <row r="145" spans="1:23" hidden="1" outlineLevel="2">
      <c r="A145" s="541" t="s">
        <v>1575</v>
      </c>
      <c r="B145" s="541" t="s">
        <v>155</v>
      </c>
      <c r="C145" s="544" t="s">
        <v>1147</v>
      </c>
      <c r="D145" s="533" t="s">
        <v>1578</v>
      </c>
      <c r="E145" s="542"/>
      <c r="F145" s="546"/>
      <c r="G145" s="546">
        <v>1064</v>
      </c>
      <c r="H145" s="546">
        <v>51</v>
      </c>
      <c r="I145" s="546"/>
      <c r="J145" s="546">
        <v>53</v>
      </c>
      <c r="K145" s="546">
        <v>19</v>
      </c>
      <c r="L145" s="49">
        <v>72</v>
      </c>
      <c r="M145" s="543"/>
      <c r="N145" s="543"/>
      <c r="O145" s="543"/>
      <c r="P145" s="543"/>
      <c r="Q145" s="543">
        <f t="shared" si="20"/>
        <v>0</v>
      </c>
      <c r="R145" s="543">
        <f t="shared" si="20"/>
        <v>0</v>
      </c>
      <c r="T145" s="548">
        <f t="shared" si="18"/>
        <v>0</v>
      </c>
      <c r="W145" s="543" t="e">
        <f t="shared" si="15"/>
        <v>#DIV/0!</v>
      </c>
    </row>
    <row r="146" spans="1:23" hidden="1" outlineLevel="2">
      <c r="A146" s="541" t="s">
        <v>1575</v>
      </c>
      <c r="B146" s="541" t="s">
        <v>155</v>
      </c>
      <c r="C146" s="533" t="s">
        <v>1148</v>
      </c>
      <c r="D146" s="533" t="s">
        <v>1578</v>
      </c>
      <c r="E146" s="542"/>
      <c r="F146" s="534"/>
      <c r="G146" s="534">
        <v>2580</v>
      </c>
      <c r="H146" s="534">
        <v>176</v>
      </c>
      <c r="I146" s="534"/>
      <c r="J146" s="534">
        <v>111</v>
      </c>
      <c r="K146" s="534">
        <v>34</v>
      </c>
      <c r="L146" s="49">
        <v>145</v>
      </c>
      <c r="M146" s="543"/>
      <c r="N146" s="543"/>
      <c r="O146" s="543"/>
      <c r="P146" s="543"/>
      <c r="Q146" s="543">
        <f t="shared" si="20"/>
        <v>0</v>
      </c>
      <c r="R146" s="543">
        <f t="shared" si="20"/>
        <v>0</v>
      </c>
      <c r="T146" s="548">
        <f t="shared" si="18"/>
        <v>0</v>
      </c>
      <c r="W146" s="543" t="e">
        <f t="shared" si="15"/>
        <v>#DIV/0!</v>
      </c>
    </row>
    <row r="147" spans="1:23" hidden="1" outlineLevel="2">
      <c r="A147" s="541" t="s">
        <v>1575</v>
      </c>
      <c r="B147" s="541" t="s">
        <v>155</v>
      </c>
      <c r="C147" s="544" t="s">
        <v>1149</v>
      </c>
      <c r="D147" s="533" t="s">
        <v>1578</v>
      </c>
      <c r="E147" s="545"/>
      <c r="F147" s="546"/>
      <c r="G147" s="546">
        <v>2182</v>
      </c>
      <c r="H147" s="546">
        <v>119</v>
      </c>
      <c r="I147" s="546"/>
      <c r="J147" s="546">
        <v>93</v>
      </c>
      <c r="K147" s="546">
        <v>40</v>
      </c>
      <c r="L147" s="49">
        <v>133</v>
      </c>
      <c r="M147" s="543"/>
      <c r="N147" s="543"/>
      <c r="O147" s="543"/>
      <c r="P147" s="543"/>
      <c r="Q147" s="543">
        <f t="shared" si="20"/>
        <v>0</v>
      </c>
      <c r="R147" s="543">
        <f t="shared" si="20"/>
        <v>0</v>
      </c>
      <c r="T147" s="548">
        <f t="shared" si="18"/>
        <v>0</v>
      </c>
      <c r="W147" s="543" t="e">
        <f t="shared" si="15"/>
        <v>#DIV/0!</v>
      </c>
    </row>
    <row r="148" spans="1:23" hidden="1" outlineLevel="2">
      <c r="A148" s="541" t="s">
        <v>1575</v>
      </c>
      <c r="B148" s="541" t="s">
        <v>155</v>
      </c>
      <c r="C148" s="533" t="s">
        <v>1142</v>
      </c>
      <c r="D148" s="533" t="s">
        <v>1579</v>
      </c>
      <c r="E148" s="542">
        <v>589491.28</v>
      </c>
      <c r="F148" s="534">
        <v>169</v>
      </c>
      <c r="G148" s="534">
        <v>1528</v>
      </c>
      <c r="H148" s="534">
        <v>138</v>
      </c>
      <c r="I148" s="534">
        <v>13</v>
      </c>
      <c r="J148" s="534">
        <v>71</v>
      </c>
      <c r="K148" s="534">
        <v>38</v>
      </c>
      <c r="L148" s="49">
        <v>122</v>
      </c>
      <c r="M148" s="543">
        <v>1</v>
      </c>
      <c r="N148" s="543">
        <v>0</v>
      </c>
      <c r="O148" s="543"/>
      <c r="P148" s="543"/>
      <c r="Q148" s="543">
        <f t="shared" si="20"/>
        <v>-1</v>
      </c>
      <c r="R148" s="543">
        <f t="shared" si="20"/>
        <v>0</v>
      </c>
      <c r="S148" t="s">
        <v>1580</v>
      </c>
      <c r="T148" s="548">
        <f t="shared" si="18"/>
        <v>4831.8957377049182</v>
      </c>
      <c r="W148" s="543">
        <f t="shared" si="15"/>
        <v>589491.28</v>
      </c>
    </row>
    <row r="149" spans="1:23" hidden="1" outlineLevel="2">
      <c r="A149" s="541" t="s">
        <v>1575</v>
      </c>
      <c r="B149" s="541" t="s">
        <v>155</v>
      </c>
      <c r="C149" s="544" t="s">
        <v>1143</v>
      </c>
      <c r="D149" s="533" t="s">
        <v>1579</v>
      </c>
      <c r="E149" s="545"/>
      <c r="F149" s="546"/>
      <c r="G149" s="546">
        <v>1462</v>
      </c>
      <c r="H149" s="546">
        <v>219</v>
      </c>
      <c r="I149" s="546"/>
      <c r="J149" s="546">
        <v>110</v>
      </c>
      <c r="K149" s="546">
        <v>75</v>
      </c>
      <c r="L149" s="49">
        <v>185</v>
      </c>
      <c r="M149" s="543"/>
      <c r="N149" s="543"/>
      <c r="O149" s="543"/>
      <c r="P149" s="543"/>
      <c r="Q149" s="543">
        <f t="shared" si="20"/>
        <v>0</v>
      </c>
      <c r="R149" s="543">
        <f t="shared" si="20"/>
        <v>0</v>
      </c>
      <c r="T149" s="548">
        <f t="shared" si="18"/>
        <v>0</v>
      </c>
      <c r="W149" s="543" t="e">
        <f t="shared" si="15"/>
        <v>#DIV/0!</v>
      </c>
    </row>
    <row r="150" spans="1:23" outlineLevel="1" collapsed="1">
      <c r="A150" s="541" t="s">
        <v>1581</v>
      </c>
      <c r="B150" s="541"/>
      <c r="C150" s="544"/>
      <c r="D150" s="533"/>
      <c r="E150" s="545">
        <f>SUBTOTAL(9,E132:E149)</f>
        <v>0</v>
      </c>
      <c r="F150" s="546">
        <f>SUBTOTAL(9,F132:F149)</f>
        <v>0</v>
      </c>
      <c r="G150" s="546">
        <f>SUBTOTAL(9,G132:G149)</f>
        <v>0</v>
      </c>
      <c r="H150" s="546">
        <f>SUBTOTAL(9,H132:H149)</f>
        <v>0</v>
      </c>
      <c r="I150" s="546"/>
      <c r="J150" s="546"/>
      <c r="K150" s="546"/>
      <c r="L150" s="49">
        <f t="shared" ref="L150:R150" si="21">SUBTOTAL(9,L132:L149)</f>
        <v>0</v>
      </c>
      <c r="M150" s="543">
        <f t="shared" si="21"/>
        <v>0</v>
      </c>
      <c r="N150" s="543">
        <f t="shared" si="21"/>
        <v>0</v>
      </c>
      <c r="O150" s="543">
        <f t="shared" si="21"/>
        <v>0</v>
      </c>
      <c r="P150" s="543">
        <f t="shared" si="21"/>
        <v>0</v>
      </c>
      <c r="Q150" s="543">
        <f t="shared" si="21"/>
        <v>0</v>
      </c>
      <c r="R150" s="543">
        <f t="shared" si="21"/>
        <v>0</v>
      </c>
      <c r="T150" s="548" t="e">
        <f t="shared" si="18"/>
        <v>#DIV/0!</v>
      </c>
      <c r="U150">
        <v>5</v>
      </c>
      <c r="V150" t="s">
        <v>1582</v>
      </c>
      <c r="W150" s="543" t="e">
        <f t="shared" si="15"/>
        <v>#DIV/0!</v>
      </c>
    </row>
    <row r="151" spans="1:23" hidden="1" outlineLevel="2">
      <c r="A151" s="541" t="s">
        <v>1583</v>
      </c>
      <c r="B151" s="541" t="s">
        <v>155</v>
      </c>
      <c r="C151" s="533" t="s">
        <v>1150</v>
      </c>
      <c r="D151" s="533" t="s">
        <v>1584</v>
      </c>
      <c r="E151" s="542"/>
      <c r="F151" s="534">
        <v>3</v>
      </c>
      <c r="G151" s="534">
        <v>8</v>
      </c>
      <c r="H151" s="534">
        <v>45</v>
      </c>
      <c r="I151" s="534">
        <v>1</v>
      </c>
      <c r="J151" s="534">
        <v>1</v>
      </c>
      <c r="K151" s="534">
        <v>16</v>
      </c>
      <c r="L151" s="49">
        <v>18</v>
      </c>
      <c r="M151" s="543"/>
      <c r="N151" s="543"/>
      <c r="O151" s="543"/>
      <c r="P151" s="543"/>
      <c r="Q151" s="543">
        <f t="shared" ref="Q151:R165" si="22">O151-M151</f>
        <v>0</v>
      </c>
      <c r="R151" s="543">
        <f t="shared" si="22"/>
        <v>0</v>
      </c>
      <c r="T151" s="548">
        <f t="shared" si="18"/>
        <v>0</v>
      </c>
      <c r="W151" s="543" t="e">
        <f t="shared" si="15"/>
        <v>#DIV/0!</v>
      </c>
    </row>
    <row r="152" spans="1:23" hidden="1" outlineLevel="2">
      <c r="A152" s="541" t="s">
        <v>1583</v>
      </c>
      <c r="B152" s="541" t="s">
        <v>155</v>
      </c>
      <c r="C152" s="535" t="s">
        <v>1151</v>
      </c>
      <c r="D152" s="533" t="s">
        <v>1584</v>
      </c>
      <c r="F152" s="536">
        <v>3861</v>
      </c>
      <c r="G152" s="536">
        <v>415</v>
      </c>
      <c r="H152" s="536">
        <v>327</v>
      </c>
      <c r="I152" s="536">
        <v>55</v>
      </c>
      <c r="J152" s="536">
        <v>24</v>
      </c>
      <c r="K152" s="536">
        <v>70</v>
      </c>
      <c r="L152" s="49">
        <v>149</v>
      </c>
      <c r="M152" s="543"/>
      <c r="N152" s="543"/>
      <c r="O152" s="543"/>
      <c r="P152" s="543"/>
      <c r="Q152" s="543">
        <f t="shared" si="22"/>
        <v>0</v>
      </c>
      <c r="R152" s="543">
        <f t="shared" si="22"/>
        <v>0</v>
      </c>
      <c r="T152" s="548">
        <f t="shared" si="18"/>
        <v>0</v>
      </c>
      <c r="W152" s="543" t="e">
        <f t="shared" si="15"/>
        <v>#DIV/0!</v>
      </c>
    </row>
    <row r="153" spans="1:23" hidden="1" outlineLevel="2">
      <c r="A153" s="541" t="s">
        <v>1583</v>
      </c>
      <c r="B153" s="541" t="s">
        <v>155</v>
      </c>
      <c r="C153" s="533" t="s">
        <v>1152</v>
      </c>
      <c r="D153" s="533" t="s">
        <v>1584</v>
      </c>
      <c r="E153" s="542"/>
      <c r="F153" s="534"/>
      <c r="G153" s="534">
        <v>189</v>
      </c>
      <c r="H153" s="534">
        <v>418</v>
      </c>
      <c r="I153" s="534"/>
      <c r="J153" s="534">
        <v>13</v>
      </c>
      <c r="K153" s="534">
        <v>121</v>
      </c>
      <c r="L153" s="49">
        <v>134</v>
      </c>
      <c r="M153" s="543"/>
      <c r="N153" s="543"/>
      <c r="O153" s="543"/>
      <c r="P153" s="543"/>
      <c r="Q153" s="543">
        <f t="shared" si="22"/>
        <v>0</v>
      </c>
      <c r="R153" s="543">
        <f t="shared" si="22"/>
        <v>0</v>
      </c>
      <c r="T153" s="548">
        <f t="shared" si="18"/>
        <v>0</v>
      </c>
      <c r="W153" s="543" t="e">
        <f t="shared" si="15"/>
        <v>#DIV/0!</v>
      </c>
    </row>
    <row r="154" spans="1:23" hidden="1" outlineLevel="2">
      <c r="A154" s="541" t="s">
        <v>1583</v>
      </c>
      <c r="B154" s="541" t="s">
        <v>155</v>
      </c>
      <c r="C154" s="535" t="s">
        <v>1153</v>
      </c>
      <c r="D154" s="533" t="s">
        <v>1584</v>
      </c>
      <c r="F154" s="536"/>
      <c r="G154" s="536">
        <v>213</v>
      </c>
      <c r="H154" s="536">
        <v>77</v>
      </c>
      <c r="I154" s="536"/>
      <c r="J154" s="536">
        <v>8</v>
      </c>
      <c r="K154" s="536">
        <v>33</v>
      </c>
      <c r="L154" s="49">
        <v>41</v>
      </c>
      <c r="M154" s="543"/>
      <c r="N154" s="543"/>
      <c r="O154" s="543"/>
      <c r="P154" s="543"/>
      <c r="Q154" s="543">
        <f t="shared" si="22"/>
        <v>0</v>
      </c>
      <c r="R154" s="543">
        <f t="shared" si="22"/>
        <v>0</v>
      </c>
      <c r="T154" s="548">
        <f t="shared" si="18"/>
        <v>0</v>
      </c>
      <c r="W154" s="543" t="e">
        <f t="shared" si="15"/>
        <v>#DIV/0!</v>
      </c>
    </row>
    <row r="155" spans="1:23" hidden="1" outlineLevel="2">
      <c r="A155" s="541" t="s">
        <v>1583</v>
      </c>
      <c r="B155" s="541" t="s">
        <v>155</v>
      </c>
      <c r="C155" s="533" t="s">
        <v>1154</v>
      </c>
      <c r="D155" s="533" t="s">
        <v>1584</v>
      </c>
      <c r="E155" s="542"/>
      <c r="F155" s="534">
        <v>1907</v>
      </c>
      <c r="G155" s="534">
        <v>223</v>
      </c>
      <c r="H155" s="534">
        <v>24</v>
      </c>
      <c r="I155" s="534">
        <v>20</v>
      </c>
      <c r="J155" s="534">
        <v>26</v>
      </c>
      <c r="K155" s="534">
        <v>6</v>
      </c>
      <c r="L155" s="49">
        <v>52</v>
      </c>
      <c r="M155" s="543"/>
      <c r="N155" s="543"/>
      <c r="O155" s="543"/>
      <c r="P155" s="543"/>
      <c r="Q155" s="543">
        <f t="shared" si="22"/>
        <v>0</v>
      </c>
      <c r="R155" s="543">
        <f t="shared" si="22"/>
        <v>0</v>
      </c>
      <c r="T155" s="548">
        <f t="shared" si="18"/>
        <v>0</v>
      </c>
      <c r="W155" s="543" t="e">
        <f t="shared" si="15"/>
        <v>#DIV/0!</v>
      </c>
    </row>
    <row r="156" spans="1:23" hidden="1" outlineLevel="2">
      <c r="A156" s="541" t="s">
        <v>1583</v>
      </c>
      <c r="B156" s="541" t="s">
        <v>155</v>
      </c>
      <c r="C156" s="535" t="s">
        <v>1155</v>
      </c>
      <c r="D156" s="533" t="s">
        <v>1584</v>
      </c>
      <c r="F156" s="536">
        <v>3892</v>
      </c>
      <c r="G156" s="536">
        <v>510</v>
      </c>
      <c r="H156" s="536">
        <v>148</v>
      </c>
      <c r="I156" s="536">
        <v>95</v>
      </c>
      <c r="J156" s="536">
        <v>28</v>
      </c>
      <c r="K156" s="536">
        <v>37</v>
      </c>
      <c r="L156" s="49">
        <v>160</v>
      </c>
      <c r="M156" s="543"/>
      <c r="N156" s="543"/>
      <c r="O156" s="543"/>
      <c r="P156" s="543"/>
      <c r="Q156" s="543">
        <f t="shared" si="22"/>
        <v>0</v>
      </c>
      <c r="R156" s="543">
        <f t="shared" si="22"/>
        <v>0</v>
      </c>
      <c r="T156" s="548">
        <f t="shared" si="18"/>
        <v>0</v>
      </c>
      <c r="W156" s="543" t="e">
        <f t="shared" si="15"/>
        <v>#DIV/0!</v>
      </c>
    </row>
    <row r="157" spans="1:23" hidden="1" outlineLevel="2">
      <c r="A157" s="541" t="s">
        <v>1583</v>
      </c>
      <c r="B157" s="541" t="s">
        <v>155</v>
      </c>
      <c r="C157" s="533" t="s">
        <v>1156</v>
      </c>
      <c r="D157" s="533" t="s">
        <v>1584</v>
      </c>
      <c r="E157" s="542"/>
      <c r="F157" s="534"/>
      <c r="G157" s="534">
        <v>146</v>
      </c>
      <c r="H157" s="534">
        <v>18</v>
      </c>
      <c r="I157" s="534"/>
      <c r="J157" s="534">
        <v>6</v>
      </c>
      <c r="K157" s="534">
        <v>8</v>
      </c>
      <c r="L157" s="49">
        <v>14</v>
      </c>
      <c r="M157" s="543"/>
      <c r="N157" s="543"/>
      <c r="O157" s="543"/>
      <c r="P157" s="543"/>
      <c r="Q157" s="543">
        <f t="shared" si="22"/>
        <v>0</v>
      </c>
      <c r="R157" s="543">
        <f t="shared" si="22"/>
        <v>0</v>
      </c>
      <c r="T157" s="548">
        <f t="shared" si="18"/>
        <v>0</v>
      </c>
      <c r="W157" s="543" t="e">
        <f t="shared" ref="W157:W167" si="23">E157/M157</f>
        <v>#DIV/0!</v>
      </c>
    </row>
    <row r="158" spans="1:23" hidden="1" outlineLevel="2">
      <c r="A158" s="541" t="s">
        <v>1583</v>
      </c>
      <c r="B158" s="541" t="s">
        <v>155</v>
      </c>
      <c r="C158" s="535" t="s">
        <v>1157</v>
      </c>
      <c r="D158" s="533" t="s">
        <v>1584</v>
      </c>
      <c r="E158" s="542">
        <v>3341243.9999999991</v>
      </c>
      <c r="F158" s="536">
        <v>17</v>
      </c>
      <c r="G158" s="536">
        <v>158</v>
      </c>
      <c r="H158" s="536">
        <v>38</v>
      </c>
      <c r="I158" s="536">
        <v>2</v>
      </c>
      <c r="J158" s="536">
        <v>6</v>
      </c>
      <c r="K158" s="536">
        <v>12</v>
      </c>
      <c r="L158" s="49">
        <v>20</v>
      </c>
      <c r="M158" s="543">
        <v>3</v>
      </c>
      <c r="N158" s="543">
        <v>1</v>
      </c>
      <c r="O158" s="543"/>
      <c r="P158" s="543"/>
      <c r="Q158" s="543">
        <f t="shared" si="22"/>
        <v>-3</v>
      </c>
      <c r="R158" s="543">
        <f t="shared" si="22"/>
        <v>-1</v>
      </c>
      <c r="S158" t="s">
        <v>1585</v>
      </c>
      <c r="T158" s="548">
        <f t="shared" si="18"/>
        <v>167062.19999999995</v>
      </c>
      <c r="W158" s="543">
        <f t="shared" si="23"/>
        <v>1113747.9999999998</v>
      </c>
    </row>
    <row r="159" spans="1:23" hidden="1" outlineLevel="2">
      <c r="A159" s="541" t="s">
        <v>1583</v>
      </c>
      <c r="B159" s="541" t="s">
        <v>155</v>
      </c>
      <c r="C159" s="533" t="s">
        <v>1158</v>
      </c>
      <c r="D159" s="533" t="s">
        <v>1584</v>
      </c>
      <c r="E159" s="542"/>
      <c r="F159" s="534"/>
      <c r="G159" s="534">
        <v>49</v>
      </c>
      <c r="H159" s="534">
        <v>211</v>
      </c>
      <c r="I159" s="534"/>
      <c r="J159" s="534">
        <v>6</v>
      </c>
      <c r="K159" s="534">
        <v>50</v>
      </c>
      <c r="L159" s="49">
        <v>56</v>
      </c>
      <c r="M159" s="543"/>
      <c r="N159" s="543"/>
      <c r="O159" s="543"/>
      <c r="P159" s="543"/>
      <c r="Q159" s="543">
        <f t="shared" si="22"/>
        <v>0</v>
      </c>
      <c r="R159" s="543">
        <f t="shared" si="22"/>
        <v>0</v>
      </c>
      <c r="T159" s="548">
        <f t="shared" si="18"/>
        <v>0</v>
      </c>
      <c r="W159" s="543" t="e">
        <f t="shared" si="23"/>
        <v>#DIV/0!</v>
      </c>
    </row>
    <row r="160" spans="1:23" hidden="1" outlineLevel="2">
      <c r="A160" s="541" t="s">
        <v>1583</v>
      </c>
      <c r="B160" s="541" t="s">
        <v>155</v>
      </c>
      <c r="C160" s="535" t="s">
        <v>1159</v>
      </c>
      <c r="D160" s="533" t="s">
        <v>1584</v>
      </c>
      <c r="E160" s="545"/>
      <c r="F160" s="536"/>
      <c r="G160" s="536">
        <v>1359</v>
      </c>
      <c r="H160" s="536">
        <v>152</v>
      </c>
      <c r="I160" s="536"/>
      <c r="J160" s="536">
        <v>62</v>
      </c>
      <c r="K160" s="536">
        <v>44</v>
      </c>
      <c r="L160" s="49">
        <v>106</v>
      </c>
      <c r="M160" s="543"/>
      <c r="N160" s="543"/>
      <c r="O160" s="543"/>
      <c r="P160" s="543"/>
      <c r="Q160" s="543">
        <f t="shared" si="22"/>
        <v>0</v>
      </c>
      <c r="R160" s="543">
        <f t="shared" si="22"/>
        <v>0</v>
      </c>
      <c r="T160" s="548">
        <f t="shared" si="18"/>
        <v>0</v>
      </c>
      <c r="W160" s="543" t="e">
        <f t="shared" si="23"/>
        <v>#DIV/0!</v>
      </c>
    </row>
    <row r="161" spans="1:23" hidden="1" outlineLevel="2">
      <c r="A161" s="541" t="s">
        <v>1583</v>
      </c>
      <c r="B161" s="541" t="s">
        <v>155</v>
      </c>
      <c r="C161" s="533" t="s">
        <v>1160</v>
      </c>
      <c r="D161" s="533" t="s">
        <v>1584</v>
      </c>
      <c r="E161" s="542"/>
      <c r="F161" s="534"/>
      <c r="G161" s="534">
        <v>75</v>
      </c>
      <c r="H161" s="534">
        <v>140</v>
      </c>
      <c r="I161" s="534"/>
      <c r="J161" s="534">
        <v>6</v>
      </c>
      <c r="K161" s="534">
        <v>37</v>
      </c>
      <c r="L161" s="49">
        <v>43</v>
      </c>
      <c r="M161" s="543"/>
      <c r="N161" s="543"/>
      <c r="O161" s="543"/>
      <c r="P161" s="543"/>
      <c r="Q161" s="543">
        <f t="shared" si="22"/>
        <v>0</v>
      </c>
      <c r="R161" s="543">
        <f t="shared" si="22"/>
        <v>0</v>
      </c>
      <c r="T161" s="548">
        <f t="shared" si="18"/>
        <v>0</v>
      </c>
      <c r="W161" s="543" t="e">
        <f t="shared" si="23"/>
        <v>#DIV/0!</v>
      </c>
    </row>
    <row r="162" spans="1:23" hidden="1" outlineLevel="2">
      <c r="A162" s="541" t="s">
        <v>1583</v>
      </c>
      <c r="B162" s="541" t="s">
        <v>155</v>
      </c>
      <c r="C162" s="535" t="s">
        <v>1161</v>
      </c>
      <c r="D162" s="533" t="s">
        <v>1584</v>
      </c>
      <c r="F162" s="536"/>
      <c r="G162" s="536">
        <v>1307</v>
      </c>
      <c r="H162" s="536">
        <v>203</v>
      </c>
      <c r="I162" s="536"/>
      <c r="J162" s="536">
        <v>86</v>
      </c>
      <c r="K162" s="536">
        <v>55</v>
      </c>
      <c r="L162" s="49">
        <v>141</v>
      </c>
      <c r="M162" s="543"/>
      <c r="N162" s="543"/>
      <c r="O162" s="543"/>
      <c r="P162" s="543"/>
      <c r="Q162" s="543">
        <f t="shared" si="22"/>
        <v>0</v>
      </c>
      <c r="R162" s="543">
        <f t="shared" si="22"/>
        <v>0</v>
      </c>
      <c r="T162" s="548">
        <f t="shared" si="18"/>
        <v>0</v>
      </c>
      <c r="W162" s="543" t="e">
        <f t="shared" si="23"/>
        <v>#DIV/0!</v>
      </c>
    </row>
    <row r="163" spans="1:23" hidden="1" outlineLevel="2">
      <c r="A163" s="541" t="s">
        <v>1583</v>
      </c>
      <c r="B163" s="541" t="s">
        <v>155</v>
      </c>
      <c r="C163" s="533" t="s">
        <v>1162</v>
      </c>
      <c r="D163" s="533" t="s">
        <v>1584</v>
      </c>
      <c r="E163" s="542"/>
      <c r="F163" s="534">
        <v>398</v>
      </c>
      <c r="G163" s="534">
        <v>1256</v>
      </c>
      <c r="H163" s="534">
        <v>121</v>
      </c>
      <c r="I163" s="534">
        <v>4</v>
      </c>
      <c r="J163" s="534">
        <v>59</v>
      </c>
      <c r="K163" s="534">
        <v>25</v>
      </c>
      <c r="L163" s="49">
        <v>88</v>
      </c>
      <c r="M163" s="543"/>
      <c r="N163" s="543"/>
      <c r="O163" s="543"/>
      <c r="P163" s="543"/>
      <c r="Q163" s="543">
        <f t="shared" si="22"/>
        <v>0</v>
      </c>
      <c r="R163" s="543">
        <f t="shared" si="22"/>
        <v>0</v>
      </c>
      <c r="T163" s="548">
        <f t="shared" si="18"/>
        <v>0</v>
      </c>
      <c r="W163" s="543" t="e">
        <f t="shared" si="23"/>
        <v>#DIV/0!</v>
      </c>
    </row>
    <row r="164" spans="1:23" hidden="1" outlineLevel="2">
      <c r="A164" s="541" t="s">
        <v>1583</v>
      </c>
      <c r="B164" s="541" t="s">
        <v>155</v>
      </c>
      <c r="C164" s="535" t="s">
        <v>1163</v>
      </c>
      <c r="D164" s="533" t="s">
        <v>1584</v>
      </c>
      <c r="F164" s="536"/>
      <c r="G164" s="536">
        <v>2583</v>
      </c>
      <c r="H164" s="536">
        <v>89</v>
      </c>
      <c r="I164" s="536"/>
      <c r="J164" s="536">
        <v>128</v>
      </c>
      <c r="K164" s="536">
        <v>19</v>
      </c>
      <c r="L164" s="49">
        <v>147</v>
      </c>
      <c r="M164" s="543"/>
      <c r="N164" s="543"/>
      <c r="O164" s="543"/>
      <c r="P164" s="543"/>
      <c r="Q164" s="543">
        <f t="shared" si="22"/>
        <v>0</v>
      </c>
      <c r="R164" s="543">
        <f t="shared" si="22"/>
        <v>0</v>
      </c>
      <c r="T164" s="548">
        <f t="shared" si="18"/>
        <v>0</v>
      </c>
      <c r="W164" s="543" t="e">
        <f t="shared" si="23"/>
        <v>#DIV/0!</v>
      </c>
    </row>
    <row r="165" spans="1:23" hidden="1" outlineLevel="2">
      <c r="A165" s="541" t="s">
        <v>1583</v>
      </c>
      <c r="B165" s="541" t="s">
        <v>155</v>
      </c>
      <c r="C165" s="533" t="s">
        <v>1164</v>
      </c>
      <c r="D165" s="533" t="s">
        <v>1584</v>
      </c>
      <c r="E165" s="542"/>
      <c r="F165" s="534"/>
      <c r="G165" s="534">
        <v>461</v>
      </c>
      <c r="H165" s="534"/>
      <c r="I165" s="534"/>
      <c r="J165" s="534">
        <v>19</v>
      </c>
      <c r="K165" s="534"/>
      <c r="L165" s="49">
        <v>19</v>
      </c>
      <c r="M165" s="543"/>
      <c r="N165" s="543"/>
      <c r="O165" s="543"/>
      <c r="P165" s="543"/>
      <c r="Q165" s="543">
        <f t="shared" si="22"/>
        <v>0</v>
      </c>
      <c r="R165" s="543">
        <f t="shared" si="22"/>
        <v>0</v>
      </c>
      <c r="T165" s="548">
        <f t="shared" si="18"/>
        <v>0</v>
      </c>
      <c r="W165" s="543" t="e">
        <f t="shared" si="23"/>
        <v>#DIV/0!</v>
      </c>
    </row>
    <row r="166" spans="1:23" outlineLevel="1" collapsed="1">
      <c r="A166" s="541" t="s">
        <v>1586</v>
      </c>
      <c r="B166" s="541"/>
      <c r="C166" s="544"/>
      <c r="D166" s="544"/>
      <c r="E166" s="545">
        <f>SUBTOTAL(9,E151:E165)</f>
        <v>0</v>
      </c>
      <c r="F166" s="546">
        <f>SUBTOTAL(9,F151:F165)</f>
        <v>0</v>
      </c>
      <c r="G166" s="546">
        <f>SUBTOTAL(9,G151:G165)</f>
        <v>0</v>
      </c>
      <c r="H166" s="546">
        <f>SUBTOTAL(9,H151:H165)</f>
        <v>0</v>
      </c>
      <c r="I166" s="546"/>
      <c r="J166" s="546"/>
      <c r="K166" s="546"/>
      <c r="L166" s="49">
        <f t="shared" ref="L166:R166" si="24">SUBTOTAL(9,L151:L165)</f>
        <v>0</v>
      </c>
      <c r="M166" s="543">
        <f t="shared" si="24"/>
        <v>0</v>
      </c>
      <c r="N166" s="543">
        <f t="shared" si="24"/>
        <v>0</v>
      </c>
      <c r="O166" s="543">
        <f t="shared" si="24"/>
        <v>0</v>
      </c>
      <c r="P166" s="543">
        <f t="shared" si="24"/>
        <v>0</v>
      </c>
      <c r="Q166" s="543">
        <f t="shared" si="24"/>
        <v>0</v>
      </c>
      <c r="R166" s="543">
        <f t="shared" si="24"/>
        <v>0</v>
      </c>
      <c r="T166" s="548" t="e">
        <f t="shared" si="18"/>
        <v>#DIV/0!</v>
      </c>
      <c r="U166">
        <v>5</v>
      </c>
      <c r="V166" t="s">
        <v>1587</v>
      </c>
      <c r="W166" s="543" t="e">
        <f t="shared" si="23"/>
        <v>#DIV/0!</v>
      </c>
    </row>
    <row r="167" spans="1:23">
      <c r="A167" s="541" t="s">
        <v>1427</v>
      </c>
      <c r="B167" s="541"/>
      <c r="C167" s="544"/>
      <c r="D167" s="544"/>
      <c r="E167" s="545">
        <f>SUBTOTAL(9,E2:E165)</f>
        <v>8080297.5200000005</v>
      </c>
      <c r="F167" s="546">
        <f>SUBTOTAL(9,F2:F165)</f>
        <v>64499</v>
      </c>
      <c r="G167" s="546">
        <f>SUBTOTAL(9,G2:G165)</f>
        <v>4956</v>
      </c>
      <c r="H167" s="546">
        <f>SUBTOTAL(9,H2:H165)</f>
        <v>5096</v>
      </c>
      <c r="I167" s="546"/>
      <c r="J167" s="546"/>
      <c r="K167" s="546"/>
      <c r="L167" s="49">
        <f t="shared" ref="L167:R167" si="25">SUBTOTAL(9,L2:L165)</f>
        <v>3076</v>
      </c>
      <c r="M167" s="543">
        <f t="shared" si="25"/>
        <v>5</v>
      </c>
      <c r="N167" s="543">
        <f t="shared" si="25"/>
        <v>2</v>
      </c>
      <c r="O167" s="543">
        <f t="shared" si="25"/>
        <v>0</v>
      </c>
      <c r="P167" s="543">
        <f t="shared" si="25"/>
        <v>0</v>
      </c>
      <c r="Q167" s="543">
        <f t="shared" si="25"/>
        <v>-5</v>
      </c>
      <c r="R167" s="543">
        <f t="shared" si="25"/>
        <v>-2</v>
      </c>
      <c r="T167" s="548">
        <f t="shared" si="18"/>
        <v>2626.8847594278286</v>
      </c>
      <c r="W167" s="543">
        <f t="shared" si="23"/>
        <v>1616059.5040000002</v>
      </c>
    </row>
    <row r="169" spans="1:23">
      <c r="A169" t="s">
        <v>1588</v>
      </c>
      <c r="D169" s="535" t="s">
        <v>1589</v>
      </c>
      <c r="M169">
        <v>1</v>
      </c>
    </row>
    <row r="170" spans="1:23">
      <c r="D170" s="533" t="s">
        <v>1443</v>
      </c>
      <c r="M170">
        <v>1</v>
      </c>
    </row>
  </sheetData>
  <autoFilter ref="A1:V166" xr:uid="{00000000-0009-0000-0000-000003000000}">
    <filterColumn colId="20">
      <filters>
        <filter val="3"/>
      </filters>
    </filterColumn>
  </autoFilter>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EC41C-CD78-8E4D-A5ED-3C9ADBCBBD6C}">
  <sheetPr>
    <pageSetUpPr fitToPage="1"/>
  </sheetPr>
  <dimension ref="A1:C50"/>
  <sheetViews>
    <sheetView workbookViewId="0">
      <pane xSplit="2" ySplit="7" topLeftCell="C8" activePane="bottomRight" state="frozen"/>
      <selection pane="topRight" activeCell="C1" sqref="C1"/>
      <selection pane="bottomLeft" activeCell="A8" sqref="A8"/>
      <selection pane="bottomRight" activeCell="D23" sqref="D23"/>
    </sheetView>
  </sheetViews>
  <sheetFormatPr baseColWidth="10" defaultColWidth="9.1640625" defaultRowHeight="15"/>
  <cols>
    <col min="1" max="1" width="25.33203125" bestFit="1" customWidth="1"/>
    <col min="2" max="2" width="46.1640625" bestFit="1" customWidth="1"/>
    <col min="3" max="3" width="19.5" customWidth="1"/>
    <col min="4" max="4" width="45.1640625" bestFit="1" customWidth="1"/>
    <col min="5" max="8" width="19.5" customWidth="1"/>
    <col min="9" max="9" width="14.5" customWidth="1"/>
    <col min="10" max="10" width="7.5" bestFit="1" customWidth="1"/>
  </cols>
  <sheetData>
    <row r="1" spans="1:3">
      <c r="A1" t="s">
        <v>1001</v>
      </c>
      <c r="B1" t="s" vm="9">
        <v>1007</v>
      </c>
    </row>
    <row r="2" spans="1:3">
      <c r="A2" t="s">
        <v>1006</v>
      </c>
      <c r="B2" t="s" vm="7">
        <v>1002</v>
      </c>
    </row>
    <row r="3" spans="1:3">
      <c r="A3" t="s">
        <v>1428</v>
      </c>
      <c r="B3" t="s" vm="8">
        <v>1429</v>
      </c>
    </row>
    <row r="4" spans="1:3">
      <c r="A4" t="s">
        <v>1004</v>
      </c>
      <c r="B4" t="s" vm="6">
        <v>1005</v>
      </c>
    </row>
    <row r="5" spans="1:3">
      <c r="A5" t="s">
        <v>1003</v>
      </c>
      <c r="B5" t="s" vm="10">
        <v>1435</v>
      </c>
    </row>
    <row r="6" spans="1:3">
      <c r="A6" t="s">
        <v>1434</v>
      </c>
      <c r="B6" t="s" vm="11">
        <v>1007</v>
      </c>
    </row>
    <row r="8" spans="1:3">
      <c r="A8" t="s">
        <v>1009</v>
      </c>
      <c r="B8" t="s">
        <v>1453</v>
      </c>
      <c r="C8" t="s">
        <v>1430</v>
      </c>
    </row>
    <row r="9" spans="1:3">
      <c r="A9" t="s">
        <v>1454</v>
      </c>
      <c r="B9" t="s">
        <v>1455</v>
      </c>
      <c r="C9" s="49">
        <v>0</v>
      </c>
    </row>
    <row r="10" spans="1:3">
      <c r="A10" t="s">
        <v>1454</v>
      </c>
      <c r="B10" t="s">
        <v>1456</v>
      </c>
      <c r="C10" s="49">
        <v>11250</v>
      </c>
    </row>
    <row r="11" spans="1:3">
      <c r="A11" t="s">
        <v>1454</v>
      </c>
      <c r="B11" t="s">
        <v>1457</v>
      </c>
      <c r="C11" s="49">
        <v>97627.14</v>
      </c>
    </row>
    <row r="12" spans="1:3">
      <c r="A12" t="s">
        <v>1454</v>
      </c>
      <c r="B12" t="s">
        <v>1458</v>
      </c>
      <c r="C12" s="49">
        <v>3140011.7799999965</v>
      </c>
    </row>
    <row r="13" spans="1:3">
      <c r="A13" t="s">
        <v>1454</v>
      </c>
      <c r="B13" t="s">
        <v>1459</v>
      </c>
      <c r="C13" s="49">
        <v>318816</v>
      </c>
    </row>
    <row r="14" spans="1:3">
      <c r="A14" t="s">
        <v>1454</v>
      </c>
      <c r="B14" t="s">
        <v>1460</v>
      </c>
      <c r="C14" s="49">
        <v>55698</v>
      </c>
    </row>
    <row r="15" spans="1:3">
      <c r="A15" t="s">
        <v>1454</v>
      </c>
      <c r="B15" t="s">
        <v>1461</v>
      </c>
      <c r="C15" s="49">
        <v>18686.37</v>
      </c>
    </row>
    <row r="16" spans="1:3">
      <c r="A16" t="s">
        <v>1454</v>
      </c>
      <c r="B16" t="s">
        <v>1462</v>
      </c>
      <c r="C16" s="49">
        <v>7600</v>
      </c>
    </row>
    <row r="17" spans="1:3">
      <c r="A17" t="s">
        <v>1454</v>
      </c>
      <c r="B17" t="s">
        <v>1463</v>
      </c>
      <c r="C17" s="49">
        <v>49602.02</v>
      </c>
    </row>
    <row r="18" spans="1:3">
      <c r="A18" t="s">
        <v>1454</v>
      </c>
      <c r="B18" t="s">
        <v>1464</v>
      </c>
      <c r="C18" s="49">
        <v>200</v>
      </c>
    </row>
    <row r="19" spans="1:3">
      <c r="A19" t="s">
        <v>1454</v>
      </c>
      <c r="B19" t="s">
        <v>1465</v>
      </c>
      <c r="C19" s="49">
        <v>39679.08</v>
      </c>
    </row>
    <row r="20" spans="1:3">
      <c r="A20" t="s">
        <v>1454</v>
      </c>
      <c r="B20" t="s">
        <v>1466</v>
      </c>
      <c r="C20" s="49">
        <v>9624</v>
      </c>
    </row>
    <row r="21" spans="1:3">
      <c r="A21" t="s">
        <v>1454</v>
      </c>
      <c r="B21" t="s">
        <v>1467</v>
      </c>
      <c r="C21" s="49">
        <v>524</v>
      </c>
    </row>
    <row r="22" spans="1:3">
      <c r="A22" t="s">
        <v>1454</v>
      </c>
      <c r="B22" t="s">
        <v>1468</v>
      </c>
      <c r="C22" s="49">
        <v>468428.32999999996</v>
      </c>
    </row>
    <row r="23" spans="1:3">
      <c r="A23" t="s">
        <v>1454</v>
      </c>
      <c r="B23" t="s">
        <v>1469</v>
      </c>
      <c r="C23" s="49">
        <v>5675</v>
      </c>
    </row>
    <row r="24" spans="1:3">
      <c r="A24" t="s">
        <v>1470</v>
      </c>
      <c r="C24" s="49">
        <v>4223421.7199999988</v>
      </c>
    </row>
    <row r="25" spans="1:3">
      <c r="A25" t="s">
        <v>1471</v>
      </c>
      <c r="B25" t="s">
        <v>1472</v>
      </c>
      <c r="C25" s="49">
        <v>517.61</v>
      </c>
    </row>
    <row r="26" spans="1:3">
      <c r="A26" t="s">
        <v>1473</v>
      </c>
      <c r="C26" s="49">
        <v>517.61</v>
      </c>
    </row>
    <row r="27" spans="1:3">
      <c r="A27" t="s">
        <v>1010</v>
      </c>
      <c r="B27" t="s">
        <v>1474</v>
      </c>
      <c r="C27" s="49">
        <v>7913577.5900000017</v>
      </c>
    </row>
    <row r="28" spans="1:3">
      <c r="A28" t="s">
        <v>1010</v>
      </c>
      <c r="B28" t="s">
        <v>1475</v>
      </c>
      <c r="C28" s="49">
        <v>661851.81999999972</v>
      </c>
    </row>
    <row r="29" spans="1:3">
      <c r="A29" t="s">
        <v>1010</v>
      </c>
      <c r="B29" t="s">
        <v>1476</v>
      </c>
      <c r="C29" s="49">
        <v>9895.9</v>
      </c>
    </row>
    <row r="30" spans="1:3">
      <c r="A30" t="s">
        <v>1010</v>
      </c>
      <c r="B30" t="s">
        <v>1477</v>
      </c>
      <c r="C30" s="49">
        <v>1993409.7400000002</v>
      </c>
    </row>
    <row r="31" spans="1:3">
      <c r="A31" t="s">
        <v>1010</v>
      </c>
      <c r="B31" t="s">
        <v>1478</v>
      </c>
      <c r="C31" s="49">
        <v>161819.01</v>
      </c>
    </row>
    <row r="32" spans="1:3">
      <c r="A32" t="s">
        <v>1479</v>
      </c>
      <c r="C32" s="49">
        <v>10740554.059999989</v>
      </c>
    </row>
    <row r="33" spans="1:3">
      <c r="A33" t="s">
        <v>1011</v>
      </c>
      <c r="B33" t="s">
        <v>1480</v>
      </c>
      <c r="C33" s="49">
        <v>8248098.0900000036</v>
      </c>
    </row>
    <row r="34" spans="1:3">
      <c r="A34" t="s">
        <v>1011</v>
      </c>
      <c r="B34" t="s">
        <v>1481</v>
      </c>
      <c r="C34" s="49">
        <v>146740.76999999999</v>
      </c>
    </row>
    <row r="35" spans="1:3">
      <c r="A35" t="s">
        <v>1011</v>
      </c>
      <c r="B35" t="s">
        <v>1482</v>
      </c>
      <c r="C35" s="49">
        <v>91088</v>
      </c>
    </row>
    <row r="36" spans="1:3">
      <c r="A36" t="s">
        <v>1011</v>
      </c>
      <c r="B36" t="s">
        <v>1483</v>
      </c>
      <c r="C36" s="49">
        <v>1954744.4700000002</v>
      </c>
    </row>
    <row r="37" spans="1:3">
      <c r="A37" t="s">
        <v>1011</v>
      </c>
      <c r="B37" t="s">
        <v>1484</v>
      </c>
      <c r="C37" s="49">
        <v>194202.90999999995</v>
      </c>
    </row>
    <row r="38" spans="1:3">
      <c r="A38" t="s">
        <v>1011</v>
      </c>
      <c r="B38" t="s">
        <v>1485</v>
      </c>
      <c r="C38" s="49">
        <v>3061.6</v>
      </c>
    </row>
    <row r="39" spans="1:3">
      <c r="A39" t="s">
        <v>1486</v>
      </c>
      <c r="C39" s="49">
        <v>10637935.840000002</v>
      </c>
    </row>
    <row r="40" spans="1:3">
      <c r="A40" t="s">
        <v>1012</v>
      </c>
      <c r="B40" t="s">
        <v>1487</v>
      </c>
      <c r="C40" s="49">
        <v>14863416.570000011</v>
      </c>
    </row>
    <row r="41" spans="1:3">
      <c r="A41" t="s">
        <v>1012</v>
      </c>
      <c r="B41" t="s">
        <v>1488</v>
      </c>
      <c r="C41" s="49">
        <v>1294236.1800000018</v>
      </c>
    </row>
    <row r="42" spans="1:3">
      <c r="A42" t="s">
        <v>1012</v>
      </c>
      <c r="B42" t="s">
        <v>1489</v>
      </c>
      <c r="C42" s="49">
        <v>38325.129999999983</v>
      </c>
    </row>
    <row r="43" spans="1:3">
      <c r="A43" t="s">
        <v>1012</v>
      </c>
      <c r="B43" t="s">
        <v>1490</v>
      </c>
      <c r="C43" s="49">
        <v>542070.79000000062</v>
      </c>
    </row>
    <row r="44" spans="1:3">
      <c r="A44" t="s">
        <v>1012</v>
      </c>
      <c r="B44" t="s">
        <v>1491</v>
      </c>
      <c r="C44" s="49">
        <v>95183.559999999983</v>
      </c>
    </row>
    <row r="45" spans="1:3">
      <c r="A45" t="s">
        <v>1012</v>
      </c>
      <c r="B45" t="s">
        <v>1492</v>
      </c>
      <c r="C45" s="49">
        <v>56511.8</v>
      </c>
    </row>
    <row r="46" spans="1:3">
      <c r="A46" t="s">
        <v>1012</v>
      </c>
      <c r="B46" t="s">
        <v>1493</v>
      </c>
      <c r="C46" s="49">
        <v>2245224.3799999985</v>
      </c>
    </row>
    <row r="47" spans="1:3">
      <c r="A47" t="s">
        <v>1012</v>
      </c>
      <c r="B47" t="s">
        <v>1494</v>
      </c>
      <c r="C47" s="49">
        <v>570688.70999999985</v>
      </c>
    </row>
    <row r="48" spans="1:3">
      <c r="A48" t="s">
        <v>1012</v>
      </c>
      <c r="B48" t="s">
        <v>1495</v>
      </c>
      <c r="C48" s="49">
        <v>3245</v>
      </c>
    </row>
    <row r="49" spans="1:3">
      <c r="A49" t="s">
        <v>1496</v>
      </c>
      <c r="C49" s="49">
        <v>19708902.120000005</v>
      </c>
    </row>
    <row r="50" spans="1:3">
      <c r="A50" t="s">
        <v>1427</v>
      </c>
      <c r="C50" s="49">
        <v>45311331.349999927</v>
      </c>
    </row>
  </sheetData>
  <pageMargins left="0.7" right="0.7" top="0.75" bottom="0.75" header="0.3" footer="0.3"/>
  <pageSetup scale="6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42988-5211-114F-B00B-08A72D427EC1}">
  <sheetPr>
    <pageSetUpPr fitToPage="1"/>
  </sheetPr>
  <dimension ref="A1:AN65"/>
  <sheetViews>
    <sheetView workbookViewId="0">
      <pane ySplit="7" topLeftCell="A8" activePane="bottomLeft" state="frozen"/>
      <selection pane="bottomLeft" activeCell="AA29" sqref="AA29"/>
    </sheetView>
  </sheetViews>
  <sheetFormatPr baseColWidth="10" defaultColWidth="10.83203125" defaultRowHeight="13"/>
  <cols>
    <col min="1" max="1" width="4.5" style="552" customWidth="1"/>
    <col min="2" max="2" width="11.5" style="552" customWidth="1"/>
    <col min="3" max="3" width="7.5" style="552" customWidth="1"/>
    <col min="4" max="14" width="9.5" style="552" customWidth="1"/>
    <col min="15" max="15" width="25.5" style="552" bestFit="1" customWidth="1"/>
    <col min="16" max="26" width="11.5" style="552" hidden="1" customWidth="1"/>
    <col min="27" max="28" width="11.5" style="552" customWidth="1"/>
    <col min="29" max="255" width="10.83203125" style="552"/>
    <col min="256" max="256" width="4.5" style="552" customWidth="1"/>
    <col min="257" max="257" width="11.5" style="552" customWidth="1"/>
    <col min="258" max="258" width="7.5" style="552" customWidth="1"/>
    <col min="259" max="264" width="9.5" style="552" customWidth="1"/>
    <col min="265" max="265" width="0" style="552" hidden="1" customWidth="1"/>
    <col min="266" max="270" width="9.5" style="552" customWidth="1"/>
    <col min="271" max="511" width="10.83203125" style="552"/>
    <col min="512" max="512" width="4.5" style="552" customWidth="1"/>
    <col min="513" max="513" width="11.5" style="552" customWidth="1"/>
    <col min="514" max="514" width="7.5" style="552" customWidth="1"/>
    <col min="515" max="520" width="9.5" style="552" customWidth="1"/>
    <col min="521" max="521" width="0" style="552" hidden="1" customWidth="1"/>
    <col min="522" max="526" width="9.5" style="552" customWidth="1"/>
    <col min="527" max="767" width="10.83203125" style="552"/>
    <col min="768" max="768" width="4.5" style="552" customWidth="1"/>
    <col min="769" max="769" width="11.5" style="552" customWidth="1"/>
    <col min="770" max="770" width="7.5" style="552" customWidth="1"/>
    <col min="771" max="776" width="9.5" style="552" customWidth="1"/>
    <col min="777" max="777" width="0" style="552" hidden="1" customWidth="1"/>
    <col min="778" max="782" width="9.5" style="552" customWidth="1"/>
    <col min="783" max="1023" width="10.83203125" style="552"/>
    <col min="1024" max="1024" width="4.5" style="552" customWidth="1"/>
    <col min="1025" max="1025" width="11.5" style="552" customWidth="1"/>
    <col min="1026" max="1026" width="7.5" style="552" customWidth="1"/>
    <col min="1027" max="1032" width="9.5" style="552" customWidth="1"/>
    <col min="1033" max="1033" width="0" style="552" hidden="1" customWidth="1"/>
    <col min="1034" max="1038" width="9.5" style="552" customWidth="1"/>
    <col min="1039" max="1279" width="10.83203125" style="552"/>
    <col min="1280" max="1280" width="4.5" style="552" customWidth="1"/>
    <col min="1281" max="1281" width="11.5" style="552" customWidth="1"/>
    <col min="1282" max="1282" width="7.5" style="552" customWidth="1"/>
    <col min="1283" max="1288" width="9.5" style="552" customWidth="1"/>
    <col min="1289" max="1289" width="0" style="552" hidden="1" customWidth="1"/>
    <col min="1290" max="1294" width="9.5" style="552" customWidth="1"/>
    <col min="1295" max="1535" width="10.83203125" style="552"/>
    <col min="1536" max="1536" width="4.5" style="552" customWidth="1"/>
    <col min="1537" max="1537" width="11.5" style="552" customWidth="1"/>
    <col min="1538" max="1538" width="7.5" style="552" customWidth="1"/>
    <col min="1539" max="1544" width="9.5" style="552" customWidth="1"/>
    <col min="1545" max="1545" width="0" style="552" hidden="1" customWidth="1"/>
    <col min="1546" max="1550" width="9.5" style="552" customWidth="1"/>
    <col min="1551" max="1791" width="10.83203125" style="552"/>
    <col min="1792" max="1792" width="4.5" style="552" customWidth="1"/>
    <col min="1793" max="1793" width="11.5" style="552" customWidth="1"/>
    <col min="1794" max="1794" width="7.5" style="552" customWidth="1"/>
    <col min="1795" max="1800" width="9.5" style="552" customWidth="1"/>
    <col min="1801" max="1801" width="0" style="552" hidden="1" customWidth="1"/>
    <col min="1802" max="1806" width="9.5" style="552" customWidth="1"/>
    <col min="1807" max="2047" width="10.83203125" style="552"/>
    <col min="2048" max="2048" width="4.5" style="552" customWidth="1"/>
    <col min="2049" max="2049" width="11.5" style="552" customWidth="1"/>
    <col min="2050" max="2050" width="7.5" style="552" customWidth="1"/>
    <col min="2051" max="2056" width="9.5" style="552" customWidth="1"/>
    <col min="2057" max="2057" width="0" style="552" hidden="1" customWidth="1"/>
    <col min="2058" max="2062" width="9.5" style="552" customWidth="1"/>
    <col min="2063" max="2303" width="10.83203125" style="552"/>
    <col min="2304" max="2304" width="4.5" style="552" customWidth="1"/>
    <col min="2305" max="2305" width="11.5" style="552" customWidth="1"/>
    <col min="2306" max="2306" width="7.5" style="552" customWidth="1"/>
    <col min="2307" max="2312" width="9.5" style="552" customWidth="1"/>
    <col min="2313" max="2313" width="0" style="552" hidden="1" customWidth="1"/>
    <col min="2314" max="2318" width="9.5" style="552" customWidth="1"/>
    <col min="2319" max="2559" width="10.83203125" style="552"/>
    <col min="2560" max="2560" width="4.5" style="552" customWidth="1"/>
    <col min="2561" max="2561" width="11.5" style="552" customWidth="1"/>
    <col min="2562" max="2562" width="7.5" style="552" customWidth="1"/>
    <col min="2563" max="2568" width="9.5" style="552" customWidth="1"/>
    <col min="2569" max="2569" width="0" style="552" hidden="1" customWidth="1"/>
    <col min="2570" max="2574" width="9.5" style="552" customWidth="1"/>
    <col min="2575" max="2815" width="10.83203125" style="552"/>
    <col min="2816" max="2816" width="4.5" style="552" customWidth="1"/>
    <col min="2817" max="2817" width="11.5" style="552" customWidth="1"/>
    <col min="2818" max="2818" width="7.5" style="552" customWidth="1"/>
    <col min="2819" max="2824" width="9.5" style="552" customWidth="1"/>
    <col min="2825" max="2825" width="0" style="552" hidden="1" customWidth="1"/>
    <col min="2826" max="2830" width="9.5" style="552" customWidth="1"/>
    <col min="2831" max="3071" width="10.83203125" style="552"/>
    <col min="3072" max="3072" width="4.5" style="552" customWidth="1"/>
    <col min="3073" max="3073" width="11.5" style="552" customWidth="1"/>
    <col min="3074" max="3074" width="7.5" style="552" customWidth="1"/>
    <col min="3075" max="3080" width="9.5" style="552" customWidth="1"/>
    <col min="3081" max="3081" width="0" style="552" hidden="1" customWidth="1"/>
    <col min="3082" max="3086" width="9.5" style="552" customWidth="1"/>
    <col min="3087" max="3327" width="10.83203125" style="552"/>
    <col min="3328" max="3328" width="4.5" style="552" customWidth="1"/>
    <col min="3329" max="3329" width="11.5" style="552" customWidth="1"/>
    <col min="3330" max="3330" width="7.5" style="552" customWidth="1"/>
    <col min="3331" max="3336" width="9.5" style="552" customWidth="1"/>
    <col min="3337" max="3337" width="0" style="552" hidden="1" customWidth="1"/>
    <col min="3338" max="3342" width="9.5" style="552" customWidth="1"/>
    <col min="3343" max="3583" width="10.83203125" style="552"/>
    <col min="3584" max="3584" width="4.5" style="552" customWidth="1"/>
    <col min="3585" max="3585" width="11.5" style="552" customWidth="1"/>
    <col min="3586" max="3586" width="7.5" style="552" customWidth="1"/>
    <col min="3587" max="3592" width="9.5" style="552" customWidth="1"/>
    <col min="3593" max="3593" width="0" style="552" hidden="1" customWidth="1"/>
    <col min="3594" max="3598" width="9.5" style="552" customWidth="1"/>
    <col min="3599" max="3839" width="10.83203125" style="552"/>
    <col min="3840" max="3840" width="4.5" style="552" customWidth="1"/>
    <col min="3841" max="3841" width="11.5" style="552" customWidth="1"/>
    <col min="3842" max="3842" width="7.5" style="552" customWidth="1"/>
    <col min="3843" max="3848" width="9.5" style="552" customWidth="1"/>
    <col min="3849" max="3849" width="0" style="552" hidden="1" customWidth="1"/>
    <col min="3850" max="3854" width="9.5" style="552" customWidth="1"/>
    <col min="3855" max="4095" width="10.83203125" style="552"/>
    <col min="4096" max="4096" width="4.5" style="552" customWidth="1"/>
    <col min="4097" max="4097" width="11.5" style="552" customWidth="1"/>
    <col min="4098" max="4098" width="7.5" style="552" customWidth="1"/>
    <col min="4099" max="4104" width="9.5" style="552" customWidth="1"/>
    <col min="4105" max="4105" width="0" style="552" hidden="1" customWidth="1"/>
    <col min="4106" max="4110" width="9.5" style="552" customWidth="1"/>
    <col min="4111" max="4351" width="10.83203125" style="552"/>
    <col min="4352" max="4352" width="4.5" style="552" customWidth="1"/>
    <col min="4353" max="4353" width="11.5" style="552" customWidth="1"/>
    <col min="4354" max="4354" width="7.5" style="552" customWidth="1"/>
    <col min="4355" max="4360" width="9.5" style="552" customWidth="1"/>
    <col min="4361" max="4361" width="0" style="552" hidden="1" customWidth="1"/>
    <col min="4362" max="4366" width="9.5" style="552" customWidth="1"/>
    <col min="4367" max="4607" width="10.83203125" style="552"/>
    <col min="4608" max="4608" width="4.5" style="552" customWidth="1"/>
    <col min="4609" max="4609" width="11.5" style="552" customWidth="1"/>
    <col min="4610" max="4610" width="7.5" style="552" customWidth="1"/>
    <col min="4611" max="4616" width="9.5" style="552" customWidth="1"/>
    <col min="4617" max="4617" width="0" style="552" hidden="1" customWidth="1"/>
    <col min="4618" max="4622" width="9.5" style="552" customWidth="1"/>
    <col min="4623" max="4863" width="10.83203125" style="552"/>
    <col min="4864" max="4864" width="4.5" style="552" customWidth="1"/>
    <col min="4865" max="4865" width="11.5" style="552" customWidth="1"/>
    <col min="4866" max="4866" width="7.5" style="552" customWidth="1"/>
    <col min="4867" max="4872" width="9.5" style="552" customWidth="1"/>
    <col min="4873" max="4873" width="0" style="552" hidden="1" customWidth="1"/>
    <col min="4874" max="4878" width="9.5" style="552" customWidth="1"/>
    <col min="4879" max="5119" width="10.83203125" style="552"/>
    <col min="5120" max="5120" width="4.5" style="552" customWidth="1"/>
    <col min="5121" max="5121" width="11.5" style="552" customWidth="1"/>
    <col min="5122" max="5122" width="7.5" style="552" customWidth="1"/>
    <col min="5123" max="5128" width="9.5" style="552" customWidth="1"/>
    <col min="5129" max="5129" width="0" style="552" hidden="1" customWidth="1"/>
    <col min="5130" max="5134" width="9.5" style="552" customWidth="1"/>
    <col min="5135" max="5375" width="10.83203125" style="552"/>
    <col min="5376" max="5376" width="4.5" style="552" customWidth="1"/>
    <col min="5377" max="5377" width="11.5" style="552" customWidth="1"/>
    <col min="5378" max="5378" width="7.5" style="552" customWidth="1"/>
    <col min="5379" max="5384" width="9.5" style="552" customWidth="1"/>
    <col min="5385" max="5385" width="0" style="552" hidden="1" customWidth="1"/>
    <col min="5386" max="5390" width="9.5" style="552" customWidth="1"/>
    <col min="5391" max="5631" width="10.83203125" style="552"/>
    <col min="5632" max="5632" width="4.5" style="552" customWidth="1"/>
    <col min="5633" max="5633" width="11.5" style="552" customWidth="1"/>
    <col min="5634" max="5634" width="7.5" style="552" customWidth="1"/>
    <col min="5635" max="5640" width="9.5" style="552" customWidth="1"/>
    <col min="5641" max="5641" width="0" style="552" hidden="1" customWidth="1"/>
    <col min="5642" max="5646" width="9.5" style="552" customWidth="1"/>
    <col min="5647" max="5887" width="10.83203125" style="552"/>
    <col min="5888" max="5888" width="4.5" style="552" customWidth="1"/>
    <col min="5889" max="5889" width="11.5" style="552" customWidth="1"/>
    <col min="5890" max="5890" width="7.5" style="552" customWidth="1"/>
    <col min="5891" max="5896" width="9.5" style="552" customWidth="1"/>
    <col min="5897" max="5897" width="0" style="552" hidden="1" customWidth="1"/>
    <col min="5898" max="5902" width="9.5" style="552" customWidth="1"/>
    <col min="5903" max="6143" width="10.83203125" style="552"/>
    <col min="6144" max="6144" width="4.5" style="552" customWidth="1"/>
    <col min="6145" max="6145" width="11.5" style="552" customWidth="1"/>
    <col min="6146" max="6146" width="7.5" style="552" customWidth="1"/>
    <col min="6147" max="6152" width="9.5" style="552" customWidth="1"/>
    <col min="6153" max="6153" width="0" style="552" hidden="1" customWidth="1"/>
    <col min="6154" max="6158" width="9.5" style="552" customWidth="1"/>
    <col min="6159" max="6399" width="10.83203125" style="552"/>
    <col min="6400" max="6400" width="4.5" style="552" customWidth="1"/>
    <col min="6401" max="6401" width="11.5" style="552" customWidth="1"/>
    <col min="6402" max="6402" width="7.5" style="552" customWidth="1"/>
    <col min="6403" max="6408" width="9.5" style="552" customWidth="1"/>
    <col min="6409" max="6409" width="0" style="552" hidden="1" customWidth="1"/>
    <col min="6410" max="6414" width="9.5" style="552" customWidth="1"/>
    <col min="6415" max="6655" width="10.83203125" style="552"/>
    <col min="6656" max="6656" width="4.5" style="552" customWidth="1"/>
    <col min="6657" max="6657" width="11.5" style="552" customWidth="1"/>
    <col min="6658" max="6658" width="7.5" style="552" customWidth="1"/>
    <col min="6659" max="6664" width="9.5" style="552" customWidth="1"/>
    <col min="6665" max="6665" width="0" style="552" hidden="1" customWidth="1"/>
    <col min="6666" max="6670" width="9.5" style="552" customWidth="1"/>
    <col min="6671" max="6911" width="10.83203125" style="552"/>
    <col min="6912" max="6912" width="4.5" style="552" customWidth="1"/>
    <col min="6913" max="6913" width="11.5" style="552" customWidth="1"/>
    <col min="6914" max="6914" width="7.5" style="552" customWidth="1"/>
    <col min="6915" max="6920" width="9.5" style="552" customWidth="1"/>
    <col min="6921" max="6921" width="0" style="552" hidden="1" customWidth="1"/>
    <col min="6922" max="6926" width="9.5" style="552" customWidth="1"/>
    <col min="6927" max="7167" width="10.83203125" style="552"/>
    <col min="7168" max="7168" width="4.5" style="552" customWidth="1"/>
    <col min="7169" max="7169" width="11.5" style="552" customWidth="1"/>
    <col min="7170" max="7170" width="7.5" style="552" customWidth="1"/>
    <col min="7171" max="7176" width="9.5" style="552" customWidth="1"/>
    <col min="7177" max="7177" width="0" style="552" hidden="1" customWidth="1"/>
    <col min="7178" max="7182" width="9.5" style="552" customWidth="1"/>
    <col min="7183" max="7423" width="10.83203125" style="552"/>
    <col min="7424" max="7424" width="4.5" style="552" customWidth="1"/>
    <col min="7425" max="7425" width="11.5" style="552" customWidth="1"/>
    <col min="7426" max="7426" width="7.5" style="552" customWidth="1"/>
    <col min="7427" max="7432" width="9.5" style="552" customWidth="1"/>
    <col min="7433" max="7433" width="0" style="552" hidden="1" customWidth="1"/>
    <col min="7434" max="7438" width="9.5" style="552" customWidth="1"/>
    <col min="7439" max="7679" width="10.83203125" style="552"/>
    <col min="7680" max="7680" width="4.5" style="552" customWidth="1"/>
    <col min="7681" max="7681" width="11.5" style="552" customWidth="1"/>
    <col min="7682" max="7682" width="7.5" style="552" customWidth="1"/>
    <col min="7683" max="7688" width="9.5" style="552" customWidth="1"/>
    <col min="7689" max="7689" width="0" style="552" hidden="1" customWidth="1"/>
    <col min="7690" max="7694" width="9.5" style="552" customWidth="1"/>
    <col min="7695" max="7935" width="10.83203125" style="552"/>
    <col min="7936" max="7936" width="4.5" style="552" customWidth="1"/>
    <col min="7937" max="7937" width="11.5" style="552" customWidth="1"/>
    <col min="7938" max="7938" width="7.5" style="552" customWidth="1"/>
    <col min="7939" max="7944" width="9.5" style="552" customWidth="1"/>
    <col min="7945" max="7945" width="0" style="552" hidden="1" customWidth="1"/>
    <col min="7946" max="7950" width="9.5" style="552" customWidth="1"/>
    <col min="7951" max="8191" width="10.83203125" style="552"/>
    <col min="8192" max="8192" width="4.5" style="552" customWidth="1"/>
    <col min="8193" max="8193" width="11.5" style="552" customWidth="1"/>
    <col min="8194" max="8194" width="7.5" style="552" customWidth="1"/>
    <col min="8195" max="8200" width="9.5" style="552" customWidth="1"/>
    <col min="8201" max="8201" width="0" style="552" hidden="1" customWidth="1"/>
    <col min="8202" max="8206" width="9.5" style="552" customWidth="1"/>
    <col min="8207" max="8447" width="10.83203125" style="552"/>
    <col min="8448" max="8448" width="4.5" style="552" customWidth="1"/>
    <col min="8449" max="8449" width="11.5" style="552" customWidth="1"/>
    <col min="8450" max="8450" width="7.5" style="552" customWidth="1"/>
    <col min="8451" max="8456" width="9.5" style="552" customWidth="1"/>
    <col min="8457" max="8457" width="0" style="552" hidden="1" customWidth="1"/>
    <col min="8458" max="8462" width="9.5" style="552" customWidth="1"/>
    <col min="8463" max="8703" width="10.83203125" style="552"/>
    <col min="8704" max="8704" width="4.5" style="552" customWidth="1"/>
    <col min="8705" max="8705" width="11.5" style="552" customWidth="1"/>
    <col min="8706" max="8706" width="7.5" style="552" customWidth="1"/>
    <col min="8707" max="8712" width="9.5" style="552" customWidth="1"/>
    <col min="8713" max="8713" width="0" style="552" hidden="1" customWidth="1"/>
    <col min="8714" max="8718" width="9.5" style="552" customWidth="1"/>
    <col min="8719" max="8959" width="10.83203125" style="552"/>
    <col min="8960" max="8960" width="4.5" style="552" customWidth="1"/>
    <col min="8961" max="8961" width="11.5" style="552" customWidth="1"/>
    <col min="8962" max="8962" width="7.5" style="552" customWidth="1"/>
    <col min="8963" max="8968" width="9.5" style="552" customWidth="1"/>
    <col min="8969" max="8969" width="0" style="552" hidden="1" customWidth="1"/>
    <col min="8970" max="8974" width="9.5" style="552" customWidth="1"/>
    <col min="8975" max="9215" width="10.83203125" style="552"/>
    <col min="9216" max="9216" width="4.5" style="552" customWidth="1"/>
    <col min="9217" max="9217" width="11.5" style="552" customWidth="1"/>
    <col min="9218" max="9218" width="7.5" style="552" customWidth="1"/>
    <col min="9219" max="9224" width="9.5" style="552" customWidth="1"/>
    <col min="9225" max="9225" width="0" style="552" hidden="1" customWidth="1"/>
    <col min="9226" max="9230" width="9.5" style="552" customWidth="1"/>
    <col min="9231" max="9471" width="10.83203125" style="552"/>
    <col min="9472" max="9472" width="4.5" style="552" customWidth="1"/>
    <col min="9473" max="9473" width="11.5" style="552" customWidth="1"/>
    <col min="9474" max="9474" width="7.5" style="552" customWidth="1"/>
    <col min="9475" max="9480" width="9.5" style="552" customWidth="1"/>
    <col min="9481" max="9481" width="0" style="552" hidden="1" customWidth="1"/>
    <col min="9482" max="9486" width="9.5" style="552" customWidth="1"/>
    <col min="9487" max="9727" width="10.83203125" style="552"/>
    <col min="9728" max="9728" width="4.5" style="552" customWidth="1"/>
    <col min="9729" max="9729" width="11.5" style="552" customWidth="1"/>
    <col min="9730" max="9730" width="7.5" style="552" customWidth="1"/>
    <col min="9731" max="9736" width="9.5" style="552" customWidth="1"/>
    <col min="9737" max="9737" width="0" style="552" hidden="1" customWidth="1"/>
    <col min="9738" max="9742" width="9.5" style="552" customWidth="1"/>
    <col min="9743" max="9983" width="10.83203125" style="552"/>
    <col min="9984" max="9984" width="4.5" style="552" customWidth="1"/>
    <col min="9985" max="9985" width="11.5" style="552" customWidth="1"/>
    <col min="9986" max="9986" width="7.5" style="552" customWidth="1"/>
    <col min="9987" max="9992" width="9.5" style="552" customWidth="1"/>
    <col min="9993" max="9993" width="0" style="552" hidden="1" customWidth="1"/>
    <col min="9994" max="9998" width="9.5" style="552" customWidth="1"/>
    <col min="9999" max="10239" width="10.83203125" style="552"/>
    <col min="10240" max="10240" width="4.5" style="552" customWidth="1"/>
    <col min="10241" max="10241" width="11.5" style="552" customWidth="1"/>
    <col min="10242" max="10242" width="7.5" style="552" customWidth="1"/>
    <col min="10243" max="10248" width="9.5" style="552" customWidth="1"/>
    <col min="10249" max="10249" width="0" style="552" hidden="1" customWidth="1"/>
    <col min="10250" max="10254" width="9.5" style="552" customWidth="1"/>
    <col min="10255" max="10495" width="10.83203125" style="552"/>
    <col min="10496" max="10496" width="4.5" style="552" customWidth="1"/>
    <col min="10497" max="10497" width="11.5" style="552" customWidth="1"/>
    <col min="10498" max="10498" width="7.5" style="552" customWidth="1"/>
    <col min="10499" max="10504" width="9.5" style="552" customWidth="1"/>
    <col min="10505" max="10505" width="0" style="552" hidden="1" customWidth="1"/>
    <col min="10506" max="10510" width="9.5" style="552" customWidth="1"/>
    <col min="10511" max="10751" width="10.83203125" style="552"/>
    <col min="10752" max="10752" width="4.5" style="552" customWidth="1"/>
    <col min="10753" max="10753" width="11.5" style="552" customWidth="1"/>
    <col min="10754" max="10754" width="7.5" style="552" customWidth="1"/>
    <col min="10755" max="10760" width="9.5" style="552" customWidth="1"/>
    <col min="10761" max="10761" width="0" style="552" hidden="1" customWidth="1"/>
    <col min="10762" max="10766" width="9.5" style="552" customWidth="1"/>
    <col min="10767" max="11007" width="10.83203125" style="552"/>
    <col min="11008" max="11008" width="4.5" style="552" customWidth="1"/>
    <col min="11009" max="11009" width="11.5" style="552" customWidth="1"/>
    <col min="11010" max="11010" width="7.5" style="552" customWidth="1"/>
    <col min="11011" max="11016" width="9.5" style="552" customWidth="1"/>
    <col min="11017" max="11017" width="0" style="552" hidden="1" customWidth="1"/>
    <col min="11018" max="11022" width="9.5" style="552" customWidth="1"/>
    <col min="11023" max="11263" width="10.83203125" style="552"/>
    <col min="11264" max="11264" width="4.5" style="552" customWidth="1"/>
    <col min="11265" max="11265" width="11.5" style="552" customWidth="1"/>
    <col min="11266" max="11266" width="7.5" style="552" customWidth="1"/>
    <col min="11267" max="11272" width="9.5" style="552" customWidth="1"/>
    <col min="11273" max="11273" width="0" style="552" hidden="1" customWidth="1"/>
    <col min="11274" max="11278" width="9.5" style="552" customWidth="1"/>
    <col min="11279" max="11519" width="10.83203125" style="552"/>
    <col min="11520" max="11520" width="4.5" style="552" customWidth="1"/>
    <col min="11521" max="11521" width="11.5" style="552" customWidth="1"/>
    <col min="11522" max="11522" width="7.5" style="552" customWidth="1"/>
    <col min="11523" max="11528" width="9.5" style="552" customWidth="1"/>
    <col min="11529" max="11529" width="0" style="552" hidden="1" customWidth="1"/>
    <col min="11530" max="11534" width="9.5" style="552" customWidth="1"/>
    <col min="11535" max="11775" width="10.83203125" style="552"/>
    <col min="11776" max="11776" width="4.5" style="552" customWidth="1"/>
    <col min="11777" max="11777" width="11.5" style="552" customWidth="1"/>
    <col min="11778" max="11778" width="7.5" style="552" customWidth="1"/>
    <col min="11779" max="11784" width="9.5" style="552" customWidth="1"/>
    <col min="11785" max="11785" width="0" style="552" hidden="1" customWidth="1"/>
    <col min="11786" max="11790" width="9.5" style="552" customWidth="1"/>
    <col min="11791" max="12031" width="10.83203125" style="552"/>
    <col min="12032" max="12032" width="4.5" style="552" customWidth="1"/>
    <col min="12033" max="12033" width="11.5" style="552" customWidth="1"/>
    <col min="12034" max="12034" width="7.5" style="552" customWidth="1"/>
    <col min="12035" max="12040" width="9.5" style="552" customWidth="1"/>
    <col min="12041" max="12041" width="0" style="552" hidden="1" customWidth="1"/>
    <col min="12042" max="12046" width="9.5" style="552" customWidth="1"/>
    <col min="12047" max="12287" width="10.83203125" style="552"/>
    <col min="12288" max="12288" width="4.5" style="552" customWidth="1"/>
    <col min="12289" max="12289" width="11.5" style="552" customWidth="1"/>
    <col min="12290" max="12290" width="7.5" style="552" customWidth="1"/>
    <col min="12291" max="12296" width="9.5" style="552" customWidth="1"/>
    <col min="12297" max="12297" width="0" style="552" hidden="1" customWidth="1"/>
    <col min="12298" max="12302" width="9.5" style="552" customWidth="1"/>
    <col min="12303" max="12543" width="10.83203125" style="552"/>
    <col min="12544" max="12544" width="4.5" style="552" customWidth="1"/>
    <col min="12545" max="12545" width="11.5" style="552" customWidth="1"/>
    <col min="12546" max="12546" width="7.5" style="552" customWidth="1"/>
    <col min="12547" max="12552" width="9.5" style="552" customWidth="1"/>
    <col min="12553" max="12553" width="0" style="552" hidden="1" customWidth="1"/>
    <col min="12554" max="12558" width="9.5" style="552" customWidth="1"/>
    <col min="12559" max="12799" width="10.83203125" style="552"/>
    <col min="12800" max="12800" width="4.5" style="552" customWidth="1"/>
    <col min="12801" max="12801" width="11.5" style="552" customWidth="1"/>
    <col min="12802" max="12802" width="7.5" style="552" customWidth="1"/>
    <col min="12803" max="12808" width="9.5" style="552" customWidth="1"/>
    <col min="12809" max="12809" width="0" style="552" hidden="1" customWidth="1"/>
    <col min="12810" max="12814" width="9.5" style="552" customWidth="1"/>
    <col min="12815" max="13055" width="10.83203125" style="552"/>
    <col min="13056" max="13056" width="4.5" style="552" customWidth="1"/>
    <col min="13057" max="13057" width="11.5" style="552" customWidth="1"/>
    <col min="13058" max="13058" width="7.5" style="552" customWidth="1"/>
    <col min="13059" max="13064" width="9.5" style="552" customWidth="1"/>
    <col min="13065" max="13065" width="0" style="552" hidden="1" customWidth="1"/>
    <col min="13066" max="13070" width="9.5" style="552" customWidth="1"/>
    <col min="13071" max="13311" width="10.83203125" style="552"/>
    <col min="13312" max="13312" width="4.5" style="552" customWidth="1"/>
    <col min="13313" max="13313" width="11.5" style="552" customWidth="1"/>
    <col min="13314" max="13314" width="7.5" style="552" customWidth="1"/>
    <col min="13315" max="13320" width="9.5" style="552" customWidth="1"/>
    <col min="13321" max="13321" width="0" style="552" hidden="1" customWidth="1"/>
    <col min="13322" max="13326" width="9.5" style="552" customWidth="1"/>
    <col min="13327" max="13567" width="10.83203125" style="552"/>
    <col min="13568" max="13568" width="4.5" style="552" customWidth="1"/>
    <col min="13569" max="13569" width="11.5" style="552" customWidth="1"/>
    <col min="13570" max="13570" width="7.5" style="552" customWidth="1"/>
    <col min="13571" max="13576" width="9.5" style="552" customWidth="1"/>
    <col min="13577" max="13577" width="0" style="552" hidden="1" customWidth="1"/>
    <col min="13578" max="13582" width="9.5" style="552" customWidth="1"/>
    <col min="13583" max="13823" width="10.83203125" style="552"/>
    <col min="13824" max="13824" width="4.5" style="552" customWidth="1"/>
    <col min="13825" max="13825" width="11.5" style="552" customWidth="1"/>
    <col min="13826" max="13826" width="7.5" style="552" customWidth="1"/>
    <col min="13827" max="13832" width="9.5" style="552" customWidth="1"/>
    <col min="13833" max="13833" width="0" style="552" hidden="1" customWidth="1"/>
    <col min="13834" max="13838" width="9.5" style="552" customWidth="1"/>
    <col min="13839" max="14079" width="10.83203125" style="552"/>
    <col min="14080" max="14080" width="4.5" style="552" customWidth="1"/>
    <col min="14081" max="14081" width="11.5" style="552" customWidth="1"/>
    <col min="14082" max="14082" width="7.5" style="552" customWidth="1"/>
    <col min="14083" max="14088" width="9.5" style="552" customWidth="1"/>
    <col min="14089" max="14089" width="0" style="552" hidden="1" customWidth="1"/>
    <col min="14090" max="14094" width="9.5" style="552" customWidth="1"/>
    <col min="14095" max="14335" width="10.83203125" style="552"/>
    <col min="14336" max="14336" width="4.5" style="552" customWidth="1"/>
    <col min="14337" max="14337" width="11.5" style="552" customWidth="1"/>
    <col min="14338" max="14338" width="7.5" style="552" customWidth="1"/>
    <col min="14339" max="14344" width="9.5" style="552" customWidth="1"/>
    <col min="14345" max="14345" width="0" style="552" hidden="1" customWidth="1"/>
    <col min="14346" max="14350" width="9.5" style="552" customWidth="1"/>
    <col min="14351" max="14591" width="10.83203125" style="552"/>
    <col min="14592" max="14592" width="4.5" style="552" customWidth="1"/>
    <col min="14593" max="14593" width="11.5" style="552" customWidth="1"/>
    <col min="14594" max="14594" width="7.5" style="552" customWidth="1"/>
    <col min="14595" max="14600" width="9.5" style="552" customWidth="1"/>
    <col min="14601" max="14601" width="0" style="552" hidden="1" customWidth="1"/>
    <col min="14602" max="14606" width="9.5" style="552" customWidth="1"/>
    <col min="14607" max="14847" width="10.83203125" style="552"/>
    <col min="14848" max="14848" width="4.5" style="552" customWidth="1"/>
    <col min="14849" max="14849" width="11.5" style="552" customWidth="1"/>
    <col min="14850" max="14850" width="7.5" style="552" customWidth="1"/>
    <col min="14851" max="14856" width="9.5" style="552" customWidth="1"/>
    <col min="14857" max="14857" width="0" style="552" hidden="1" customWidth="1"/>
    <col min="14858" max="14862" width="9.5" style="552" customWidth="1"/>
    <col min="14863" max="15103" width="10.83203125" style="552"/>
    <col min="15104" max="15104" width="4.5" style="552" customWidth="1"/>
    <col min="15105" max="15105" width="11.5" style="552" customWidth="1"/>
    <col min="15106" max="15106" width="7.5" style="552" customWidth="1"/>
    <col min="15107" max="15112" width="9.5" style="552" customWidth="1"/>
    <col min="15113" max="15113" width="0" style="552" hidden="1" customWidth="1"/>
    <col min="15114" max="15118" width="9.5" style="552" customWidth="1"/>
    <col min="15119" max="15359" width="10.83203125" style="552"/>
    <col min="15360" max="15360" width="4.5" style="552" customWidth="1"/>
    <col min="15361" max="15361" width="11.5" style="552" customWidth="1"/>
    <col min="15362" max="15362" width="7.5" style="552" customWidth="1"/>
    <col min="15363" max="15368" width="9.5" style="552" customWidth="1"/>
    <col min="15369" max="15369" width="0" style="552" hidden="1" customWidth="1"/>
    <col min="15370" max="15374" width="9.5" style="552" customWidth="1"/>
    <col min="15375" max="15615" width="10.83203125" style="552"/>
    <col min="15616" max="15616" width="4.5" style="552" customWidth="1"/>
    <col min="15617" max="15617" width="11.5" style="552" customWidth="1"/>
    <col min="15618" max="15618" width="7.5" style="552" customWidth="1"/>
    <col min="15619" max="15624" width="9.5" style="552" customWidth="1"/>
    <col min="15625" max="15625" width="0" style="552" hidden="1" customWidth="1"/>
    <col min="15626" max="15630" width="9.5" style="552" customWidth="1"/>
    <col min="15631" max="15871" width="10.83203125" style="552"/>
    <col min="15872" max="15872" width="4.5" style="552" customWidth="1"/>
    <col min="15873" max="15873" width="11.5" style="552" customWidth="1"/>
    <col min="15874" max="15874" width="7.5" style="552" customWidth="1"/>
    <col min="15875" max="15880" width="9.5" style="552" customWidth="1"/>
    <col min="15881" max="15881" width="0" style="552" hidden="1" customWidth="1"/>
    <col min="15882" max="15886" width="9.5" style="552" customWidth="1"/>
    <col min="15887" max="16127" width="10.83203125" style="552"/>
    <col min="16128" max="16128" width="4.5" style="552" customWidth="1"/>
    <col min="16129" max="16129" width="11.5" style="552" customWidth="1"/>
    <col min="16130" max="16130" width="7.5" style="552" customWidth="1"/>
    <col min="16131" max="16136" width="9.5" style="552" customWidth="1"/>
    <col min="16137" max="16137" width="0" style="552" hidden="1" customWidth="1"/>
    <col min="16138" max="16142" width="9.5" style="552" customWidth="1"/>
    <col min="16143" max="16384" width="10.83203125" style="552"/>
  </cols>
  <sheetData>
    <row r="1" spans="1:40" ht="16">
      <c r="A1" s="549" t="s">
        <v>1590</v>
      </c>
      <c r="B1" s="550"/>
      <c r="C1" s="550"/>
      <c r="D1" s="550"/>
      <c r="E1" s="550"/>
      <c r="F1" s="550"/>
      <c r="G1" s="550"/>
      <c r="H1" s="550"/>
      <c r="I1" s="550"/>
      <c r="J1" s="550"/>
      <c r="K1" s="550"/>
      <c r="L1" s="550"/>
      <c r="M1" s="550"/>
      <c r="N1" s="551"/>
    </row>
    <row r="2" spans="1:40" ht="21" thickBot="1">
      <c r="A2" s="553" t="s">
        <v>1591</v>
      </c>
      <c r="B2" s="554"/>
      <c r="C2" s="554"/>
      <c r="D2" s="554"/>
      <c r="E2" s="554"/>
      <c r="F2" s="554"/>
      <c r="G2" s="554"/>
      <c r="H2" s="554"/>
      <c r="I2" s="554"/>
      <c r="J2" s="554"/>
      <c r="K2" s="554"/>
      <c r="L2" s="554"/>
      <c r="M2" s="554"/>
      <c r="N2" s="555"/>
      <c r="O2" s="556"/>
      <c r="P2" s="556"/>
      <c r="Q2" s="556"/>
      <c r="R2" s="556"/>
      <c r="S2" s="556"/>
      <c r="T2" s="556"/>
      <c r="U2" s="556"/>
      <c r="V2" s="556"/>
    </row>
    <row r="3" spans="1:40" ht="6" customHeight="1">
      <c r="A3" s="557"/>
      <c r="B3" s="557"/>
      <c r="C3" s="557"/>
      <c r="D3" s="557"/>
      <c r="E3" s="557"/>
      <c r="F3" s="557"/>
      <c r="G3" s="557"/>
      <c r="H3" s="557"/>
      <c r="I3" s="557"/>
      <c r="J3" s="557"/>
      <c r="K3" s="557"/>
      <c r="L3" s="557"/>
      <c r="M3" s="557"/>
      <c r="N3" s="558"/>
      <c r="O3" s="556"/>
      <c r="P3" s="556"/>
      <c r="Q3" s="556"/>
      <c r="R3" s="556"/>
      <c r="S3" s="556"/>
      <c r="T3" s="556"/>
      <c r="U3" s="556"/>
      <c r="V3" s="556"/>
    </row>
    <row r="4" spans="1:40" s="566" customFormat="1" ht="20">
      <c r="A4" s="559" t="s">
        <v>1592</v>
      </c>
      <c r="B4" s="559"/>
      <c r="C4" s="560"/>
      <c r="D4" s="561"/>
      <c r="E4" s="561"/>
      <c r="F4" s="561"/>
      <c r="G4" s="561"/>
      <c r="H4" s="561"/>
      <c r="I4" s="561"/>
      <c r="J4" s="561"/>
      <c r="K4" s="562" t="s">
        <v>1593</v>
      </c>
      <c r="L4" s="563"/>
      <c r="M4" s="563"/>
      <c r="N4" s="564"/>
      <c r="O4" s="565"/>
      <c r="P4" s="565"/>
      <c r="Q4" s="565"/>
      <c r="R4" s="565"/>
      <c r="S4" s="565"/>
      <c r="T4" s="565"/>
      <c r="U4" s="565"/>
      <c r="V4" s="565"/>
    </row>
    <row r="5" spans="1:40" ht="6" customHeight="1" thickBot="1">
      <c r="A5" s="557"/>
      <c r="B5" s="557"/>
      <c r="C5" s="557"/>
      <c r="D5" s="557"/>
      <c r="E5" s="557"/>
      <c r="F5" s="557"/>
      <c r="G5" s="557"/>
      <c r="H5" s="557"/>
      <c r="I5" s="557"/>
      <c r="J5" s="557"/>
      <c r="K5" s="557"/>
      <c r="L5" s="557"/>
      <c r="M5" s="557"/>
      <c r="N5" s="558"/>
      <c r="O5" s="556"/>
      <c r="P5" s="556"/>
      <c r="Q5" s="556"/>
      <c r="R5" s="556"/>
      <c r="S5" s="556"/>
      <c r="T5" s="556"/>
      <c r="U5" s="556"/>
      <c r="V5" s="556"/>
    </row>
    <row r="6" spans="1:40" ht="12.75" customHeight="1">
      <c r="A6" s="567" t="s">
        <v>1594</v>
      </c>
      <c r="B6" s="568"/>
      <c r="C6" s="569"/>
      <c r="D6" s="570">
        <v>134020</v>
      </c>
      <c r="E6" s="571">
        <v>134021</v>
      </c>
      <c r="F6" s="571">
        <v>134031</v>
      </c>
      <c r="G6" s="571">
        <v>134039</v>
      </c>
      <c r="H6" s="571">
        <v>134030</v>
      </c>
      <c r="I6" s="572">
        <v>134060</v>
      </c>
      <c r="J6" s="573">
        <v>134010</v>
      </c>
      <c r="K6" s="574">
        <v>134011</v>
      </c>
      <c r="L6" s="575">
        <v>134040</v>
      </c>
      <c r="M6" s="575">
        <v>134041</v>
      </c>
      <c r="N6" s="576">
        <v>134050</v>
      </c>
      <c r="O6" s="577"/>
      <c r="P6" s="578"/>
      <c r="Q6" s="578"/>
      <c r="R6" s="578"/>
      <c r="S6" s="578"/>
      <c r="T6" s="578"/>
      <c r="U6" s="578"/>
      <c r="V6" s="556"/>
    </row>
    <row r="7" spans="1:40" ht="30" customHeight="1" thickBot="1">
      <c r="A7" s="579"/>
      <c r="B7" s="580"/>
      <c r="C7" s="581"/>
      <c r="D7" s="582" t="s">
        <v>1595</v>
      </c>
      <c r="E7" s="583" t="s">
        <v>1596</v>
      </c>
      <c r="F7" s="583" t="s">
        <v>1597</v>
      </c>
      <c r="G7" s="583" t="s">
        <v>1598</v>
      </c>
      <c r="H7" s="583" t="s">
        <v>1599</v>
      </c>
      <c r="I7" s="584" t="s">
        <v>1600</v>
      </c>
      <c r="J7" s="585" t="s">
        <v>1601</v>
      </c>
      <c r="K7" s="586" t="s">
        <v>1602</v>
      </c>
      <c r="L7" s="587" t="s">
        <v>1603</v>
      </c>
      <c r="M7" s="587" t="s">
        <v>1604</v>
      </c>
      <c r="N7" s="588" t="s">
        <v>1605</v>
      </c>
      <c r="O7" s="577"/>
      <c r="P7" s="589"/>
      <c r="Q7" s="589"/>
      <c r="R7" s="589"/>
      <c r="S7" s="589"/>
      <c r="T7" s="589"/>
      <c r="U7" s="590"/>
      <c r="V7" s="556"/>
    </row>
    <row r="8" spans="1:40" ht="18" customHeight="1" thickBot="1">
      <c r="A8" s="591" t="s">
        <v>1606</v>
      </c>
      <c r="B8" s="592"/>
      <c r="C8" s="593" t="s">
        <v>1607</v>
      </c>
      <c r="D8" s="594">
        <v>190</v>
      </c>
      <c r="E8" s="595">
        <v>190</v>
      </c>
      <c r="F8" s="594">
        <v>190</v>
      </c>
      <c r="G8" s="594">
        <v>190</v>
      </c>
      <c r="H8" s="594">
        <v>190</v>
      </c>
      <c r="I8" s="594">
        <v>190</v>
      </c>
      <c r="J8" s="594">
        <v>190</v>
      </c>
      <c r="K8" s="594">
        <v>190</v>
      </c>
      <c r="L8" s="594">
        <v>190</v>
      </c>
      <c r="M8" s="594">
        <v>190</v>
      </c>
      <c r="N8" s="596">
        <v>190</v>
      </c>
      <c r="O8" s="597"/>
      <c r="P8" s="598"/>
      <c r="Q8" s="598"/>
      <c r="R8" s="598"/>
      <c r="S8" s="598"/>
      <c r="T8" s="598"/>
      <c r="U8" s="598"/>
      <c r="V8" s="556"/>
    </row>
    <row r="9" spans="1:40" ht="15" customHeight="1" thickBot="1">
      <c r="A9" s="599" t="s">
        <v>1608</v>
      </c>
      <c r="B9" s="600"/>
      <c r="C9" s="601"/>
      <c r="D9" s="602">
        <v>61.62</v>
      </c>
      <c r="E9" s="602" t="s">
        <v>1609</v>
      </c>
      <c r="F9" s="602" t="s">
        <v>1610</v>
      </c>
      <c r="G9" s="602" t="s">
        <v>1610</v>
      </c>
      <c r="H9" s="602" t="s">
        <v>1610</v>
      </c>
      <c r="I9" s="602" t="s">
        <v>1609</v>
      </c>
      <c r="J9" s="602">
        <v>8.83</v>
      </c>
      <c r="K9" s="602" t="s">
        <v>1611</v>
      </c>
      <c r="L9" s="602">
        <v>6.57</v>
      </c>
      <c r="M9" s="602">
        <v>6.57</v>
      </c>
      <c r="N9" s="602">
        <v>6.57</v>
      </c>
      <c r="O9" s="603" t="s">
        <v>1612</v>
      </c>
      <c r="P9" s="602">
        <v>61.62</v>
      </c>
      <c r="Q9" s="602" t="s">
        <v>1609</v>
      </c>
      <c r="R9" s="602" t="s">
        <v>1610</v>
      </c>
      <c r="S9" s="602" t="s">
        <v>1610</v>
      </c>
      <c r="T9" s="602" t="s">
        <v>1610</v>
      </c>
      <c r="U9" s="602" t="s">
        <v>1609</v>
      </c>
      <c r="V9" s="602">
        <v>8.83</v>
      </c>
      <c r="W9" s="602" t="s">
        <v>1611</v>
      </c>
      <c r="X9" s="602">
        <v>6.57</v>
      </c>
      <c r="Y9" s="602">
        <v>6.57</v>
      </c>
      <c r="Z9" s="602">
        <v>6.57</v>
      </c>
    </row>
    <row r="10" spans="1:40" ht="18" customHeight="1">
      <c r="A10" s="604">
        <v>1</v>
      </c>
      <c r="B10" s="605" t="s">
        <v>1613</v>
      </c>
      <c r="C10" s="606" t="s">
        <v>1614</v>
      </c>
      <c r="D10" s="607">
        <v>184.85999999999999</v>
      </c>
      <c r="E10" s="607">
        <v>258.80399999999997</v>
      </c>
      <c r="F10" s="607">
        <v>123.8562</v>
      </c>
      <c r="G10" s="607">
        <v>123.8562</v>
      </c>
      <c r="H10" s="607">
        <v>123.8562</v>
      </c>
      <c r="I10" s="607">
        <v>258.80399999999997</v>
      </c>
      <c r="J10" s="607">
        <v>28.550599999999999</v>
      </c>
      <c r="K10" s="607">
        <v>54.246139999999997</v>
      </c>
      <c r="L10" s="607">
        <v>20.54</v>
      </c>
      <c r="M10" s="607">
        <v>20.54</v>
      </c>
      <c r="N10" s="607">
        <v>20.54</v>
      </c>
      <c r="O10" s="603" t="s">
        <v>1612</v>
      </c>
      <c r="P10" s="607">
        <f>180*1.027</f>
        <v>184.85999999999999</v>
      </c>
      <c r="Q10" s="607">
        <f>P10*1.4</f>
        <v>258.80399999999997</v>
      </c>
      <c r="R10" s="607">
        <f>P10*0.67</f>
        <v>123.8562</v>
      </c>
      <c r="S10" s="607">
        <f>P10*0.67</f>
        <v>123.8562</v>
      </c>
      <c r="T10" s="607">
        <f>P10*0.67</f>
        <v>123.8562</v>
      </c>
      <c r="U10" s="607">
        <f>P10*1.4</f>
        <v>258.80399999999997</v>
      </c>
      <c r="V10" s="607">
        <f>27.8*1.027</f>
        <v>28.550599999999999</v>
      </c>
      <c r="W10" s="607">
        <f>V10*1.9</f>
        <v>54.246139999999997</v>
      </c>
      <c r="X10" s="607">
        <f>20*1.027</f>
        <v>20.54</v>
      </c>
      <c r="Y10" s="607">
        <f>X10</f>
        <v>20.54</v>
      </c>
      <c r="Z10" s="607">
        <f>X10</f>
        <v>20.54</v>
      </c>
      <c r="AA10" s="608"/>
      <c r="AB10" s="608"/>
      <c r="AC10" s="608"/>
      <c r="AD10" s="608"/>
      <c r="AE10" s="608"/>
      <c r="AF10" s="608"/>
      <c r="AG10" s="608"/>
      <c r="AH10" s="608"/>
      <c r="AI10" s="608"/>
      <c r="AJ10" s="608"/>
      <c r="AK10" s="608"/>
      <c r="AL10" s="608"/>
      <c r="AM10" s="608"/>
      <c r="AN10" s="608"/>
    </row>
    <row r="11" spans="1:40" ht="18" customHeight="1">
      <c r="A11" s="609">
        <v>2</v>
      </c>
      <c r="B11" s="610" t="s">
        <v>1615</v>
      </c>
      <c r="C11" s="611" t="s">
        <v>1614</v>
      </c>
      <c r="D11" s="607">
        <v>246.48</v>
      </c>
      <c r="E11" s="607">
        <v>345.07199999999995</v>
      </c>
      <c r="F11" s="607">
        <v>165.14160000000001</v>
      </c>
      <c r="G11" s="607">
        <v>165.14160000000001</v>
      </c>
      <c r="H11" s="607">
        <v>165.14160000000001</v>
      </c>
      <c r="I11" s="607">
        <v>345.07199999999995</v>
      </c>
      <c r="J11" s="612">
        <v>37.380600000000001</v>
      </c>
      <c r="K11" s="607">
        <v>71.023139999999998</v>
      </c>
      <c r="L11" s="613">
        <v>27.11</v>
      </c>
      <c r="M11" s="607">
        <v>27.11</v>
      </c>
      <c r="N11" s="607">
        <v>27.11</v>
      </c>
      <c r="O11" s="603" t="s">
        <v>1616</v>
      </c>
      <c r="P11" s="607">
        <f>P10+61.62</f>
        <v>246.48</v>
      </c>
      <c r="Q11" s="607">
        <f t="shared" ref="Q11:Q27" si="0">P11*1.4</f>
        <v>345.07199999999995</v>
      </c>
      <c r="R11" s="607">
        <f t="shared" ref="R11:R27" si="1">P11*0.67</f>
        <v>165.14160000000001</v>
      </c>
      <c r="S11" s="607">
        <f t="shared" ref="S11:S27" si="2">P11*0.67</f>
        <v>165.14160000000001</v>
      </c>
      <c r="T11" s="607">
        <f t="shared" ref="T11:T27" si="3">P11*0.67</f>
        <v>165.14160000000001</v>
      </c>
      <c r="U11" s="607">
        <f t="shared" ref="U11:U27" si="4">P11*1.4</f>
        <v>345.07199999999995</v>
      </c>
      <c r="V11" s="612">
        <f>V10+8.83</f>
        <v>37.380600000000001</v>
      </c>
      <c r="W11" s="607">
        <f t="shared" ref="W11:W27" si="5">V11*1.9</f>
        <v>71.023139999999998</v>
      </c>
      <c r="X11" s="613">
        <f>X10+6.57</f>
        <v>27.11</v>
      </c>
      <c r="Y11" s="607">
        <f t="shared" ref="Y11:Y27" si="6">X11</f>
        <v>27.11</v>
      </c>
      <c r="Z11" s="607">
        <f t="shared" ref="Z11:Z27" si="7">X11</f>
        <v>27.11</v>
      </c>
      <c r="AA11" s="608"/>
      <c r="AB11" s="608"/>
      <c r="AC11" s="608"/>
      <c r="AD11" s="608"/>
      <c r="AE11" s="608"/>
      <c r="AF11" s="608"/>
      <c r="AG11" s="608"/>
      <c r="AH11" s="608"/>
      <c r="AI11" s="608"/>
      <c r="AJ11" s="608"/>
      <c r="AK11" s="608"/>
      <c r="AL11" s="608"/>
      <c r="AM11" s="608"/>
      <c r="AN11" s="608"/>
    </row>
    <row r="12" spans="1:40" ht="18" customHeight="1">
      <c r="A12" s="609">
        <v>3</v>
      </c>
      <c r="B12" s="610" t="s">
        <v>1617</v>
      </c>
      <c r="C12" s="611" t="s">
        <v>1614</v>
      </c>
      <c r="D12" s="607">
        <v>308.09999999999997</v>
      </c>
      <c r="E12" s="607">
        <v>431.33999999999992</v>
      </c>
      <c r="F12" s="607">
        <v>206.42699999999999</v>
      </c>
      <c r="G12" s="607">
        <v>206.42699999999999</v>
      </c>
      <c r="H12" s="607">
        <v>206.42699999999999</v>
      </c>
      <c r="I12" s="607">
        <v>431.33999999999992</v>
      </c>
      <c r="J12" s="612">
        <v>46.210599999999999</v>
      </c>
      <c r="K12" s="607">
        <v>87.800139999999999</v>
      </c>
      <c r="L12" s="613">
        <v>33.68</v>
      </c>
      <c r="M12" s="607">
        <v>33.68</v>
      </c>
      <c r="N12" s="607">
        <v>33.68</v>
      </c>
      <c r="O12" s="614" t="s">
        <v>1618</v>
      </c>
      <c r="P12" s="607">
        <f t="shared" ref="P12:P27" si="8">P11+61.62</f>
        <v>308.09999999999997</v>
      </c>
      <c r="Q12" s="607">
        <f t="shared" si="0"/>
        <v>431.33999999999992</v>
      </c>
      <c r="R12" s="607">
        <f t="shared" si="1"/>
        <v>206.42699999999999</v>
      </c>
      <c r="S12" s="607">
        <f t="shared" si="2"/>
        <v>206.42699999999999</v>
      </c>
      <c r="T12" s="607">
        <f t="shared" si="3"/>
        <v>206.42699999999999</v>
      </c>
      <c r="U12" s="607">
        <f t="shared" si="4"/>
        <v>431.33999999999992</v>
      </c>
      <c r="V12" s="612">
        <f t="shared" ref="V12:V27" si="9">V11+8.83</f>
        <v>46.210599999999999</v>
      </c>
      <c r="W12" s="607">
        <f t="shared" si="5"/>
        <v>87.800139999999999</v>
      </c>
      <c r="X12" s="613">
        <f t="shared" ref="X12:X27" si="10">X11+6.57</f>
        <v>33.68</v>
      </c>
      <c r="Y12" s="607">
        <f t="shared" si="6"/>
        <v>33.68</v>
      </c>
      <c r="Z12" s="607">
        <f t="shared" si="7"/>
        <v>33.68</v>
      </c>
      <c r="AA12" s="608"/>
      <c r="AB12" s="608"/>
      <c r="AC12" s="608"/>
      <c r="AD12" s="608"/>
      <c r="AE12" s="608"/>
      <c r="AF12" s="608"/>
      <c r="AG12" s="608"/>
      <c r="AH12" s="608"/>
      <c r="AI12" s="608"/>
      <c r="AJ12" s="608"/>
      <c r="AK12" s="608"/>
      <c r="AL12" s="608"/>
      <c r="AM12" s="608"/>
      <c r="AN12" s="608"/>
    </row>
    <row r="13" spans="1:40" ht="18" customHeight="1">
      <c r="A13" s="609">
        <v>4</v>
      </c>
      <c r="B13" s="610" t="s">
        <v>1619</v>
      </c>
      <c r="C13" s="611" t="s">
        <v>1614</v>
      </c>
      <c r="D13" s="607">
        <v>369.71999999999997</v>
      </c>
      <c r="E13" s="607">
        <v>517.60799999999995</v>
      </c>
      <c r="F13" s="607">
        <v>247.7124</v>
      </c>
      <c r="G13" s="607">
        <v>247.7124</v>
      </c>
      <c r="H13" s="607">
        <v>247.7124</v>
      </c>
      <c r="I13" s="607">
        <v>517.60799999999995</v>
      </c>
      <c r="J13" s="612">
        <v>55.040599999999998</v>
      </c>
      <c r="K13" s="607">
        <v>104.57713999999999</v>
      </c>
      <c r="L13" s="613">
        <v>40.25</v>
      </c>
      <c r="M13" s="607">
        <v>40.25</v>
      </c>
      <c r="N13" s="607">
        <v>40.25</v>
      </c>
      <c r="O13" s="614"/>
      <c r="P13" s="607">
        <f t="shared" si="8"/>
        <v>369.71999999999997</v>
      </c>
      <c r="Q13" s="607">
        <f t="shared" si="0"/>
        <v>517.60799999999995</v>
      </c>
      <c r="R13" s="607">
        <f t="shared" si="1"/>
        <v>247.7124</v>
      </c>
      <c r="S13" s="607">
        <f t="shared" si="2"/>
        <v>247.7124</v>
      </c>
      <c r="T13" s="607">
        <f t="shared" si="3"/>
        <v>247.7124</v>
      </c>
      <c r="U13" s="607">
        <f t="shared" si="4"/>
        <v>517.60799999999995</v>
      </c>
      <c r="V13" s="612">
        <f t="shared" si="9"/>
        <v>55.040599999999998</v>
      </c>
      <c r="W13" s="607">
        <f t="shared" si="5"/>
        <v>104.57713999999999</v>
      </c>
      <c r="X13" s="613">
        <f t="shared" si="10"/>
        <v>40.25</v>
      </c>
      <c r="Y13" s="607">
        <f t="shared" si="6"/>
        <v>40.25</v>
      </c>
      <c r="Z13" s="607">
        <f t="shared" si="7"/>
        <v>40.25</v>
      </c>
      <c r="AA13" s="608"/>
      <c r="AB13" s="608"/>
      <c r="AC13" s="608"/>
      <c r="AD13" s="608"/>
      <c r="AE13" s="608"/>
      <c r="AF13" s="608"/>
      <c r="AG13" s="608"/>
      <c r="AH13" s="608"/>
      <c r="AI13" s="608"/>
      <c r="AJ13" s="608"/>
      <c r="AK13" s="608"/>
      <c r="AL13" s="608"/>
      <c r="AM13" s="608"/>
      <c r="AN13" s="608"/>
    </row>
    <row r="14" spans="1:40" ht="18" customHeight="1">
      <c r="A14" s="609">
        <v>5</v>
      </c>
      <c r="B14" s="610" t="s">
        <v>1620</v>
      </c>
      <c r="C14" s="611" t="s">
        <v>1614</v>
      </c>
      <c r="D14" s="607">
        <v>431.34</v>
      </c>
      <c r="E14" s="607">
        <v>603.87599999999998</v>
      </c>
      <c r="F14" s="607">
        <v>288.99779999999998</v>
      </c>
      <c r="G14" s="607">
        <v>288.99779999999998</v>
      </c>
      <c r="H14" s="607">
        <v>288.99779999999998</v>
      </c>
      <c r="I14" s="607">
        <v>603.87599999999998</v>
      </c>
      <c r="J14" s="612">
        <v>63.870599999999996</v>
      </c>
      <c r="K14" s="607">
        <v>121.35413999999999</v>
      </c>
      <c r="L14" s="613">
        <v>46.82</v>
      </c>
      <c r="M14" s="607">
        <v>46.82</v>
      </c>
      <c r="N14" s="607">
        <v>46.82</v>
      </c>
      <c r="O14" s="614"/>
      <c r="P14" s="607">
        <f t="shared" si="8"/>
        <v>431.34</v>
      </c>
      <c r="Q14" s="607">
        <f t="shared" si="0"/>
        <v>603.87599999999998</v>
      </c>
      <c r="R14" s="607">
        <f t="shared" si="1"/>
        <v>288.99779999999998</v>
      </c>
      <c r="S14" s="607">
        <f t="shared" si="2"/>
        <v>288.99779999999998</v>
      </c>
      <c r="T14" s="607">
        <f t="shared" si="3"/>
        <v>288.99779999999998</v>
      </c>
      <c r="U14" s="607">
        <f t="shared" si="4"/>
        <v>603.87599999999998</v>
      </c>
      <c r="V14" s="612">
        <f t="shared" si="9"/>
        <v>63.870599999999996</v>
      </c>
      <c r="W14" s="607">
        <f t="shared" si="5"/>
        <v>121.35413999999999</v>
      </c>
      <c r="X14" s="613">
        <f t="shared" si="10"/>
        <v>46.82</v>
      </c>
      <c r="Y14" s="607">
        <f t="shared" si="6"/>
        <v>46.82</v>
      </c>
      <c r="Z14" s="607">
        <f t="shared" si="7"/>
        <v>46.82</v>
      </c>
      <c r="AA14" s="608"/>
      <c r="AB14" s="608"/>
      <c r="AC14" s="608"/>
      <c r="AD14" s="608"/>
      <c r="AE14" s="608"/>
      <c r="AF14" s="608"/>
      <c r="AG14" s="608"/>
      <c r="AH14" s="608"/>
      <c r="AI14" s="608"/>
      <c r="AJ14" s="608"/>
      <c r="AK14" s="608"/>
      <c r="AL14" s="608"/>
      <c r="AM14" s="608"/>
      <c r="AN14" s="608"/>
    </row>
    <row r="15" spans="1:40" ht="18" customHeight="1">
      <c r="A15" s="609">
        <v>6</v>
      </c>
      <c r="B15" s="610" t="s">
        <v>1621</v>
      </c>
      <c r="C15" s="611" t="s">
        <v>1614</v>
      </c>
      <c r="D15" s="607">
        <v>492.96</v>
      </c>
      <c r="E15" s="607">
        <v>690.14399999999989</v>
      </c>
      <c r="F15" s="607">
        <v>330.28320000000002</v>
      </c>
      <c r="G15" s="607">
        <v>330.28320000000002</v>
      </c>
      <c r="H15" s="607">
        <v>330.28320000000002</v>
      </c>
      <c r="I15" s="607">
        <v>690.14399999999989</v>
      </c>
      <c r="J15" s="612">
        <v>72.700599999999994</v>
      </c>
      <c r="K15" s="607">
        <v>138.13113999999999</v>
      </c>
      <c r="L15" s="613">
        <v>53.39</v>
      </c>
      <c r="M15" s="607">
        <v>53.39</v>
      </c>
      <c r="N15" s="607">
        <v>53.39</v>
      </c>
      <c r="O15" s="614"/>
      <c r="P15" s="607">
        <f t="shared" si="8"/>
        <v>492.96</v>
      </c>
      <c r="Q15" s="607">
        <f t="shared" si="0"/>
        <v>690.14399999999989</v>
      </c>
      <c r="R15" s="607">
        <f t="shared" si="1"/>
        <v>330.28320000000002</v>
      </c>
      <c r="S15" s="607">
        <f t="shared" si="2"/>
        <v>330.28320000000002</v>
      </c>
      <c r="T15" s="607">
        <f t="shared" si="3"/>
        <v>330.28320000000002</v>
      </c>
      <c r="U15" s="607">
        <f t="shared" si="4"/>
        <v>690.14399999999989</v>
      </c>
      <c r="V15" s="612">
        <f t="shared" si="9"/>
        <v>72.700599999999994</v>
      </c>
      <c r="W15" s="607">
        <f t="shared" si="5"/>
        <v>138.13113999999999</v>
      </c>
      <c r="X15" s="613">
        <f t="shared" si="10"/>
        <v>53.39</v>
      </c>
      <c r="Y15" s="607">
        <f t="shared" si="6"/>
        <v>53.39</v>
      </c>
      <c r="Z15" s="607">
        <f t="shared" si="7"/>
        <v>53.39</v>
      </c>
      <c r="AA15" s="608"/>
      <c r="AB15" s="608"/>
      <c r="AC15" s="608"/>
      <c r="AD15" s="608"/>
      <c r="AE15" s="608"/>
      <c r="AF15" s="608"/>
      <c r="AG15" s="608"/>
      <c r="AH15" s="608"/>
      <c r="AI15" s="608"/>
      <c r="AJ15" s="608"/>
      <c r="AK15" s="608"/>
      <c r="AL15" s="608"/>
      <c r="AM15" s="608"/>
      <c r="AN15" s="608"/>
    </row>
    <row r="16" spans="1:40" ht="18" customHeight="1">
      <c r="A16" s="609">
        <v>7</v>
      </c>
      <c r="B16" s="610" t="s">
        <v>1622</v>
      </c>
      <c r="C16" s="611" t="s">
        <v>1614</v>
      </c>
      <c r="D16" s="607">
        <v>554.57999999999993</v>
      </c>
      <c r="E16" s="607">
        <v>776.41199999999981</v>
      </c>
      <c r="F16" s="607">
        <v>371.56859999999995</v>
      </c>
      <c r="G16" s="607">
        <v>371.56859999999995</v>
      </c>
      <c r="H16" s="607">
        <v>371.56859999999995</v>
      </c>
      <c r="I16" s="607">
        <v>776.41199999999981</v>
      </c>
      <c r="J16" s="612">
        <v>81.530599999999993</v>
      </c>
      <c r="K16" s="607">
        <v>154.90813999999997</v>
      </c>
      <c r="L16" s="613">
        <v>59.96</v>
      </c>
      <c r="M16" s="607">
        <v>59.96</v>
      </c>
      <c r="N16" s="607">
        <v>59.96</v>
      </c>
      <c r="O16" s="614"/>
      <c r="P16" s="607">
        <f t="shared" si="8"/>
        <v>554.57999999999993</v>
      </c>
      <c r="Q16" s="607">
        <f t="shared" si="0"/>
        <v>776.41199999999981</v>
      </c>
      <c r="R16" s="607">
        <f t="shared" si="1"/>
        <v>371.56859999999995</v>
      </c>
      <c r="S16" s="607">
        <f t="shared" si="2"/>
        <v>371.56859999999995</v>
      </c>
      <c r="T16" s="607">
        <f t="shared" si="3"/>
        <v>371.56859999999995</v>
      </c>
      <c r="U16" s="607">
        <f t="shared" si="4"/>
        <v>776.41199999999981</v>
      </c>
      <c r="V16" s="612">
        <f t="shared" si="9"/>
        <v>81.530599999999993</v>
      </c>
      <c r="W16" s="607">
        <f t="shared" si="5"/>
        <v>154.90813999999997</v>
      </c>
      <c r="X16" s="613">
        <f t="shared" si="10"/>
        <v>59.96</v>
      </c>
      <c r="Y16" s="607">
        <f t="shared" si="6"/>
        <v>59.96</v>
      </c>
      <c r="Z16" s="607">
        <f t="shared" si="7"/>
        <v>59.96</v>
      </c>
      <c r="AA16" s="608"/>
      <c r="AB16" s="608"/>
      <c r="AC16" s="608"/>
      <c r="AD16" s="608"/>
      <c r="AE16" s="608"/>
      <c r="AF16" s="608"/>
      <c r="AG16" s="608"/>
      <c r="AH16" s="608"/>
      <c r="AI16" s="608"/>
      <c r="AJ16" s="608"/>
      <c r="AK16" s="608"/>
      <c r="AL16" s="608"/>
      <c r="AM16" s="608"/>
      <c r="AN16" s="608"/>
    </row>
    <row r="17" spans="1:40" ht="18" customHeight="1">
      <c r="A17" s="609">
        <v>8</v>
      </c>
      <c r="B17" s="610" t="s">
        <v>1623</v>
      </c>
      <c r="C17" s="611" t="s">
        <v>1614</v>
      </c>
      <c r="D17" s="607">
        <v>616.19999999999993</v>
      </c>
      <c r="E17" s="607">
        <v>862.67999999999984</v>
      </c>
      <c r="F17" s="607">
        <v>412.85399999999998</v>
      </c>
      <c r="G17" s="607">
        <v>412.85399999999998</v>
      </c>
      <c r="H17" s="607">
        <v>412.85399999999998</v>
      </c>
      <c r="I17" s="607">
        <v>862.67999999999984</v>
      </c>
      <c r="J17" s="612">
        <v>90.360599999999991</v>
      </c>
      <c r="K17" s="607">
        <v>171.68513999999996</v>
      </c>
      <c r="L17" s="613">
        <v>66.53</v>
      </c>
      <c r="M17" s="607">
        <v>66.53</v>
      </c>
      <c r="N17" s="607">
        <v>66.53</v>
      </c>
      <c r="O17" s="614"/>
      <c r="P17" s="607">
        <f t="shared" si="8"/>
        <v>616.19999999999993</v>
      </c>
      <c r="Q17" s="607">
        <f t="shared" si="0"/>
        <v>862.67999999999984</v>
      </c>
      <c r="R17" s="607">
        <f t="shared" si="1"/>
        <v>412.85399999999998</v>
      </c>
      <c r="S17" s="607">
        <f t="shared" si="2"/>
        <v>412.85399999999998</v>
      </c>
      <c r="T17" s="607">
        <f t="shared" si="3"/>
        <v>412.85399999999998</v>
      </c>
      <c r="U17" s="607">
        <f t="shared" si="4"/>
        <v>862.67999999999984</v>
      </c>
      <c r="V17" s="612">
        <f t="shared" si="9"/>
        <v>90.360599999999991</v>
      </c>
      <c r="W17" s="607">
        <f t="shared" si="5"/>
        <v>171.68513999999996</v>
      </c>
      <c r="X17" s="613">
        <f t="shared" si="10"/>
        <v>66.53</v>
      </c>
      <c r="Y17" s="607">
        <f t="shared" si="6"/>
        <v>66.53</v>
      </c>
      <c r="Z17" s="607">
        <f t="shared" si="7"/>
        <v>66.53</v>
      </c>
      <c r="AA17" s="608"/>
      <c r="AB17" s="608"/>
      <c r="AC17" s="608"/>
      <c r="AD17" s="608"/>
      <c r="AE17" s="608"/>
      <c r="AF17" s="608"/>
      <c r="AG17" s="608"/>
      <c r="AH17" s="608"/>
      <c r="AI17" s="608"/>
      <c r="AJ17" s="608"/>
      <c r="AK17" s="608"/>
      <c r="AL17" s="608"/>
      <c r="AM17" s="608"/>
      <c r="AN17" s="608"/>
    </row>
    <row r="18" spans="1:40" ht="18" customHeight="1">
      <c r="A18" s="609">
        <v>9</v>
      </c>
      <c r="B18" s="610" t="s">
        <v>1624</v>
      </c>
      <c r="C18" s="611" t="s">
        <v>1614</v>
      </c>
      <c r="D18" s="607">
        <v>677.81999999999994</v>
      </c>
      <c r="E18" s="607">
        <v>948.94799999999987</v>
      </c>
      <c r="F18" s="607">
        <v>454.13939999999997</v>
      </c>
      <c r="G18" s="607">
        <v>454.13939999999997</v>
      </c>
      <c r="H18" s="607">
        <v>454.13939999999997</v>
      </c>
      <c r="I18" s="607">
        <v>948.94799999999987</v>
      </c>
      <c r="J18" s="612">
        <v>99.190599999999989</v>
      </c>
      <c r="K18" s="607">
        <v>188.46213999999998</v>
      </c>
      <c r="L18" s="613">
        <v>73.099999999999994</v>
      </c>
      <c r="M18" s="607">
        <v>73.099999999999994</v>
      </c>
      <c r="N18" s="607">
        <v>73.099999999999994</v>
      </c>
      <c r="O18" s="614"/>
      <c r="P18" s="607">
        <f t="shared" si="8"/>
        <v>677.81999999999994</v>
      </c>
      <c r="Q18" s="607">
        <f t="shared" si="0"/>
        <v>948.94799999999987</v>
      </c>
      <c r="R18" s="607">
        <f t="shared" si="1"/>
        <v>454.13939999999997</v>
      </c>
      <c r="S18" s="607">
        <f t="shared" si="2"/>
        <v>454.13939999999997</v>
      </c>
      <c r="T18" s="607">
        <f t="shared" si="3"/>
        <v>454.13939999999997</v>
      </c>
      <c r="U18" s="607">
        <f t="shared" si="4"/>
        <v>948.94799999999987</v>
      </c>
      <c r="V18" s="612">
        <f t="shared" si="9"/>
        <v>99.190599999999989</v>
      </c>
      <c r="W18" s="607">
        <f t="shared" si="5"/>
        <v>188.46213999999998</v>
      </c>
      <c r="X18" s="613">
        <f t="shared" si="10"/>
        <v>73.099999999999994</v>
      </c>
      <c r="Y18" s="607">
        <f t="shared" si="6"/>
        <v>73.099999999999994</v>
      </c>
      <c r="Z18" s="607">
        <f t="shared" si="7"/>
        <v>73.099999999999994</v>
      </c>
      <c r="AA18" s="608"/>
      <c r="AB18" s="608"/>
      <c r="AC18" s="608"/>
      <c r="AD18" s="608"/>
      <c r="AE18" s="608"/>
      <c r="AF18" s="608"/>
      <c r="AG18" s="608"/>
      <c r="AH18" s="608"/>
      <c r="AI18" s="608"/>
      <c r="AJ18" s="608"/>
      <c r="AK18" s="608"/>
      <c r="AL18" s="608"/>
      <c r="AM18" s="608"/>
      <c r="AN18" s="608"/>
    </row>
    <row r="19" spans="1:40" ht="18" customHeight="1">
      <c r="A19" s="609">
        <v>10</v>
      </c>
      <c r="B19" s="610" t="s">
        <v>1625</v>
      </c>
      <c r="C19" s="611" t="s">
        <v>1614</v>
      </c>
      <c r="D19" s="607">
        <v>739.43999999999994</v>
      </c>
      <c r="E19" s="607">
        <v>1035.2159999999999</v>
      </c>
      <c r="F19" s="607">
        <v>495.4248</v>
      </c>
      <c r="G19" s="607">
        <v>495.4248</v>
      </c>
      <c r="H19" s="607">
        <v>495.4248</v>
      </c>
      <c r="I19" s="607">
        <v>1035.2159999999999</v>
      </c>
      <c r="J19" s="612">
        <v>108.02059999999999</v>
      </c>
      <c r="K19" s="607">
        <v>205.23913999999996</v>
      </c>
      <c r="L19" s="613">
        <v>79.669999999999987</v>
      </c>
      <c r="M19" s="607">
        <v>79.669999999999987</v>
      </c>
      <c r="N19" s="607">
        <v>79.669999999999987</v>
      </c>
      <c r="O19" s="614"/>
      <c r="P19" s="607">
        <f t="shared" si="8"/>
        <v>739.43999999999994</v>
      </c>
      <c r="Q19" s="607">
        <f t="shared" si="0"/>
        <v>1035.2159999999999</v>
      </c>
      <c r="R19" s="607">
        <f t="shared" si="1"/>
        <v>495.4248</v>
      </c>
      <c r="S19" s="607">
        <f t="shared" si="2"/>
        <v>495.4248</v>
      </c>
      <c r="T19" s="607">
        <f t="shared" si="3"/>
        <v>495.4248</v>
      </c>
      <c r="U19" s="607">
        <f t="shared" si="4"/>
        <v>1035.2159999999999</v>
      </c>
      <c r="V19" s="612">
        <f t="shared" si="9"/>
        <v>108.02059999999999</v>
      </c>
      <c r="W19" s="607">
        <f t="shared" si="5"/>
        <v>205.23913999999996</v>
      </c>
      <c r="X19" s="613">
        <f t="shared" si="10"/>
        <v>79.669999999999987</v>
      </c>
      <c r="Y19" s="607">
        <f t="shared" si="6"/>
        <v>79.669999999999987</v>
      </c>
      <c r="Z19" s="607">
        <f t="shared" si="7"/>
        <v>79.669999999999987</v>
      </c>
      <c r="AA19" s="608"/>
      <c r="AB19" s="608"/>
      <c r="AC19" s="608"/>
      <c r="AD19" s="608"/>
      <c r="AE19" s="608"/>
      <c r="AF19" s="608"/>
      <c r="AG19" s="608"/>
      <c r="AH19" s="608"/>
      <c r="AI19" s="608"/>
      <c r="AJ19" s="608"/>
      <c r="AK19" s="608"/>
      <c r="AL19" s="608"/>
      <c r="AM19" s="608"/>
      <c r="AN19" s="608"/>
    </row>
    <row r="20" spans="1:40" ht="18" customHeight="1">
      <c r="A20" s="609">
        <v>11</v>
      </c>
      <c r="B20" s="610" t="s">
        <v>1626</v>
      </c>
      <c r="C20" s="611" t="s">
        <v>1614</v>
      </c>
      <c r="D20" s="607">
        <v>801.06</v>
      </c>
      <c r="E20" s="607">
        <v>1121.4839999999999</v>
      </c>
      <c r="F20" s="607">
        <v>536.71019999999999</v>
      </c>
      <c r="G20" s="607">
        <v>536.71019999999999</v>
      </c>
      <c r="H20" s="607">
        <v>536.71019999999999</v>
      </c>
      <c r="I20" s="607">
        <v>1121.4839999999999</v>
      </c>
      <c r="J20" s="612">
        <v>116.85059999999999</v>
      </c>
      <c r="K20" s="607">
        <v>222.01613999999995</v>
      </c>
      <c r="L20" s="613">
        <v>86.239999999999981</v>
      </c>
      <c r="M20" s="607">
        <v>86.239999999999981</v>
      </c>
      <c r="N20" s="607">
        <v>86.239999999999981</v>
      </c>
      <c r="O20" s="614"/>
      <c r="P20" s="607">
        <f t="shared" si="8"/>
        <v>801.06</v>
      </c>
      <c r="Q20" s="607">
        <f t="shared" si="0"/>
        <v>1121.4839999999999</v>
      </c>
      <c r="R20" s="607">
        <f t="shared" si="1"/>
        <v>536.71019999999999</v>
      </c>
      <c r="S20" s="607">
        <f t="shared" si="2"/>
        <v>536.71019999999999</v>
      </c>
      <c r="T20" s="607">
        <f t="shared" si="3"/>
        <v>536.71019999999999</v>
      </c>
      <c r="U20" s="607">
        <f t="shared" si="4"/>
        <v>1121.4839999999999</v>
      </c>
      <c r="V20" s="612">
        <f t="shared" si="9"/>
        <v>116.85059999999999</v>
      </c>
      <c r="W20" s="607">
        <f t="shared" si="5"/>
        <v>222.01613999999995</v>
      </c>
      <c r="X20" s="613">
        <f t="shared" si="10"/>
        <v>86.239999999999981</v>
      </c>
      <c r="Y20" s="607">
        <f t="shared" si="6"/>
        <v>86.239999999999981</v>
      </c>
      <c r="Z20" s="607">
        <f t="shared" si="7"/>
        <v>86.239999999999981</v>
      </c>
      <c r="AA20" s="608"/>
      <c r="AB20" s="608"/>
      <c r="AC20" s="608"/>
      <c r="AD20" s="608"/>
      <c r="AE20" s="608"/>
      <c r="AF20" s="608"/>
      <c r="AG20" s="608"/>
      <c r="AH20" s="608"/>
      <c r="AI20" s="608"/>
      <c r="AJ20" s="608"/>
      <c r="AK20" s="608"/>
      <c r="AL20" s="608"/>
      <c r="AM20" s="608"/>
      <c r="AN20" s="608"/>
    </row>
    <row r="21" spans="1:40" ht="18" customHeight="1">
      <c r="A21" s="609">
        <v>12</v>
      </c>
      <c r="B21" s="610" t="s">
        <v>1627</v>
      </c>
      <c r="C21" s="611" t="s">
        <v>1614</v>
      </c>
      <c r="D21" s="607">
        <v>862.68</v>
      </c>
      <c r="E21" s="607">
        <v>1207.752</v>
      </c>
      <c r="F21" s="607">
        <v>577.99559999999997</v>
      </c>
      <c r="G21" s="607">
        <v>577.99559999999997</v>
      </c>
      <c r="H21" s="607">
        <v>577.99559999999997</v>
      </c>
      <c r="I21" s="607">
        <v>1207.752</v>
      </c>
      <c r="J21" s="612">
        <v>125.68059999999998</v>
      </c>
      <c r="K21" s="607">
        <v>238.79313999999997</v>
      </c>
      <c r="L21" s="613">
        <v>92.809999999999974</v>
      </c>
      <c r="M21" s="607">
        <v>92.809999999999974</v>
      </c>
      <c r="N21" s="607">
        <v>92.809999999999974</v>
      </c>
      <c r="O21" s="614"/>
      <c r="P21" s="607">
        <f t="shared" si="8"/>
        <v>862.68</v>
      </c>
      <c r="Q21" s="607">
        <f t="shared" si="0"/>
        <v>1207.752</v>
      </c>
      <c r="R21" s="607">
        <f t="shared" si="1"/>
        <v>577.99559999999997</v>
      </c>
      <c r="S21" s="607">
        <f t="shared" si="2"/>
        <v>577.99559999999997</v>
      </c>
      <c r="T21" s="607">
        <f t="shared" si="3"/>
        <v>577.99559999999997</v>
      </c>
      <c r="U21" s="607">
        <f t="shared" si="4"/>
        <v>1207.752</v>
      </c>
      <c r="V21" s="612">
        <f t="shared" si="9"/>
        <v>125.68059999999998</v>
      </c>
      <c r="W21" s="607">
        <f t="shared" si="5"/>
        <v>238.79313999999997</v>
      </c>
      <c r="X21" s="613">
        <f t="shared" si="10"/>
        <v>92.809999999999974</v>
      </c>
      <c r="Y21" s="607">
        <f t="shared" si="6"/>
        <v>92.809999999999974</v>
      </c>
      <c r="Z21" s="607">
        <f t="shared" si="7"/>
        <v>92.809999999999974</v>
      </c>
      <c r="AA21" s="608"/>
      <c r="AB21" s="608"/>
      <c r="AC21" s="608"/>
      <c r="AD21" s="608"/>
      <c r="AE21" s="608"/>
      <c r="AF21" s="608"/>
      <c r="AG21" s="608"/>
      <c r="AH21" s="608"/>
      <c r="AI21" s="608"/>
      <c r="AJ21" s="608"/>
      <c r="AK21" s="608"/>
      <c r="AL21" s="608"/>
      <c r="AM21" s="608"/>
      <c r="AN21" s="608"/>
    </row>
    <row r="22" spans="1:40" ht="18" customHeight="1">
      <c r="A22" s="609">
        <v>13</v>
      </c>
      <c r="B22" s="610" t="s">
        <v>1628</v>
      </c>
      <c r="C22" s="611" t="s">
        <v>1614</v>
      </c>
      <c r="D22" s="607">
        <v>924.3</v>
      </c>
      <c r="E22" s="607">
        <v>1294.0199999999998</v>
      </c>
      <c r="F22" s="607">
        <v>619.28100000000006</v>
      </c>
      <c r="G22" s="607">
        <v>619.28100000000006</v>
      </c>
      <c r="H22" s="607">
        <v>619.28100000000006</v>
      </c>
      <c r="I22" s="607">
        <v>1294.0199999999998</v>
      </c>
      <c r="J22" s="612">
        <v>134.51059999999998</v>
      </c>
      <c r="K22" s="607">
        <v>255.57013999999995</v>
      </c>
      <c r="L22" s="613">
        <v>99.379999999999967</v>
      </c>
      <c r="M22" s="607">
        <v>99.379999999999967</v>
      </c>
      <c r="N22" s="607">
        <v>99.379999999999967</v>
      </c>
      <c r="O22" s="614"/>
      <c r="P22" s="607">
        <f t="shared" si="8"/>
        <v>924.3</v>
      </c>
      <c r="Q22" s="607">
        <f t="shared" si="0"/>
        <v>1294.0199999999998</v>
      </c>
      <c r="R22" s="607">
        <f t="shared" si="1"/>
        <v>619.28100000000006</v>
      </c>
      <c r="S22" s="607">
        <f t="shared" si="2"/>
        <v>619.28100000000006</v>
      </c>
      <c r="T22" s="607">
        <f t="shared" si="3"/>
        <v>619.28100000000006</v>
      </c>
      <c r="U22" s="607">
        <f t="shared" si="4"/>
        <v>1294.0199999999998</v>
      </c>
      <c r="V22" s="612">
        <f t="shared" si="9"/>
        <v>134.51059999999998</v>
      </c>
      <c r="W22" s="607">
        <f t="shared" si="5"/>
        <v>255.57013999999995</v>
      </c>
      <c r="X22" s="613">
        <f t="shared" si="10"/>
        <v>99.379999999999967</v>
      </c>
      <c r="Y22" s="607">
        <f t="shared" si="6"/>
        <v>99.379999999999967</v>
      </c>
      <c r="Z22" s="607">
        <f t="shared" si="7"/>
        <v>99.379999999999967</v>
      </c>
      <c r="AA22" s="608"/>
      <c r="AB22" s="608"/>
      <c r="AC22" s="608"/>
      <c r="AD22" s="608"/>
      <c r="AE22" s="608"/>
      <c r="AF22" s="608"/>
      <c r="AG22" s="608"/>
      <c r="AH22" s="608"/>
      <c r="AI22" s="608"/>
      <c r="AJ22" s="608"/>
      <c r="AK22" s="608"/>
      <c r="AL22" s="608"/>
      <c r="AM22" s="608"/>
      <c r="AN22" s="608"/>
    </row>
    <row r="23" spans="1:40" ht="18" customHeight="1">
      <c r="A23" s="609">
        <v>14</v>
      </c>
      <c r="B23" s="610" t="s">
        <v>1629</v>
      </c>
      <c r="C23" s="611" t="s">
        <v>1614</v>
      </c>
      <c r="D23" s="607">
        <v>985.92</v>
      </c>
      <c r="E23" s="607">
        <v>1380.2879999999998</v>
      </c>
      <c r="F23" s="607">
        <v>660.56640000000004</v>
      </c>
      <c r="G23" s="607">
        <v>660.56640000000004</v>
      </c>
      <c r="H23" s="607">
        <v>660.56640000000004</v>
      </c>
      <c r="I23" s="607">
        <v>1380.2879999999998</v>
      </c>
      <c r="J23" s="612">
        <v>143.34059999999999</v>
      </c>
      <c r="K23" s="607">
        <v>272.34713999999997</v>
      </c>
      <c r="L23" s="613">
        <v>105.94999999999996</v>
      </c>
      <c r="M23" s="607">
        <v>105.94999999999996</v>
      </c>
      <c r="N23" s="607">
        <v>105.94999999999996</v>
      </c>
      <c r="O23" s="614"/>
      <c r="P23" s="607">
        <f t="shared" si="8"/>
        <v>985.92</v>
      </c>
      <c r="Q23" s="607">
        <f t="shared" si="0"/>
        <v>1380.2879999999998</v>
      </c>
      <c r="R23" s="607">
        <f t="shared" si="1"/>
        <v>660.56640000000004</v>
      </c>
      <c r="S23" s="607">
        <f t="shared" si="2"/>
        <v>660.56640000000004</v>
      </c>
      <c r="T23" s="607">
        <f t="shared" si="3"/>
        <v>660.56640000000004</v>
      </c>
      <c r="U23" s="607">
        <f t="shared" si="4"/>
        <v>1380.2879999999998</v>
      </c>
      <c r="V23" s="612">
        <f t="shared" si="9"/>
        <v>143.34059999999999</v>
      </c>
      <c r="W23" s="607">
        <f t="shared" si="5"/>
        <v>272.34713999999997</v>
      </c>
      <c r="X23" s="613">
        <f t="shared" si="10"/>
        <v>105.94999999999996</v>
      </c>
      <c r="Y23" s="607">
        <f t="shared" si="6"/>
        <v>105.94999999999996</v>
      </c>
      <c r="Z23" s="607">
        <f t="shared" si="7"/>
        <v>105.94999999999996</v>
      </c>
      <c r="AA23" s="608"/>
      <c r="AB23" s="608"/>
      <c r="AC23" s="608"/>
      <c r="AD23" s="608"/>
      <c r="AE23" s="608"/>
      <c r="AF23" s="608"/>
      <c r="AG23" s="608"/>
      <c r="AH23" s="608"/>
      <c r="AI23" s="608"/>
      <c r="AJ23" s="608"/>
      <c r="AK23" s="608"/>
      <c r="AL23" s="608"/>
      <c r="AM23" s="608"/>
      <c r="AN23" s="608"/>
    </row>
    <row r="24" spans="1:40" ht="18" customHeight="1">
      <c r="A24" s="609">
        <v>15</v>
      </c>
      <c r="B24" s="610" t="s">
        <v>1630</v>
      </c>
      <c r="C24" s="611" t="s">
        <v>1614</v>
      </c>
      <c r="D24" s="607">
        <v>1047.54</v>
      </c>
      <c r="E24" s="607">
        <v>1466.5559999999998</v>
      </c>
      <c r="F24" s="607">
        <v>701.85180000000003</v>
      </c>
      <c r="G24" s="607">
        <v>701.85180000000003</v>
      </c>
      <c r="H24" s="607">
        <v>701.85180000000003</v>
      </c>
      <c r="I24" s="607">
        <v>1466.5559999999998</v>
      </c>
      <c r="J24" s="612">
        <v>152.17060000000001</v>
      </c>
      <c r="K24" s="607">
        <v>289.12414000000001</v>
      </c>
      <c r="L24" s="613">
        <v>112.51999999999995</v>
      </c>
      <c r="M24" s="607">
        <v>112.51999999999995</v>
      </c>
      <c r="N24" s="607">
        <v>112.51999999999995</v>
      </c>
      <c r="O24" s="614"/>
      <c r="P24" s="607">
        <f t="shared" si="8"/>
        <v>1047.54</v>
      </c>
      <c r="Q24" s="607">
        <f t="shared" si="0"/>
        <v>1466.5559999999998</v>
      </c>
      <c r="R24" s="607">
        <f t="shared" si="1"/>
        <v>701.85180000000003</v>
      </c>
      <c r="S24" s="607">
        <f t="shared" si="2"/>
        <v>701.85180000000003</v>
      </c>
      <c r="T24" s="607">
        <f t="shared" si="3"/>
        <v>701.85180000000003</v>
      </c>
      <c r="U24" s="607">
        <f t="shared" si="4"/>
        <v>1466.5559999999998</v>
      </c>
      <c r="V24" s="612">
        <f t="shared" si="9"/>
        <v>152.17060000000001</v>
      </c>
      <c r="W24" s="607">
        <f t="shared" si="5"/>
        <v>289.12414000000001</v>
      </c>
      <c r="X24" s="613">
        <f t="shared" si="10"/>
        <v>112.51999999999995</v>
      </c>
      <c r="Y24" s="607">
        <f t="shared" si="6"/>
        <v>112.51999999999995</v>
      </c>
      <c r="Z24" s="607">
        <f t="shared" si="7"/>
        <v>112.51999999999995</v>
      </c>
      <c r="AA24" s="608"/>
      <c r="AB24" s="608"/>
      <c r="AC24" s="608"/>
      <c r="AD24" s="608"/>
      <c r="AE24" s="608"/>
      <c r="AF24" s="608"/>
      <c r="AG24" s="608"/>
      <c r="AH24" s="608"/>
      <c r="AI24" s="608"/>
      <c r="AJ24" s="608"/>
      <c r="AK24" s="608"/>
      <c r="AL24" s="608"/>
      <c r="AM24" s="608"/>
      <c r="AN24" s="608"/>
    </row>
    <row r="25" spans="1:40" ht="18" customHeight="1">
      <c r="A25" s="609">
        <v>16</v>
      </c>
      <c r="B25" s="610" t="s">
        <v>1631</v>
      </c>
      <c r="C25" s="611" t="s">
        <v>1614</v>
      </c>
      <c r="D25" s="607">
        <v>1109.1599999999999</v>
      </c>
      <c r="E25" s="607">
        <v>1552.8239999999996</v>
      </c>
      <c r="F25" s="607">
        <v>743.13719999999989</v>
      </c>
      <c r="G25" s="607">
        <v>743.13719999999989</v>
      </c>
      <c r="H25" s="607">
        <v>743.13719999999989</v>
      </c>
      <c r="I25" s="607">
        <v>1552.8239999999996</v>
      </c>
      <c r="J25" s="612">
        <v>161.00060000000002</v>
      </c>
      <c r="K25" s="607">
        <v>305.90114</v>
      </c>
      <c r="L25" s="613">
        <v>119.08999999999995</v>
      </c>
      <c r="M25" s="607">
        <v>119.08999999999995</v>
      </c>
      <c r="N25" s="607">
        <v>119.08999999999995</v>
      </c>
      <c r="O25" s="614"/>
      <c r="P25" s="607">
        <f t="shared" si="8"/>
        <v>1109.1599999999999</v>
      </c>
      <c r="Q25" s="607">
        <f t="shared" si="0"/>
        <v>1552.8239999999996</v>
      </c>
      <c r="R25" s="607">
        <f t="shared" si="1"/>
        <v>743.13719999999989</v>
      </c>
      <c r="S25" s="607">
        <f t="shared" si="2"/>
        <v>743.13719999999989</v>
      </c>
      <c r="T25" s="607">
        <f t="shared" si="3"/>
        <v>743.13719999999989</v>
      </c>
      <c r="U25" s="607">
        <f t="shared" si="4"/>
        <v>1552.8239999999996</v>
      </c>
      <c r="V25" s="612">
        <f t="shared" si="9"/>
        <v>161.00060000000002</v>
      </c>
      <c r="W25" s="607">
        <f t="shared" si="5"/>
        <v>305.90114</v>
      </c>
      <c r="X25" s="613">
        <f t="shared" si="10"/>
        <v>119.08999999999995</v>
      </c>
      <c r="Y25" s="607">
        <f t="shared" si="6"/>
        <v>119.08999999999995</v>
      </c>
      <c r="Z25" s="607">
        <f t="shared" si="7"/>
        <v>119.08999999999995</v>
      </c>
      <c r="AA25" s="608"/>
      <c r="AB25" s="608"/>
      <c r="AC25" s="608"/>
      <c r="AD25" s="608"/>
      <c r="AE25" s="608"/>
      <c r="AF25" s="608"/>
      <c r="AG25" s="608"/>
      <c r="AH25" s="608"/>
      <c r="AI25" s="608"/>
      <c r="AJ25" s="608"/>
      <c r="AK25" s="608"/>
      <c r="AL25" s="608"/>
      <c r="AM25" s="608"/>
      <c r="AN25" s="608"/>
    </row>
    <row r="26" spans="1:40" ht="18" customHeight="1">
      <c r="A26" s="609">
        <v>17</v>
      </c>
      <c r="B26" s="610" t="s">
        <v>1632</v>
      </c>
      <c r="C26" s="611" t="s">
        <v>1614</v>
      </c>
      <c r="D26" s="607">
        <v>1170.7799999999997</v>
      </c>
      <c r="E26" s="607">
        <v>1639.0919999999996</v>
      </c>
      <c r="F26" s="607">
        <v>784.42259999999987</v>
      </c>
      <c r="G26" s="607">
        <v>784.42259999999987</v>
      </c>
      <c r="H26" s="607">
        <v>784.42259999999987</v>
      </c>
      <c r="I26" s="607">
        <v>1639.0919999999996</v>
      </c>
      <c r="J26" s="612">
        <v>169.83060000000003</v>
      </c>
      <c r="K26" s="607">
        <v>322.67814000000004</v>
      </c>
      <c r="L26" s="613">
        <v>125.65999999999994</v>
      </c>
      <c r="M26" s="607">
        <v>125.65999999999994</v>
      </c>
      <c r="N26" s="607">
        <v>125.65999999999994</v>
      </c>
      <c r="O26" s="615"/>
      <c r="P26" s="607">
        <f t="shared" si="8"/>
        <v>1170.7799999999997</v>
      </c>
      <c r="Q26" s="607">
        <f t="shared" si="0"/>
        <v>1639.0919999999996</v>
      </c>
      <c r="R26" s="607">
        <f t="shared" si="1"/>
        <v>784.42259999999987</v>
      </c>
      <c r="S26" s="607">
        <f t="shared" si="2"/>
        <v>784.42259999999987</v>
      </c>
      <c r="T26" s="607">
        <f t="shared" si="3"/>
        <v>784.42259999999987</v>
      </c>
      <c r="U26" s="607">
        <f t="shared" si="4"/>
        <v>1639.0919999999996</v>
      </c>
      <c r="V26" s="612">
        <f t="shared" si="9"/>
        <v>169.83060000000003</v>
      </c>
      <c r="W26" s="607">
        <f t="shared" si="5"/>
        <v>322.67814000000004</v>
      </c>
      <c r="X26" s="613">
        <f t="shared" si="10"/>
        <v>125.65999999999994</v>
      </c>
      <c r="Y26" s="607">
        <f t="shared" si="6"/>
        <v>125.65999999999994</v>
      </c>
      <c r="Z26" s="607">
        <f t="shared" si="7"/>
        <v>125.65999999999994</v>
      </c>
      <c r="AA26" s="608"/>
      <c r="AB26" s="608"/>
      <c r="AC26" s="608"/>
      <c r="AD26" s="608"/>
      <c r="AE26" s="608"/>
      <c r="AF26" s="608"/>
      <c r="AG26" s="608"/>
      <c r="AH26" s="608"/>
      <c r="AI26" s="608"/>
      <c r="AJ26" s="608"/>
      <c r="AK26" s="608"/>
      <c r="AL26" s="608"/>
      <c r="AM26" s="608"/>
      <c r="AN26" s="608"/>
    </row>
    <row r="27" spans="1:40" ht="18" customHeight="1" thickBot="1">
      <c r="A27" s="616">
        <v>18</v>
      </c>
      <c r="B27" s="617" t="s">
        <v>1633</v>
      </c>
      <c r="C27" s="618" t="s">
        <v>1614</v>
      </c>
      <c r="D27" s="607">
        <v>1232.3999999999996</v>
      </c>
      <c r="E27" s="607">
        <v>1725.3599999999994</v>
      </c>
      <c r="F27" s="607">
        <v>825.70799999999986</v>
      </c>
      <c r="G27" s="607">
        <v>825.70799999999986</v>
      </c>
      <c r="H27" s="607">
        <v>825.70799999999986</v>
      </c>
      <c r="I27" s="607">
        <v>1725.3599999999994</v>
      </c>
      <c r="J27" s="612">
        <v>178.66060000000004</v>
      </c>
      <c r="K27" s="607">
        <v>339.45514000000009</v>
      </c>
      <c r="L27" s="613">
        <v>132.22999999999993</v>
      </c>
      <c r="M27" s="607">
        <v>132.22999999999993</v>
      </c>
      <c r="N27" s="607">
        <v>132.22999999999993</v>
      </c>
      <c r="O27" s="597"/>
      <c r="P27" s="607">
        <f t="shared" si="8"/>
        <v>1232.3999999999996</v>
      </c>
      <c r="Q27" s="607">
        <f t="shared" si="0"/>
        <v>1725.3599999999994</v>
      </c>
      <c r="R27" s="607">
        <f t="shared" si="1"/>
        <v>825.70799999999986</v>
      </c>
      <c r="S27" s="607">
        <f t="shared" si="2"/>
        <v>825.70799999999986</v>
      </c>
      <c r="T27" s="607">
        <f t="shared" si="3"/>
        <v>825.70799999999986</v>
      </c>
      <c r="U27" s="607">
        <f t="shared" si="4"/>
        <v>1725.3599999999994</v>
      </c>
      <c r="V27" s="612">
        <f t="shared" si="9"/>
        <v>178.66060000000004</v>
      </c>
      <c r="W27" s="607">
        <f t="shared" si="5"/>
        <v>339.45514000000009</v>
      </c>
      <c r="X27" s="613">
        <f t="shared" si="10"/>
        <v>132.22999999999993</v>
      </c>
      <c r="Y27" s="607">
        <f t="shared" si="6"/>
        <v>132.22999999999993</v>
      </c>
      <c r="Z27" s="607">
        <f t="shared" si="7"/>
        <v>132.22999999999993</v>
      </c>
      <c r="AA27" s="608"/>
      <c r="AB27" s="608"/>
      <c r="AC27" s="608"/>
      <c r="AD27" s="608"/>
      <c r="AE27" s="608"/>
      <c r="AF27" s="608"/>
      <c r="AG27" s="608"/>
      <c r="AH27" s="608"/>
      <c r="AI27" s="608"/>
      <c r="AJ27" s="608"/>
      <c r="AK27" s="608"/>
      <c r="AL27" s="608"/>
      <c r="AM27" s="608"/>
      <c r="AN27" s="608"/>
    </row>
    <row r="28" spans="1:40" ht="14" thickBot="1">
      <c r="A28" s="619"/>
      <c r="B28" s="619"/>
      <c r="C28" s="619"/>
      <c r="D28" s="619"/>
      <c r="E28" s="619"/>
      <c r="F28" s="619"/>
      <c r="G28" s="619"/>
      <c r="H28" s="619"/>
      <c r="I28" s="619"/>
      <c r="J28" s="619"/>
      <c r="K28" s="619"/>
      <c r="L28" s="619"/>
      <c r="M28" s="619"/>
      <c r="N28" s="619"/>
      <c r="O28" s="597"/>
      <c r="P28" s="598"/>
      <c r="Q28" s="598"/>
      <c r="R28" s="598"/>
      <c r="S28" s="598"/>
      <c r="T28" s="598"/>
      <c r="U28" s="598"/>
      <c r="V28" s="556"/>
      <c r="AA28" s="608">
        <f t="shared" ref="AA28" si="11">D29-D28</f>
        <v>0</v>
      </c>
    </row>
    <row r="29" spans="1:40" ht="16">
      <c r="A29" s="620" t="s">
        <v>1634</v>
      </c>
      <c r="B29" s="621"/>
      <c r="C29" s="621"/>
      <c r="D29" s="621"/>
      <c r="E29" s="621"/>
      <c r="F29" s="622"/>
      <c r="G29" s="623"/>
      <c r="H29" s="624"/>
      <c r="I29" s="624"/>
      <c r="K29" s="624"/>
      <c r="L29" s="624"/>
      <c r="M29" s="624"/>
      <c r="N29" s="624"/>
      <c r="O29" s="597"/>
      <c r="P29" s="598"/>
      <c r="Q29" s="598"/>
      <c r="R29" s="598"/>
      <c r="S29" s="598"/>
      <c r="T29" s="598"/>
      <c r="U29" s="598"/>
      <c r="V29" s="556"/>
    </row>
    <row r="30" spans="1:40">
      <c r="A30" s="625"/>
      <c r="B30" s="626" t="s">
        <v>1635</v>
      </c>
      <c r="C30" s="626" t="s">
        <v>1636</v>
      </c>
      <c r="D30" s="626"/>
      <c r="E30" s="626" t="s">
        <v>1637</v>
      </c>
      <c r="F30" s="627"/>
      <c r="G30" s="624"/>
      <c r="H30" s="624"/>
      <c r="I30" s="624"/>
      <c r="J30" s="628" t="s">
        <v>1638</v>
      </c>
      <c r="K30" s="629"/>
      <c r="L30" s="630"/>
      <c r="M30" s="624"/>
      <c r="N30" s="597"/>
      <c r="O30" s="598"/>
      <c r="P30" s="598"/>
      <c r="Q30" s="598"/>
      <c r="R30" s="598"/>
      <c r="S30" s="598"/>
      <c r="T30" s="598"/>
      <c r="U30" s="556"/>
    </row>
    <row r="31" spans="1:40">
      <c r="A31" s="625"/>
      <c r="B31" s="626" t="s">
        <v>1012</v>
      </c>
      <c r="C31" s="631">
        <v>22</v>
      </c>
      <c r="D31" s="631"/>
      <c r="E31" s="632">
        <v>0.12</v>
      </c>
      <c r="F31" s="633"/>
      <c r="G31" s="624"/>
      <c r="H31" s="624"/>
      <c r="I31" s="624"/>
      <c r="J31" s="634" t="s">
        <v>1639</v>
      </c>
      <c r="K31" s="635"/>
      <c r="L31" s="636"/>
      <c r="M31" s="624"/>
      <c r="N31" s="597"/>
      <c r="O31" s="598"/>
      <c r="P31" s="598"/>
      <c r="Q31" s="598"/>
      <c r="R31" s="598"/>
      <c r="S31" s="598"/>
      <c r="T31" s="598"/>
      <c r="U31" s="556"/>
    </row>
    <row r="32" spans="1:40">
      <c r="A32" s="625"/>
      <c r="B32" s="626" t="s">
        <v>1010</v>
      </c>
      <c r="C32" s="631">
        <v>127</v>
      </c>
      <c r="D32" s="631"/>
      <c r="E32" s="632">
        <v>0.12</v>
      </c>
      <c r="F32" s="633"/>
      <c r="G32" s="624"/>
      <c r="H32" s="624"/>
      <c r="I32" s="624"/>
      <c r="J32" s="637" t="s">
        <v>1640</v>
      </c>
      <c r="K32" s="638"/>
      <c r="L32" s="639"/>
      <c r="M32" s="624"/>
      <c r="N32" s="597"/>
      <c r="O32" s="598"/>
      <c r="P32" s="598"/>
      <c r="Q32" s="598"/>
      <c r="R32" s="598"/>
      <c r="S32" s="598"/>
      <c r="T32" s="598"/>
      <c r="U32" s="556"/>
    </row>
    <row r="33" spans="1:23" ht="14" thickBot="1">
      <c r="A33" s="640"/>
      <c r="B33" s="641" t="s">
        <v>1011</v>
      </c>
      <c r="C33" s="642">
        <v>181</v>
      </c>
      <c r="D33" s="642"/>
      <c r="E33" s="643">
        <v>7.0000000000000007E-2</v>
      </c>
      <c r="F33" s="644"/>
      <c r="G33" s="624"/>
      <c r="H33" s="624"/>
      <c r="I33" s="624"/>
      <c r="J33" s="624"/>
      <c r="K33" s="624"/>
      <c r="L33" s="624"/>
      <c r="M33" s="624"/>
      <c r="N33" s="597"/>
      <c r="O33" s="598"/>
      <c r="P33" s="598"/>
      <c r="Q33" s="598"/>
      <c r="R33" s="598"/>
      <c r="S33" s="598"/>
      <c r="T33" s="598"/>
      <c r="U33" s="556"/>
    </row>
    <row r="34" spans="1:23" ht="14" thickBot="1">
      <c r="A34" s="624"/>
      <c r="B34" s="624"/>
      <c r="C34" s="624"/>
      <c r="D34" s="624"/>
      <c r="E34" s="624"/>
      <c r="F34" s="624"/>
      <c r="G34" s="624"/>
      <c r="H34" s="624"/>
      <c r="I34" s="624"/>
      <c r="J34" s="624"/>
      <c r="K34" s="624"/>
      <c r="L34" s="624"/>
      <c r="M34" s="624"/>
      <c r="N34" s="624"/>
      <c r="O34" s="597"/>
      <c r="P34" s="598"/>
      <c r="Q34" s="598"/>
      <c r="R34" s="598"/>
      <c r="S34" s="598"/>
      <c r="T34" s="598"/>
      <c r="U34" s="598"/>
      <c r="V34" s="556"/>
    </row>
    <row r="35" spans="1:23" s="646" customFormat="1" ht="16">
      <c r="A35" s="620" t="s">
        <v>1641</v>
      </c>
      <c r="B35" s="621"/>
      <c r="C35" s="621"/>
      <c r="D35" s="621"/>
      <c r="E35" s="621"/>
      <c r="F35" s="621"/>
      <c r="G35" s="621"/>
      <c r="H35" s="621"/>
      <c r="I35" s="621"/>
      <c r="J35" s="621"/>
      <c r="K35" s="621"/>
      <c r="L35" s="621"/>
      <c r="M35" s="621"/>
      <c r="N35" s="622"/>
      <c r="O35" s="645"/>
      <c r="P35" s="645"/>
      <c r="Q35" s="645"/>
      <c r="R35" s="645"/>
      <c r="S35" s="645"/>
      <c r="T35" s="645"/>
      <c r="U35" s="645"/>
      <c r="V35" s="645"/>
    </row>
    <row r="36" spans="1:23">
      <c r="A36" s="647" t="s">
        <v>1642</v>
      </c>
      <c r="B36" s="648" t="s">
        <v>1643</v>
      </c>
      <c r="C36" s="648"/>
      <c r="D36" s="648"/>
      <c r="E36" s="649"/>
      <c r="F36" s="650" t="s">
        <v>1644</v>
      </c>
      <c r="G36" s="651">
        <v>0.35</v>
      </c>
      <c r="H36" s="652"/>
      <c r="I36" s="653"/>
      <c r="J36" s="653"/>
      <c r="K36" s="653"/>
      <c r="L36" s="653"/>
      <c r="M36" s="653"/>
      <c r="N36" s="654"/>
    </row>
    <row r="37" spans="1:23" ht="13.5" customHeight="1">
      <c r="A37" s="655" t="s">
        <v>1645</v>
      </c>
      <c r="B37" s="656" t="s">
        <v>1646</v>
      </c>
      <c r="C37" s="657"/>
      <c r="D37" s="657"/>
      <c r="E37" s="658"/>
      <c r="F37" s="659" t="s">
        <v>485</v>
      </c>
      <c r="G37" s="660">
        <v>7.5</v>
      </c>
      <c r="H37" s="661" t="s">
        <v>1647</v>
      </c>
      <c r="I37" s="662"/>
      <c r="J37" s="662"/>
      <c r="K37" s="662"/>
      <c r="L37" s="662"/>
      <c r="M37" s="662"/>
      <c r="N37" s="663"/>
      <c r="R37" s="664"/>
    </row>
    <row r="38" spans="1:23">
      <c r="A38" s="665"/>
      <c r="B38" s="666"/>
      <c r="C38" s="667"/>
      <c r="D38" s="667"/>
      <c r="E38" s="668"/>
      <c r="F38" s="659" t="s">
        <v>1648</v>
      </c>
      <c r="G38" s="660">
        <v>540</v>
      </c>
      <c r="H38" s="669"/>
      <c r="I38" s="670"/>
      <c r="J38" s="670"/>
      <c r="K38" s="670"/>
      <c r="L38" s="670"/>
      <c r="M38" s="670"/>
      <c r="N38" s="671"/>
      <c r="R38" s="664"/>
    </row>
    <row r="39" spans="1:23">
      <c r="A39" s="647" t="s">
        <v>1645</v>
      </c>
      <c r="B39" s="648" t="s">
        <v>1649</v>
      </c>
      <c r="C39" s="648"/>
      <c r="D39" s="648"/>
      <c r="E39" s="649"/>
      <c r="F39" s="672" t="s">
        <v>1648</v>
      </c>
      <c r="G39" s="673">
        <v>540</v>
      </c>
      <c r="H39" s="652"/>
      <c r="I39" s="653"/>
      <c r="J39" s="653"/>
      <c r="K39" s="653"/>
      <c r="L39" s="653"/>
      <c r="M39" s="653"/>
      <c r="N39" s="654"/>
    </row>
    <row r="40" spans="1:23" ht="28.5" customHeight="1">
      <c r="A40" s="647" t="s">
        <v>1645</v>
      </c>
      <c r="B40" s="648" t="s">
        <v>1650</v>
      </c>
      <c r="C40" s="648"/>
      <c r="D40" s="648"/>
      <c r="E40" s="649"/>
      <c r="F40" s="672" t="s">
        <v>1651</v>
      </c>
      <c r="G40" s="674">
        <v>1000</v>
      </c>
      <c r="H40" s="652" t="s">
        <v>1652</v>
      </c>
      <c r="I40" s="653"/>
      <c r="J40" s="653"/>
      <c r="K40" s="653"/>
      <c r="L40" s="653"/>
      <c r="M40" s="653"/>
      <c r="N40" s="654"/>
    </row>
    <row r="41" spans="1:23" ht="14.25" customHeight="1" thickBot="1">
      <c r="A41" s="675" t="s">
        <v>1645</v>
      </c>
      <c r="B41" s="676" t="s">
        <v>1653</v>
      </c>
      <c r="C41" s="676"/>
      <c r="D41" s="676"/>
      <c r="E41" s="677"/>
      <c r="F41" s="678" t="s">
        <v>1654</v>
      </c>
      <c r="G41" s="679">
        <f>'[4]Prisliste 2014 innkl faktorer'!G34+('[4]Prisliste 2014 innkl faktorer'!G34*'[4]Prisliste 2014 innkl faktorer'!W34)</f>
        <v>200</v>
      </c>
      <c r="H41" s="680" t="s">
        <v>1655</v>
      </c>
      <c r="I41" s="681"/>
      <c r="J41" s="681"/>
      <c r="K41" s="681"/>
      <c r="L41" s="681"/>
      <c r="M41" s="681"/>
      <c r="N41" s="682"/>
    </row>
    <row r="42" spans="1:23" ht="14.25" customHeight="1" thickBot="1">
      <c r="A42" s="683"/>
      <c r="B42" s="683"/>
      <c r="C42" s="683"/>
      <c r="D42" s="683"/>
      <c r="E42" s="683"/>
      <c r="F42" s="683"/>
      <c r="G42" s="683"/>
      <c r="H42" s="683"/>
      <c r="I42" s="683"/>
      <c r="J42" s="683"/>
      <c r="K42" s="683"/>
      <c r="L42" s="683"/>
      <c r="M42" s="683"/>
      <c r="N42" s="683"/>
    </row>
    <row r="43" spans="1:23" s="646" customFormat="1" ht="16">
      <c r="A43" s="620" t="s">
        <v>1656</v>
      </c>
      <c r="B43" s="621"/>
      <c r="C43" s="621"/>
      <c r="D43" s="621"/>
      <c r="E43" s="621"/>
      <c r="F43" s="621"/>
      <c r="G43" s="621"/>
      <c r="H43" s="621"/>
      <c r="I43" s="621"/>
      <c r="J43" s="621"/>
      <c r="K43" s="621"/>
      <c r="L43" s="621"/>
      <c r="M43" s="621"/>
      <c r="N43" s="622"/>
    </row>
    <row r="44" spans="1:23" ht="12.75" customHeight="1">
      <c r="A44" s="655" t="s">
        <v>1645</v>
      </c>
      <c r="B44" s="656" t="s">
        <v>1657</v>
      </c>
      <c r="C44" s="657"/>
      <c r="D44" s="657"/>
      <c r="E44" s="658"/>
      <c r="F44" s="659" t="s">
        <v>485</v>
      </c>
      <c r="G44" s="673">
        <v>7.5</v>
      </c>
      <c r="H44" s="684" t="s">
        <v>1658</v>
      </c>
      <c r="I44" s="685"/>
      <c r="J44" s="685"/>
      <c r="K44" s="685"/>
      <c r="L44" s="685"/>
      <c r="M44" s="685"/>
      <c r="N44" s="686"/>
    </row>
    <row r="45" spans="1:23">
      <c r="A45" s="687"/>
      <c r="B45" s="688"/>
      <c r="C45" s="689"/>
      <c r="D45" s="689"/>
      <c r="E45" s="690"/>
      <c r="F45" s="691" t="s">
        <v>1648</v>
      </c>
      <c r="G45" s="692">
        <v>540</v>
      </c>
      <c r="H45" s="685"/>
      <c r="I45" s="685"/>
      <c r="J45" s="685"/>
      <c r="K45" s="685"/>
      <c r="L45" s="685"/>
      <c r="M45" s="685"/>
      <c r="N45" s="686"/>
      <c r="W45" s="693"/>
    </row>
    <row r="46" spans="1:23" ht="27.75" customHeight="1">
      <c r="A46" s="687"/>
      <c r="B46" s="688"/>
      <c r="C46" s="689"/>
      <c r="D46" s="689"/>
      <c r="E46" s="690"/>
      <c r="F46" s="694"/>
      <c r="G46" s="695"/>
      <c r="H46" s="685"/>
      <c r="I46" s="685"/>
      <c r="J46" s="685"/>
      <c r="K46" s="685"/>
      <c r="L46" s="685"/>
      <c r="M46" s="685"/>
      <c r="N46" s="686"/>
      <c r="W46" s="693"/>
    </row>
    <row r="47" spans="1:23">
      <c r="A47" s="665"/>
      <c r="B47" s="666"/>
      <c r="C47" s="667"/>
      <c r="D47" s="667"/>
      <c r="E47" s="668"/>
      <c r="F47" s="659" t="s">
        <v>485</v>
      </c>
      <c r="G47" s="696">
        <v>8</v>
      </c>
      <c r="H47" s="652" t="s">
        <v>1659</v>
      </c>
      <c r="I47" s="653"/>
      <c r="J47" s="653"/>
      <c r="K47" s="653"/>
      <c r="L47" s="653"/>
      <c r="M47" s="653"/>
      <c r="N47" s="654"/>
      <c r="W47" s="693"/>
    </row>
    <row r="48" spans="1:23" ht="40.5" customHeight="1">
      <c r="A48" s="697" t="s">
        <v>1645</v>
      </c>
      <c r="B48" s="698" t="s">
        <v>1660</v>
      </c>
      <c r="C48" s="699"/>
      <c r="D48" s="699"/>
      <c r="E48" s="700"/>
      <c r="F48" s="701"/>
      <c r="G48" s="702"/>
      <c r="H48" s="703" t="s">
        <v>1661</v>
      </c>
      <c r="I48" s="704"/>
      <c r="J48" s="704"/>
      <c r="K48" s="704"/>
      <c r="L48" s="704"/>
      <c r="M48" s="704"/>
      <c r="N48" s="705"/>
    </row>
    <row r="49" spans="1:15" ht="39" customHeight="1" thickBot="1">
      <c r="A49" s="675" t="s">
        <v>1645</v>
      </c>
      <c r="B49" s="676" t="s">
        <v>1662</v>
      </c>
      <c r="C49" s="676"/>
      <c r="D49" s="676"/>
      <c r="E49" s="677"/>
      <c r="F49" s="706"/>
      <c r="G49" s="641"/>
      <c r="H49" s="680" t="s">
        <v>1663</v>
      </c>
      <c r="I49" s="681"/>
      <c r="J49" s="681"/>
      <c r="K49" s="681"/>
      <c r="L49" s="681"/>
      <c r="M49" s="681"/>
      <c r="N49" s="682"/>
    </row>
    <row r="50" spans="1:15" ht="14" thickBot="1">
      <c r="A50" s="683"/>
      <c r="B50" s="683"/>
      <c r="C50" s="683"/>
      <c r="D50" s="683"/>
      <c r="E50" s="683"/>
      <c r="F50" s="683"/>
      <c r="G50" s="683"/>
      <c r="H50" s="683"/>
      <c r="I50" s="683"/>
      <c r="J50" s="683"/>
      <c r="K50" s="683"/>
      <c r="L50" s="683"/>
      <c r="M50" s="683"/>
      <c r="N50" s="683"/>
    </row>
    <row r="51" spans="1:15" s="646" customFormat="1" ht="16">
      <c r="A51" s="707" t="s">
        <v>1664</v>
      </c>
      <c r="B51" s="708"/>
      <c r="C51" s="708"/>
      <c r="D51" s="708"/>
      <c r="E51" s="708"/>
      <c r="F51" s="708"/>
      <c r="G51" s="708"/>
      <c r="H51" s="708"/>
      <c r="I51" s="708"/>
      <c r="J51" s="708"/>
      <c r="K51" s="708"/>
      <c r="L51" s="708"/>
      <c r="M51" s="708"/>
      <c r="N51" s="709"/>
    </row>
    <row r="52" spans="1:15" ht="42" customHeight="1">
      <c r="A52" s="710" t="s">
        <v>1665</v>
      </c>
      <c r="B52" s="711" t="s">
        <v>1666</v>
      </c>
      <c r="C52" s="712"/>
      <c r="D52" s="712"/>
      <c r="E52" s="713"/>
      <c r="F52" s="714"/>
      <c r="G52" s="714"/>
      <c r="H52" s="715" t="s">
        <v>1667</v>
      </c>
      <c r="I52" s="716"/>
      <c r="J52" s="716"/>
      <c r="K52" s="716"/>
      <c r="L52" s="716"/>
      <c r="M52" s="716"/>
      <c r="N52" s="717"/>
    </row>
    <row r="53" spans="1:15" ht="42" customHeight="1" thickBot="1">
      <c r="A53" s="718" t="s">
        <v>1665</v>
      </c>
      <c r="B53" s="719" t="s">
        <v>1668</v>
      </c>
      <c r="C53" s="720"/>
      <c r="D53" s="720"/>
      <c r="E53" s="721"/>
      <c r="F53" s="722"/>
      <c r="G53" s="722"/>
      <c r="H53" s="723" t="s">
        <v>1669</v>
      </c>
      <c r="I53" s="720"/>
      <c r="J53" s="720"/>
      <c r="K53" s="720"/>
      <c r="L53" s="720"/>
      <c r="M53" s="720"/>
      <c r="N53" s="724"/>
    </row>
    <row r="54" spans="1:15" ht="27" customHeight="1" thickBot="1">
      <c r="A54" s="718" t="s">
        <v>1665</v>
      </c>
      <c r="B54" s="719" t="s">
        <v>1670</v>
      </c>
      <c r="C54" s="720"/>
      <c r="D54" s="720"/>
      <c r="E54" s="721"/>
      <c r="F54" s="722"/>
      <c r="G54" s="725">
        <v>300</v>
      </c>
      <c r="H54" s="723" t="s">
        <v>1671</v>
      </c>
      <c r="I54" s="720"/>
      <c r="J54" s="720"/>
      <c r="K54" s="720"/>
      <c r="L54" s="720"/>
      <c r="M54" s="720"/>
      <c r="N54" s="724"/>
    </row>
    <row r="55" spans="1:15" ht="14" thickBot="1">
      <c r="A55" s="726"/>
      <c r="B55" s="726"/>
      <c r="C55" s="726"/>
      <c r="D55" s="726"/>
      <c r="E55" s="726"/>
      <c r="F55" s="726"/>
      <c r="G55" s="726"/>
      <c r="H55" s="726"/>
      <c r="I55" s="726"/>
      <c r="J55" s="726"/>
      <c r="K55" s="726"/>
      <c r="L55" s="726"/>
      <c r="M55" s="726"/>
      <c r="N55" s="726"/>
    </row>
    <row r="56" spans="1:15" ht="16">
      <c r="A56" s="707" t="s">
        <v>1672</v>
      </c>
      <c r="B56" s="708"/>
      <c r="C56" s="708"/>
      <c r="D56" s="708"/>
      <c r="E56" s="708"/>
      <c r="F56" s="708"/>
      <c r="G56" s="708"/>
      <c r="H56" s="708"/>
      <c r="I56" s="708"/>
      <c r="J56" s="708"/>
      <c r="K56" s="708"/>
      <c r="L56" s="708"/>
      <c r="M56" s="708"/>
      <c r="N56" s="709"/>
    </row>
    <row r="57" spans="1:15" ht="12.75" customHeight="1">
      <c r="A57" s="727" t="s">
        <v>1673</v>
      </c>
      <c r="B57" s="648" t="s">
        <v>1674</v>
      </c>
      <c r="C57" s="648"/>
      <c r="D57" s="648"/>
      <c r="E57" s="648"/>
      <c r="F57" s="728" t="s">
        <v>485</v>
      </c>
      <c r="G57" s="673">
        <v>7.5</v>
      </c>
      <c r="H57" s="652" t="s">
        <v>1675</v>
      </c>
      <c r="I57" s="652"/>
      <c r="J57" s="652"/>
      <c r="K57" s="652"/>
      <c r="L57" s="652"/>
      <c r="M57" s="652"/>
      <c r="N57" s="729"/>
    </row>
    <row r="58" spans="1:15" ht="15" customHeight="1">
      <c r="A58" s="727"/>
      <c r="B58" s="648"/>
      <c r="C58" s="648"/>
      <c r="D58" s="648"/>
      <c r="E58" s="648"/>
      <c r="F58" s="728" t="s">
        <v>1648</v>
      </c>
      <c r="G58" s="673">
        <v>540</v>
      </c>
      <c r="H58" s="652"/>
      <c r="I58" s="652"/>
      <c r="J58" s="652"/>
      <c r="K58" s="652"/>
      <c r="L58" s="652"/>
      <c r="M58" s="652"/>
      <c r="N58" s="729"/>
    </row>
    <row r="59" spans="1:15" ht="15" customHeight="1">
      <c r="A59" s="727"/>
      <c r="B59" s="648"/>
      <c r="C59" s="648"/>
      <c r="D59" s="648"/>
      <c r="E59" s="648"/>
      <c r="F59" s="728" t="s">
        <v>485</v>
      </c>
      <c r="G59" s="674">
        <v>8</v>
      </c>
      <c r="H59" s="652" t="s">
        <v>1659</v>
      </c>
      <c r="I59" s="652"/>
      <c r="J59" s="652"/>
      <c r="K59" s="652"/>
      <c r="L59" s="652"/>
      <c r="M59" s="652"/>
      <c r="N59" s="729"/>
    </row>
    <row r="60" spans="1:15" ht="15.75" customHeight="1">
      <c r="A60" s="727"/>
      <c r="B60" s="648"/>
      <c r="C60" s="648"/>
      <c r="D60" s="648"/>
      <c r="E60" s="648"/>
      <c r="F60" s="730" t="s">
        <v>1648</v>
      </c>
      <c r="G60" s="673">
        <v>360</v>
      </c>
      <c r="H60" s="653" t="s">
        <v>1676</v>
      </c>
      <c r="I60" s="653"/>
      <c r="J60" s="653"/>
      <c r="K60" s="653"/>
      <c r="L60" s="653"/>
      <c r="M60" s="653"/>
      <c r="N60" s="654"/>
    </row>
    <row r="61" spans="1:15" ht="15.75" customHeight="1">
      <c r="A61" s="647" t="s">
        <v>1673</v>
      </c>
      <c r="B61" s="731" t="s">
        <v>1677</v>
      </c>
      <c r="C61" s="712"/>
      <c r="D61" s="712"/>
      <c r="E61" s="732"/>
      <c r="F61" s="730" t="s">
        <v>1648</v>
      </c>
      <c r="G61" s="674">
        <v>21.73</v>
      </c>
      <c r="H61" s="653"/>
      <c r="I61" s="653"/>
      <c r="J61" s="653"/>
      <c r="K61" s="653"/>
      <c r="L61" s="653"/>
      <c r="M61" s="653"/>
      <c r="N61" s="654"/>
    </row>
    <row r="62" spans="1:15" ht="15.75" customHeight="1">
      <c r="A62" s="647" t="s">
        <v>1673</v>
      </c>
      <c r="B62" s="731" t="s">
        <v>1653</v>
      </c>
      <c r="C62" s="712"/>
      <c r="D62" s="712"/>
      <c r="E62" s="732"/>
      <c r="F62" s="730" t="s">
        <v>1678</v>
      </c>
      <c r="G62" s="674">
        <v>324.92500000000001</v>
      </c>
      <c r="H62" s="733" t="s">
        <v>1679</v>
      </c>
      <c r="I62" s="733"/>
      <c r="J62" s="733"/>
      <c r="K62" s="733"/>
      <c r="L62" s="733"/>
      <c r="M62" s="733"/>
      <c r="N62" s="734"/>
    </row>
    <row r="63" spans="1:15" ht="53.25" customHeight="1" thickBot="1">
      <c r="A63" s="675" t="s">
        <v>1673</v>
      </c>
      <c r="B63" s="719" t="s">
        <v>1680</v>
      </c>
      <c r="C63" s="720"/>
      <c r="D63" s="720"/>
      <c r="E63" s="721"/>
      <c r="F63" s="735"/>
      <c r="G63" s="736"/>
      <c r="H63" s="723" t="s">
        <v>1681</v>
      </c>
      <c r="I63" s="737"/>
      <c r="J63" s="737"/>
      <c r="K63" s="737"/>
      <c r="L63" s="737"/>
      <c r="M63" s="737"/>
      <c r="N63" s="738"/>
      <c r="O63" s="739"/>
    </row>
    <row r="64" spans="1:15">
      <c r="A64" s="552" t="s">
        <v>1682</v>
      </c>
    </row>
    <row r="65" spans="1:1">
      <c r="A65" s="552" t="s">
        <v>1683</v>
      </c>
    </row>
  </sheetData>
  <mergeCells count="60">
    <mergeCell ref="B61:E61"/>
    <mergeCell ref="H61:N61"/>
    <mergeCell ref="B62:E62"/>
    <mergeCell ref="H62:N62"/>
    <mergeCell ref="B63:E63"/>
    <mergeCell ref="H63:N63"/>
    <mergeCell ref="A55:N55"/>
    <mergeCell ref="A56:N56"/>
    <mergeCell ref="A57:A60"/>
    <mergeCell ref="B57:E60"/>
    <mergeCell ref="H57:N58"/>
    <mergeCell ref="H59:N59"/>
    <mergeCell ref="H60:N60"/>
    <mergeCell ref="B52:E52"/>
    <mergeCell ref="H52:N52"/>
    <mergeCell ref="B53:E53"/>
    <mergeCell ref="H53:N53"/>
    <mergeCell ref="B54:E54"/>
    <mergeCell ref="H54:N54"/>
    <mergeCell ref="B48:E48"/>
    <mergeCell ref="H48:N48"/>
    <mergeCell ref="B49:E49"/>
    <mergeCell ref="H49:N49"/>
    <mergeCell ref="A50:N50"/>
    <mergeCell ref="A51:N51"/>
    <mergeCell ref="A42:N42"/>
    <mergeCell ref="A43:N43"/>
    <mergeCell ref="A44:A47"/>
    <mergeCell ref="B44:E47"/>
    <mergeCell ref="H44:N46"/>
    <mergeCell ref="F45:F46"/>
    <mergeCell ref="G45:G46"/>
    <mergeCell ref="H47:N47"/>
    <mergeCell ref="B39:E39"/>
    <mergeCell ref="H39:N39"/>
    <mergeCell ref="B40:E40"/>
    <mergeCell ref="H40:N40"/>
    <mergeCell ref="B41:E41"/>
    <mergeCell ref="H41:N41"/>
    <mergeCell ref="C33:D33"/>
    <mergeCell ref="E33:F33"/>
    <mergeCell ref="A35:N35"/>
    <mergeCell ref="B36:E36"/>
    <mergeCell ref="H36:N36"/>
    <mergeCell ref="A37:A38"/>
    <mergeCell ref="B37:E38"/>
    <mergeCell ref="H37:N38"/>
    <mergeCell ref="A9:C9"/>
    <mergeCell ref="A28:N28"/>
    <mergeCell ref="A29:F29"/>
    <mergeCell ref="C31:D31"/>
    <mergeCell ref="E31:F31"/>
    <mergeCell ref="C32:D32"/>
    <mergeCell ref="E32:F32"/>
    <mergeCell ref="A1:N1"/>
    <mergeCell ref="A2:N2"/>
    <mergeCell ref="A6:C6"/>
    <mergeCell ref="O6:O7"/>
    <mergeCell ref="A7:C7"/>
    <mergeCell ref="A8:B8"/>
  </mergeCells>
  <conditionalFormatting sqref="P28:U29 P34:U34 O30:T33">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71" orientation="portrait" r:id="rId1"/>
  <headerFooter alignWithMargins="0">
    <oddFooter>&amp;LUtskrift: &amp;D&amp;R&amp;F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F7E2E-E382-FF46-9A4D-E4786A30F6A4}">
  <dimension ref="A1:N695"/>
  <sheetViews>
    <sheetView workbookViewId="0">
      <pane xSplit="2" ySplit="1" topLeftCell="C2" activePane="bottomRight" state="frozen"/>
      <selection pane="topRight" activeCell="C1" sqref="C1"/>
      <selection pane="bottomLeft" activeCell="A2" sqref="A2"/>
      <selection pane="bottomRight" activeCell="L33" sqref="L33"/>
    </sheetView>
  </sheetViews>
  <sheetFormatPr baseColWidth="10" defaultRowHeight="15"/>
  <cols>
    <col min="1" max="1" width="15.5" bestFit="1" customWidth="1"/>
    <col min="2" max="3" width="15" bestFit="1" customWidth="1"/>
    <col min="4" max="4" width="16.5" bestFit="1" customWidth="1"/>
    <col min="5" max="5" width="5" bestFit="1" customWidth="1"/>
    <col min="8" max="8" width="13.6640625" bestFit="1" customWidth="1"/>
    <col min="9" max="9" width="5" bestFit="1" customWidth="1"/>
    <col min="10" max="10" width="16.5" bestFit="1" customWidth="1"/>
    <col min="11" max="11" width="7" bestFit="1" customWidth="1"/>
  </cols>
  <sheetData>
    <row r="1" spans="1:5">
      <c r="A1" t="s">
        <v>1684</v>
      </c>
      <c r="B1" t="s">
        <v>1685</v>
      </c>
      <c r="C1" t="s">
        <v>1685</v>
      </c>
      <c r="D1" t="s">
        <v>1686</v>
      </c>
      <c r="E1" t="s">
        <v>1687</v>
      </c>
    </row>
    <row r="2" spans="1:5">
      <c r="A2">
        <v>704</v>
      </c>
      <c r="B2" t="s">
        <v>155</v>
      </c>
      <c r="C2">
        <v>101</v>
      </c>
      <c r="D2" t="s">
        <v>192</v>
      </c>
      <c r="E2" s="29">
        <v>78.8</v>
      </c>
    </row>
    <row r="3" spans="1:5">
      <c r="A3">
        <v>704</v>
      </c>
      <c r="B3" t="s">
        <v>155</v>
      </c>
      <c r="C3">
        <v>104</v>
      </c>
      <c r="D3" t="s">
        <v>838</v>
      </c>
      <c r="E3" s="29">
        <v>19.899999999999999</v>
      </c>
    </row>
    <row r="4" spans="1:5">
      <c r="A4">
        <v>704</v>
      </c>
      <c r="B4" t="s">
        <v>155</v>
      </c>
      <c r="C4">
        <v>105</v>
      </c>
      <c r="D4" t="s">
        <v>193</v>
      </c>
      <c r="E4" s="29">
        <v>52.4</v>
      </c>
    </row>
    <row r="5" spans="1:5">
      <c r="A5">
        <v>704</v>
      </c>
      <c r="B5" t="s">
        <v>155</v>
      </c>
      <c r="C5">
        <v>106</v>
      </c>
      <c r="D5" t="s">
        <v>194</v>
      </c>
      <c r="E5" s="29">
        <v>52.7</v>
      </c>
    </row>
    <row r="6" spans="1:5">
      <c r="A6">
        <v>704</v>
      </c>
      <c r="B6" t="s">
        <v>155</v>
      </c>
      <c r="C6">
        <v>111</v>
      </c>
      <c r="D6" t="s">
        <v>837</v>
      </c>
      <c r="E6" s="29">
        <v>81.400000000000006</v>
      </c>
    </row>
    <row r="7" spans="1:5">
      <c r="A7">
        <v>704</v>
      </c>
      <c r="B7" t="s">
        <v>155</v>
      </c>
      <c r="C7">
        <v>118</v>
      </c>
      <c r="D7" t="s">
        <v>836</v>
      </c>
      <c r="E7" s="29">
        <v>106.5</v>
      </c>
    </row>
    <row r="8" spans="1:5">
      <c r="A8">
        <v>704</v>
      </c>
      <c r="B8" t="s">
        <v>155</v>
      </c>
      <c r="C8">
        <v>119</v>
      </c>
      <c r="D8" t="s">
        <v>195</v>
      </c>
      <c r="E8" s="29">
        <v>98.7</v>
      </c>
    </row>
    <row r="9" spans="1:5">
      <c r="A9">
        <v>704</v>
      </c>
      <c r="B9" t="s">
        <v>155</v>
      </c>
      <c r="C9">
        <v>121</v>
      </c>
      <c r="D9" t="s">
        <v>835</v>
      </c>
      <c r="E9" s="29">
        <v>182.6</v>
      </c>
    </row>
    <row r="10" spans="1:5">
      <c r="A10">
        <v>704</v>
      </c>
      <c r="B10" t="s">
        <v>155</v>
      </c>
      <c r="C10">
        <v>122</v>
      </c>
      <c r="D10" t="s">
        <v>196</v>
      </c>
      <c r="E10" s="29">
        <v>79.099999999999994</v>
      </c>
    </row>
    <row r="11" spans="1:5">
      <c r="A11">
        <v>704</v>
      </c>
      <c r="B11" t="s">
        <v>155</v>
      </c>
      <c r="C11">
        <v>123</v>
      </c>
      <c r="D11" t="s">
        <v>197</v>
      </c>
      <c r="E11" s="29">
        <v>57.7</v>
      </c>
    </row>
    <row r="12" spans="1:5">
      <c r="A12">
        <v>704</v>
      </c>
      <c r="B12" t="s">
        <v>155</v>
      </c>
      <c r="C12">
        <v>124</v>
      </c>
      <c r="D12" t="s">
        <v>198</v>
      </c>
      <c r="E12" s="29">
        <v>65.3</v>
      </c>
    </row>
    <row r="13" spans="1:5">
      <c r="A13">
        <v>704</v>
      </c>
      <c r="B13" t="s">
        <v>155</v>
      </c>
      <c r="C13">
        <v>125</v>
      </c>
      <c r="D13" t="s">
        <v>834</v>
      </c>
      <c r="E13" s="29">
        <v>76.900000000000006</v>
      </c>
    </row>
    <row r="14" spans="1:5">
      <c r="A14">
        <v>704</v>
      </c>
      <c r="B14" t="s">
        <v>155</v>
      </c>
      <c r="C14">
        <v>127</v>
      </c>
      <c r="D14" t="s">
        <v>833</v>
      </c>
      <c r="E14" s="29">
        <v>59.1</v>
      </c>
    </row>
    <row r="15" spans="1:5">
      <c r="A15">
        <v>704</v>
      </c>
      <c r="B15" t="s">
        <v>155</v>
      </c>
      <c r="C15">
        <v>128</v>
      </c>
      <c r="D15" t="s">
        <v>199</v>
      </c>
      <c r="E15" s="29">
        <v>78.2</v>
      </c>
    </row>
    <row r="16" spans="1:5">
      <c r="A16">
        <v>704</v>
      </c>
      <c r="B16" t="s">
        <v>155</v>
      </c>
      <c r="C16">
        <v>135</v>
      </c>
      <c r="D16" t="s">
        <v>832</v>
      </c>
      <c r="E16" s="29">
        <v>35.799999999999997</v>
      </c>
    </row>
    <row r="17" spans="1:5">
      <c r="A17">
        <v>704</v>
      </c>
      <c r="B17" t="s">
        <v>155</v>
      </c>
      <c r="C17">
        <v>136</v>
      </c>
      <c r="D17" t="s">
        <v>200</v>
      </c>
      <c r="E17" s="29">
        <v>26.5</v>
      </c>
    </row>
    <row r="18" spans="1:5">
      <c r="A18">
        <v>704</v>
      </c>
      <c r="B18" t="s">
        <v>155</v>
      </c>
      <c r="C18">
        <v>137</v>
      </c>
      <c r="D18" t="s">
        <v>803</v>
      </c>
      <c r="E18" s="29">
        <v>35.299999999999997</v>
      </c>
    </row>
    <row r="19" spans="1:5">
      <c r="A19">
        <v>704</v>
      </c>
      <c r="B19" t="s">
        <v>155</v>
      </c>
      <c r="C19">
        <v>138</v>
      </c>
      <c r="D19" t="s">
        <v>201</v>
      </c>
      <c r="E19" s="29">
        <v>50.4</v>
      </c>
    </row>
    <row r="20" spans="1:5">
      <c r="A20">
        <v>704</v>
      </c>
      <c r="B20" t="s">
        <v>155</v>
      </c>
      <c r="C20">
        <v>211</v>
      </c>
      <c r="D20" t="s">
        <v>202</v>
      </c>
      <c r="E20" s="29">
        <v>41.6</v>
      </c>
    </row>
    <row r="21" spans="1:5">
      <c r="A21">
        <v>704</v>
      </c>
      <c r="B21" t="s">
        <v>155</v>
      </c>
      <c r="C21">
        <v>213</v>
      </c>
      <c r="D21" t="s">
        <v>830</v>
      </c>
      <c r="E21" s="29">
        <v>58.3</v>
      </c>
    </row>
    <row r="22" spans="1:5">
      <c r="A22">
        <v>704</v>
      </c>
      <c r="B22" t="s">
        <v>155</v>
      </c>
      <c r="C22">
        <v>214</v>
      </c>
      <c r="D22" t="s">
        <v>829</v>
      </c>
      <c r="E22" s="29">
        <v>50.7</v>
      </c>
    </row>
    <row r="23" spans="1:5">
      <c r="A23">
        <v>704</v>
      </c>
      <c r="B23" t="s">
        <v>155</v>
      </c>
      <c r="C23">
        <v>215</v>
      </c>
      <c r="D23" t="s">
        <v>828</v>
      </c>
      <c r="E23" s="29">
        <v>91.6</v>
      </c>
    </row>
    <row r="24" spans="1:5">
      <c r="A24">
        <v>704</v>
      </c>
      <c r="B24" t="s">
        <v>155</v>
      </c>
      <c r="C24">
        <v>216</v>
      </c>
      <c r="D24" t="s">
        <v>827</v>
      </c>
      <c r="E24" s="29">
        <v>104.9</v>
      </c>
    </row>
    <row r="25" spans="1:5">
      <c r="A25">
        <v>704</v>
      </c>
      <c r="B25" t="s">
        <v>155</v>
      </c>
      <c r="C25">
        <v>217</v>
      </c>
      <c r="D25" t="s">
        <v>826</v>
      </c>
      <c r="E25" s="29">
        <v>112.5</v>
      </c>
    </row>
    <row r="26" spans="1:5">
      <c r="A26">
        <v>704</v>
      </c>
      <c r="B26" t="s">
        <v>155</v>
      </c>
      <c r="C26">
        <v>219</v>
      </c>
      <c r="D26" t="s">
        <v>203</v>
      </c>
      <c r="E26" s="29">
        <v>85.8</v>
      </c>
    </row>
    <row r="27" spans="1:5">
      <c r="A27">
        <v>704</v>
      </c>
      <c r="B27" t="s">
        <v>155</v>
      </c>
      <c r="C27">
        <v>220</v>
      </c>
      <c r="D27" t="s">
        <v>204</v>
      </c>
      <c r="E27" s="29">
        <v>76.8</v>
      </c>
    </row>
    <row r="28" spans="1:5">
      <c r="A28">
        <v>704</v>
      </c>
      <c r="B28" t="s">
        <v>155</v>
      </c>
      <c r="C28">
        <v>221</v>
      </c>
      <c r="D28" t="s">
        <v>205</v>
      </c>
      <c r="E28" s="29">
        <v>157.30000000000001</v>
      </c>
    </row>
    <row r="29" spans="1:5">
      <c r="A29">
        <v>704</v>
      </c>
      <c r="B29" t="s">
        <v>155</v>
      </c>
      <c r="C29">
        <v>226</v>
      </c>
      <c r="D29" t="s">
        <v>825</v>
      </c>
      <c r="E29" s="29">
        <v>138.5</v>
      </c>
    </row>
    <row r="30" spans="1:5">
      <c r="A30">
        <v>704</v>
      </c>
      <c r="B30" t="s">
        <v>155</v>
      </c>
      <c r="C30">
        <v>227</v>
      </c>
      <c r="D30" t="s">
        <v>824</v>
      </c>
      <c r="E30" s="29">
        <v>127.7</v>
      </c>
    </row>
    <row r="31" spans="1:5">
      <c r="A31">
        <v>704</v>
      </c>
      <c r="B31" t="s">
        <v>155</v>
      </c>
      <c r="C31">
        <v>228</v>
      </c>
      <c r="D31" t="s">
        <v>823</v>
      </c>
      <c r="E31" s="29">
        <v>122.8</v>
      </c>
    </row>
    <row r="32" spans="1:5">
      <c r="A32">
        <v>704</v>
      </c>
      <c r="B32" t="s">
        <v>155</v>
      </c>
      <c r="C32">
        <v>229</v>
      </c>
      <c r="D32" t="s">
        <v>206</v>
      </c>
      <c r="E32" s="29">
        <v>72.3</v>
      </c>
    </row>
    <row r="33" spans="1:5">
      <c r="A33">
        <v>704</v>
      </c>
      <c r="B33" t="s">
        <v>155</v>
      </c>
      <c r="C33">
        <v>230</v>
      </c>
      <c r="D33" t="s">
        <v>207</v>
      </c>
      <c r="E33" s="29">
        <v>115.9</v>
      </c>
    </row>
    <row r="34" spans="1:5">
      <c r="A34">
        <v>704</v>
      </c>
      <c r="B34" t="s">
        <v>155</v>
      </c>
      <c r="C34">
        <v>231</v>
      </c>
      <c r="D34" t="s">
        <v>822</v>
      </c>
      <c r="E34" s="29">
        <v>120.7</v>
      </c>
    </row>
    <row r="35" spans="1:5">
      <c r="A35">
        <v>704</v>
      </c>
      <c r="B35" t="s">
        <v>155</v>
      </c>
      <c r="C35">
        <v>233</v>
      </c>
      <c r="D35" t="s">
        <v>821</v>
      </c>
      <c r="E35" s="29">
        <v>121.4</v>
      </c>
    </row>
    <row r="36" spans="1:5">
      <c r="A36">
        <v>704</v>
      </c>
      <c r="B36" t="s">
        <v>155</v>
      </c>
      <c r="C36">
        <v>234</v>
      </c>
      <c r="D36" t="s">
        <v>820</v>
      </c>
      <c r="E36" s="29">
        <v>131.4</v>
      </c>
    </row>
    <row r="37" spans="1:5">
      <c r="A37">
        <v>704</v>
      </c>
      <c r="B37" t="s">
        <v>155</v>
      </c>
      <c r="C37">
        <v>235</v>
      </c>
      <c r="D37" t="s">
        <v>819</v>
      </c>
      <c r="E37" s="29">
        <v>141.30000000000001</v>
      </c>
    </row>
    <row r="38" spans="1:5">
      <c r="A38">
        <v>704</v>
      </c>
      <c r="B38" t="s">
        <v>155</v>
      </c>
      <c r="C38">
        <v>236</v>
      </c>
      <c r="D38" t="s">
        <v>208</v>
      </c>
      <c r="E38" s="29">
        <v>155.4</v>
      </c>
    </row>
    <row r="39" spans="1:5">
      <c r="A39">
        <v>704</v>
      </c>
      <c r="B39" t="s">
        <v>155</v>
      </c>
      <c r="C39">
        <v>237</v>
      </c>
      <c r="D39" t="s">
        <v>818</v>
      </c>
      <c r="E39" s="29">
        <v>165.1</v>
      </c>
    </row>
    <row r="40" spans="1:5">
      <c r="A40">
        <v>704</v>
      </c>
      <c r="B40" t="s">
        <v>155</v>
      </c>
      <c r="C40">
        <v>238</v>
      </c>
      <c r="D40" t="s">
        <v>817</v>
      </c>
      <c r="E40" s="29">
        <v>150.19999999999999</v>
      </c>
    </row>
    <row r="41" spans="1:5">
      <c r="A41">
        <v>704</v>
      </c>
      <c r="B41" t="s">
        <v>155</v>
      </c>
      <c r="C41">
        <v>239</v>
      </c>
      <c r="D41" t="s">
        <v>816</v>
      </c>
      <c r="E41" s="29">
        <v>178.8</v>
      </c>
    </row>
    <row r="42" spans="1:5">
      <c r="A42">
        <v>704</v>
      </c>
      <c r="B42" t="s">
        <v>155</v>
      </c>
      <c r="C42">
        <v>301</v>
      </c>
      <c r="D42" t="s">
        <v>1688</v>
      </c>
      <c r="E42" s="29">
        <v>100.1</v>
      </c>
    </row>
    <row r="43" spans="1:5">
      <c r="A43">
        <v>704</v>
      </c>
      <c r="B43" t="s">
        <v>155</v>
      </c>
      <c r="C43">
        <v>402</v>
      </c>
      <c r="D43" t="s">
        <v>813</v>
      </c>
      <c r="E43" s="29">
        <v>193.9</v>
      </c>
    </row>
    <row r="44" spans="1:5">
      <c r="A44">
        <v>704</v>
      </c>
      <c r="B44" t="s">
        <v>155</v>
      </c>
      <c r="C44">
        <v>403</v>
      </c>
      <c r="D44" t="s">
        <v>812</v>
      </c>
      <c r="E44" s="29">
        <v>225.4</v>
      </c>
    </row>
    <row r="45" spans="1:5">
      <c r="A45">
        <v>704</v>
      </c>
      <c r="B45" t="s">
        <v>155</v>
      </c>
      <c r="C45">
        <v>412</v>
      </c>
      <c r="D45" t="s">
        <v>811</v>
      </c>
      <c r="E45" s="29">
        <v>238.2</v>
      </c>
    </row>
    <row r="46" spans="1:5">
      <c r="A46">
        <v>704</v>
      </c>
      <c r="B46" t="s">
        <v>155</v>
      </c>
      <c r="C46">
        <v>415</v>
      </c>
      <c r="D46" t="s">
        <v>810</v>
      </c>
      <c r="E46" s="29">
        <v>224.8</v>
      </c>
    </row>
    <row r="47" spans="1:5">
      <c r="A47">
        <v>704</v>
      </c>
      <c r="B47" t="s">
        <v>155</v>
      </c>
      <c r="C47">
        <v>417</v>
      </c>
      <c r="D47" t="s">
        <v>809</v>
      </c>
      <c r="E47" s="29">
        <v>214.9</v>
      </c>
    </row>
    <row r="48" spans="1:5">
      <c r="A48">
        <v>704</v>
      </c>
      <c r="B48" t="s">
        <v>155</v>
      </c>
      <c r="C48">
        <v>418</v>
      </c>
      <c r="D48" t="s">
        <v>808</v>
      </c>
      <c r="E48" s="29">
        <v>188.9</v>
      </c>
    </row>
    <row r="49" spans="1:5">
      <c r="A49">
        <v>704</v>
      </c>
      <c r="B49" t="s">
        <v>155</v>
      </c>
      <c r="C49">
        <v>419</v>
      </c>
      <c r="D49" t="s">
        <v>807</v>
      </c>
      <c r="E49" s="29">
        <v>172.5</v>
      </c>
    </row>
    <row r="50" spans="1:5">
      <c r="A50">
        <v>704</v>
      </c>
      <c r="B50" t="s">
        <v>155</v>
      </c>
      <c r="C50">
        <v>420</v>
      </c>
      <c r="D50" t="s">
        <v>806</v>
      </c>
      <c r="E50" s="29">
        <v>202.9</v>
      </c>
    </row>
    <row r="51" spans="1:5">
      <c r="A51">
        <v>704</v>
      </c>
      <c r="B51" t="s">
        <v>155</v>
      </c>
      <c r="C51">
        <v>423</v>
      </c>
      <c r="D51" t="s">
        <v>805</v>
      </c>
      <c r="E51" s="29">
        <v>227.5</v>
      </c>
    </row>
    <row r="52" spans="1:5">
      <c r="A52">
        <v>704</v>
      </c>
      <c r="B52" t="s">
        <v>155</v>
      </c>
      <c r="C52">
        <v>425</v>
      </c>
      <c r="D52" t="s">
        <v>804</v>
      </c>
      <c r="E52" s="29">
        <v>245.5</v>
      </c>
    </row>
    <row r="53" spans="1:5">
      <c r="A53">
        <v>704</v>
      </c>
      <c r="B53" t="s">
        <v>155</v>
      </c>
      <c r="C53">
        <v>426</v>
      </c>
      <c r="D53" t="s">
        <v>803</v>
      </c>
      <c r="E53" s="29">
        <v>254.6</v>
      </c>
    </row>
    <row r="54" spans="1:5">
      <c r="A54">
        <v>704</v>
      </c>
      <c r="B54" t="s">
        <v>155</v>
      </c>
      <c r="C54">
        <v>427</v>
      </c>
      <c r="D54" t="s">
        <v>802</v>
      </c>
      <c r="E54" s="29">
        <v>239.9</v>
      </c>
    </row>
    <row r="55" spans="1:5">
      <c r="A55">
        <v>704</v>
      </c>
      <c r="B55" t="s">
        <v>155</v>
      </c>
      <c r="C55">
        <v>428</v>
      </c>
      <c r="D55" t="s">
        <v>801</v>
      </c>
      <c r="E55" s="29">
        <v>309</v>
      </c>
    </row>
    <row r="56" spans="1:5">
      <c r="A56">
        <v>704</v>
      </c>
      <c r="B56" t="s">
        <v>155</v>
      </c>
      <c r="C56">
        <v>429</v>
      </c>
      <c r="D56" t="s">
        <v>800</v>
      </c>
      <c r="E56" s="29">
        <v>270.10000000000002</v>
      </c>
    </row>
    <row r="57" spans="1:5">
      <c r="A57">
        <v>704</v>
      </c>
      <c r="B57" t="s">
        <v>155</v>
      </c>
      <c r="C57">
        <v>430</v>
      </c>
      <c r="D57" t="s">
        <v>799</v>
      </c>
      <c r="E57" s="29">
        <v>327.9</v>
      </c>
    </row>
    <row r="58" spans="1:5">
      <c r="A58">
        <v>704</v>
      </c>
      <c r="B58" t="s">
        <v>155</v>
      </c>
      <c r="C58">
        <v>432</v>
      </c>
      <c r="D58" t="s">
        <v>798</v>
      </c>
      <c r="E58" s="29">
        <v>373.2</v>
      </c>
    </row>
    <row r="59" spans="1:5">
      <c r="A59">
        <v>704</v>
      </c>
      <c r="B59" t="s">
        <v>155</v>
      </c>
      <c r="C59">
        <v>434</v>
      </c>
      <c r="D59" t="s">
        <v>797</v>
      </c>
      <c r="E59" s="29">
        <v>363.7</v>
      </c>
    </row>
    <row r="60" spans="1:5">
      <c r="A60">
        <v>704</v>
      </c>
      <c r="B60" t="s">
        <v>155</v>
      </c>
      <c r="C60">
        <v>436</v>
      </c>
      <c r="D60" t="s">
        <v>796</v>
      </c>
      <c r="E60" s="29">
        <v>447.7</v>
      </c>
    </row>
    <row r="61" spans="1:5">
      <c r="A61">
        <v>704</v>
      </c>
      <c r="B61" t="s">
        <v>155</v>
      </c>
      <c r="C61">
        <v>437</v>
      </c>
      <c r="D61" t="s">
        <v>795</v>
      </c>
      <c r="E61" s="29">
        <v>426.6</v>
      </c>
    </row>
    <row r="62" spans="1:5">
      <c r="A62">
        <v>704</v>
      </c>
      <c r="B62" t="s">
        <v>155</v>
      </c>
      <c r="C62">
        <v>438</v>
      </c>
      <c r="D62" t="s">
        <v>794</v>
      </c>
      <c r="E62" s="29">
        <v>404.2</v>
      </c>
    </row>
    <row r="63" spans="1:5">
      <c r="A63">
        <v>704</v>
      </c>
      <c r="B63" t="s">
        <v>155</v>
      </c>
      <c r="C63">
        <v>439</v>
      </c>
      <c r="D63" t="s">
        <v>793</v>
      </c>
      <c r="E63" s="29">
        <v>390.7</v>
      </c>
    </row>
    <row r="64" spans="1:5">
      <c r="A64">
        <v>704</v>
      </c>
      <c r="B64" t="s">
        <v>155</v>
      </c>
      <c r="C64">
        <v>441</v>
      </c>
      <c r="D64" t="s">
        <v>711</v>
      </c>
      <c r="E64" s="29">
        <v>468.7</v>
      </c>
    </row>
    <row r="65" spans="1:5">
      <c r="A65">
        <v>704</v>
      </c>
      <c r="B65" t="s">
        <v>155</v>
      </c>
      <c r="C65">
        <v>501</v>
      </c>
      <c r="D65" t="s">
        <v>791</v>
      </c>
      <c r="E65" s="29">
        <v>249</v>
      </c>
    </row>
    <row r="66" spans="1:5">
      <c r="A66">
        <v>704</v>
      </c>
      <c r="B66" t="s">
        <v>155</v>
      </c>
      <c r="C66">
        <v>502</v>
      </c>
      <c r="D66" t="s">
        <v>790</v>
      </c>
      <c r="E66" s="29">
        <v>204.8</v>
      </c>
    </row>
    <row r="67" spans="1:5">
      <c r="A67">
        <v>704</v>
      </c>
      <c r="B67" t="s">
        <v>155</v>
      </c>
      <c r="C67">
        <v>511</v>
      </c>
      <c r="D67" t="s">
        <v>789</v>
      </c>
      <c r="E67" s="29">
        <v>393.8</v>
      </c>
    </row>
    <row r="68" spans="1:5">
      <c r="A68">
        <v>704</v>
      </c>
      <c r="B68" t="s">
        <v>155</v>
      </c>
      <c r="C68">
        <v>512</v>
      </c>
      <c r="D68" t="s">
        <v>788</v>
      </c>
      <c r="E68" s="29">
        <v>421.5</v>
      </c>
    </row>
    <row r="69" spans="1:5">
      <c r="A69">
        <v>704</v>
      </c>
      <c r="B69" t="s">
        <v>155</v>
      </c>
      <c r="C69">
        <v>513</v>
      </c>
      <c r="D69" t="s">
        <v>787</v>
      </c>
      <c r="E69" s="29">
        <v>435.2</v>
      </c>
    </row>
    <row r="70" spans="1:5">
      <c r="A70">
        <v>704</v>
      </c>
      <c r="B70" t="s">
        <v>155</v>
      </c>
      <c r="C70">
        <v>514</v>
      </c>
      <c r="D70" t="s">
        <v>786</v>
      </c>
      <c r="E70" s="29">
        <v>417.8</v>
      </c>
    </row>
    <row r="71" spans="1:5">
      <c r="A71">
        <v>704</v>
      </c>
      <c r="B71" t="s">
        <v>155</v>
      </c>
      <c r="C71">
        <v>515</v>
      </c>
      <c r="D71" t="s">
        <v>785</v>
      </c>
      <c r="E71" s="29">
        <v>390.2</v>
      </c>
    </row>
    <row r="72" spans="1:5">
      <c r="A72">
        <v>704</v>
      </c>
      <c r="B72" t="s">
        <v>155</v>
      </c>
      <c r="C72">
        <v>516</v>
      </c>
      <c r="D72" t="s">
        <v>784</v>
      </c>
      <c r="E72" s="29">
        <v>329.1</v>
      </c>
    </row>
    <row r="73" spans="1:5">
      <c r="A73">
        <v>704</v>
      </c>
      <c r="B73" t="s">
        <v>155</v>
      </c>
      <c r="C73">
        <v>517</v>
      </c>
      <c r="D73" t="s">
        <v>783</v>
      </c>
      <c r="E73" s="29">
        <v>359.5</v>
      </c>
    </row>
    <row r="74" spans="1:5">
      <c r="A74">
        <v>704</v>
      </c>
      <c r="B74" t="s">
        <v>155</v>
      </c>
      <c r="C74">
        <v>519</v>
      </c>
      <c r="D74" t="s">
        <v>782</v>
      </c>
      <c r="E74" s="29">
        <v>317</v>
      </c>
    </row>
    <row r="75" spans="1:5">
      <c r="A75">
        <v>704</v>
      </c>
      <c r="B75" t="s">
        <v>155</v>
      </c>
      <c r="C75">
        <v>520</v>
      </c>
      <c r="D75" t="s">
        <v>781</v>
      </c>
      <c r="E75" s="29">
        <v>305.39999999999998</v>
      </c>
    </row>
    <row r="76" spans="1:5">
      <c r="A76">
        <v>704</v>
      </c>
      <c r="B76" t="s">
        <v>155</v>
      </c>
      <c r="C76">
        <v>521</v>
      </c>
      <c r="D76" t="s">
        <v>780</v>
      </c>
      <c r="E76" s="29">
        <v>263</v>
      </c>
    </row>
    <row r="77" spans="1:5">
      <c r="A77">
        <v>704</v>
      </c>
      <c r="B77" t="s">
        <v>155</v>
      </c>
      <c r="C77">
        <v>522</v>
      </c>
      <c r="D77" t="s">
        <v>779</v>
      </c>
      <c r="E77" s="29">
        <v>268.89999999999998</v>
      </c>
    </row>
    <row r="78" spans="1:5">
      <c r="A78">
        <v>704</v>
      </c>
      <c r="B78" t="s">
        <v>155</v>
      </c>
      <c r="C78">
        <v>528</v>
      </c>
      <c r="D78" t="s">
        <v>1689</v>
      </c>
      <c r="E78" s="29">
        <v>193.3</v>
      </c>
    </row>
    <row r="79" spans="1:5">
      <c r="A79">
        <v>704</v>
      </c>
      <c r="B79" t="s">
        <v>155</v>
      </c>
      <c r="C79">
        <v>529</v>
      </c>
      <c r="D79" t="s">
        <v>1690</v>
      </c>
      <c r="E79" s="29">
        <v>193.7</v>
      </c>
    </row>
    <row r="80" spans="1:5">
      <c r="A80">
        <v>704</v>
      </c>
      <c r="B80" t="s">
        <v>155</v>
      </c>
      <c r="C80">
        <v>532</v>
      </c>
      <c r="D80" t="s">
        <v>776</v>
      </c>
      <c r="E80" s="29">
        <v>127.2</v>
      </c>
    </row>
    <row r="81" spans="1:5">
      <c r="A81">
        <v>704</v>
      </c>
      <c r="B81" t="s">
        <v>155</v>
      </c>
      <c r="C81">
        <v>533</v>
      </c>
      <c r="D81" t="s">
        <v>775</v>
      </c>
      <c r="E81" s="29">
        <v>141.1</v>
      </c>
    </row>
    <row r="82" spans="1:5">
      <c r="A82">
        <v>704</v>
      </c>
      <c r="B82" t="s">
        <v>155</v>
      </c>
      <c r="C82">
        <v>534</v>
      </c>
      <c r="D82" t="s">
        <v>774</v>
      </c>
      <c r="E82" s="29">
        <v>153.4</v>
      </c>
    </row>
    <row r="83" spans="1:5">
      <c r="A83">
        <v>704</v>
      </c>
      <c r="B83" t="s">
        <v>155</v>
      </c>
      <c r="C83">
        <v>536</v>
      </c>
      <c r="D83" t="s">
        <v>1691</v>
      </c>
      <c r="E83" s="29">
        <v>185.2</v>
      </c>
    </row>
    <row r="84" spans="1:5">
      <c r="A84">
        <v>704</v>
      </c>
      <c r="B84" t="s">
        <v>155</v>
      </c>
      <c r="C84">
        <v>538</v>
      </c>
      <c r="D84" t="s">
        <v>1692</v>
      </c>
      <c r="E84" s="29">
        <v>209.4</v>
      </c>
    </row>
    <row r="85" spans="1:5">
      <c r="A85">
        <v>704</v>
      </c>
      <c r="B85" t="s">
        <v>155</v>
      </c>
      <c r="C85">
        <v>540</v>
      </c>
      <c r="D85" t="s">
        <v>771</v>
      </c>
      <c r="E85" s="29">
        <v>215.5</v>
      </c>
    </row>
    <row r="86" spans="1:5">
      <c r="A86">
        <v>704</v>
      </c>
      <c r="B86" t="s">
        <v>155</v>
      </c>
      <c r="C86">
        <v>541</v>
      </c>
      <c r="D86" t="s">
        <v>770</v>
      </c>
      <c r="E86" s="29">
        <v>228.9</v>
      </c>
    </row>
    <row r="87" spans="1:5">
      <c r="A87">
        <v>704</v>
      </c>
      <c r="B87" t="s">
        <v>155</v>
      </c>
      <c r="C87">
        <v>542</v>
      </c>
      <c r="D87" t="s">
        <v>769</v>
      </c>
      <c r="E87" s="29">
        <v>243.3</v>
      </c>
    </row>
    <row r="88" spans="1:5">
      <c r="A88">
        <v>704</v>
      </c>
      <c r="B88" t="s">
        <v>155</v>
      </c>
      <c r="C88">
        <v>543</v>
      </c>
      <c r="D88" t="s">
        <v>1693</v>
      </c>
      <c r="E88" s="29">
        <v>266.8</v>
      </c>
    </row>
    <row r="89" spans="1:5">
      <c r="A89">
        <v>704</v>
      </c>
      <c r="B89" t="s">
        <v>155</v>
      </c>
      <c r="C89">
        <v>544</v>
      </c>
      <c r="D89" t="s">
        <v>1694</v>
      </c>
      <c r="E89" s="29">
        <v>265.89999999999998</v>
      </c>
    </row>
    <row r="90" spans="1:5">
      <c r="A90">
        <v>704</v>
      </c>
      <c r="B90" t="s">
        <v>155</v>
      </c>
      <c r="C90">
        <v>545</v>
      </c>
      <c r="D90" t="s">
        <v>766</v>
      </c>
      <c r="E90" s="29">
        <v>295.60000000000002</v>
      </c>
    </row>
    <row r="91" spans="1:5">
      <c r="A91">
        <v>704</v>
      </c>
      <c r="B91" t="s">
        <v>155</v>
      </c>
      <c r="C91">
        <v>602</v>
      </c>
      <c r="D91" t="s">
        <v>209</v>
      </c>
      <c r="E91" s="29">
        <v>58.8</v>
      </c>
    </row>
    <row r="92" spans="1:5">
      <c r="A92">
        <v>704</v>
      </c>
      <c r="B92" t="s">
        <v>155</v>
      </c>
      <c r="C92">
        <v>604</v>
      </c>
      <c r="D92" t="s">
        <v>210</v>
      </c>
      <c r="E92" s="29">
        <v>76.599999999999994</v>
      </c>
    </row>
    <row r="93" spans="1:5">
      <c r="A93">
        <v>704</v>
      </c>
      <c r="B93" t="s">
        <v>155</v>
      </c>
      <c r="C93">
        <v>605</v>
      </c>
      <c r="D93" t="s">
        <v>211</v>
      </c>
      <c r="E93" s="29">
        <v>115.9</v>
      </c>
    </row>
    <row r="94" spans="1:5">
      <c r="A94">
        <v>704</v>
      </c>
      <c r="B94" t="s">
        <v>155</v>
      </c>
      <c r="C94">
        <v>612</v>
      </c>
      <c r="D94" t="s">
        <v>212</v>
      </c>
      <c r="E94" s="29">
        <v>106.7</v>
      </c>
    </row>
    <row r="95" spans="1:5">
      <c r="A95">
        <v>704</v>
      </c>
      <c r="B95" t="s">
        <v>155</v>
      </c>
      <c r="C95">
        <v>615</v>
      </c>
      <c r="D95" t="s">
        <v>213</v>
      </c>
      <c r="E95" s="29">
        <v>172.4</v>
      </c>
    </row>
    <row r="96" spans="1:5">
      <c r="A96">
        <v>704</v>
      </c>
      <c r="B96" t="s">
        <v>155</v>
      </c>
      <c r="C96">
        <v>616</v>
      </c>
      <c r="D96" t="s">
        <v>208</v>
      </c>
      <c r="E96" s="29">
        <v>195.9</v>
      </c>
    </row>
    <row r="97" spans="1:5">
      <c r="A97">
        <v>704</v>
      </c>
      <c r="B97" t="s">
        <v>155</v>
      </c>
      <c r="C97">
        <v>617</v>
      </c>
      <c r="D97" t="s">
        <v>214</v>
      </c>
      <c r="E97" s="29">
        <v>217</v>
      </c>
    </row>
    <row r="98" spans="1:5">
      <c r="A98">
        <v>704</v>
      </c>
      <c r="B98" t="s">
        <v>155</v>
      </c>
      <c r="C98">
        <v>618</v>
      </c>
      <c r="D98" t="s">
        <v>215</v>
      </c>
      <c r="E98" s="29">
        <v>246.3</v>
      </c>
    </row>
    <row r="99" spans="1:5">
      <c r="A99">
        <v>704</v>
      </c>
      <c r="B99" t="s">
        <v>155</v>
      </c>
      <c r="C99">
        <v>619</v>
      </c>
      <c r="D99" t="s">
        <v>216</v>
      </c>
      <c r="E99" s="29">
        <v>240.8</v>
      </c>
    </row>
    <row r="100" spans="1:5">
      <c r="A100">
        <v>704</v>
      </c>
      <c r="B100" t="s">
        <v>155</v>
      </c>
      <c r="C100">
        <v>620</v>
      </c>
      <c r="D100" t="s">
        <v>217</v>
      </c>
      <c r="E100" s="29">
        <v>251.2</v>
      </c>
    </row>
    <row r="101" spans="1:5">
      <c r="A101">
        <v>704</v>
      </c>
      <c r="B101" t="s">
        <v>155</v>
      </c>
      <c r="C101">
        <v>621</v>
      </c>
      <c r="D101" t="s">
        <v>218</v>
      </c>
      <c r="E101" s="29">
        <v>114.6</v>
      </c>
    </row>
    <row r="102" spans="1:5">
      <c r="A102">
        <v>704</v>
      </c>
      <c r="B102" t="s">
        <v>155</v>
      </c>
      <c r="C102">
        <v>622</v>
      </c>
      <c r="D102" t="s">
        <v>219</v>
      </c>
      <c r="E102" s="29">
        <v>134.5</v>
      </c>
    </row>
    <row r="103" spans="1:5">
      <c r="A103">
        <v>704</v>
      </c>
      <c r="B103" t="s">
        <v>155</v>
      </c>
      <c r="C103">
        <v>623</v>
      </c>
      <c r="D103" t="s">
        <v>220</v>
      </c>
      <c r="E103" s="29">
        <v>98</v>
      </c>
    </row>
    <row r="104" spans="1:5">
      <c r="A104">
        <v>704</v>
      </c>
      <c r="B104" t="s">
        <v>155</v>
      </c>
      <c r="C104">
        <v>624</v>
      </c>
      <c r="D104" t="s">
        <v>1695</v>
      </c>
      <c r="E104" s="29">
        <v>73.7</v>
      </c>
    </row>
    <row r="105" spans="1:5">
      <c r="A105">
        <v>704</v>
      </c>
      <c r="B105" t="s">
        <v>155</v>
      </c>
      <c r="C105">
        <v>625</v>
      </c>
      <c r="D105" t="s">
        <v>1696</v>
      </c>
      <c r="E105" s="29">
        <v>70.2</v>
      </c>
    </row>
    <row r="106" spans="1:5">
      <c r="A106">
        <v>704</v>
      </c>
      <c r="B106" t="s">
        <v>155</v>
      </c>
      <c r="C106">
        <v>626</v>
      </c>
      <c r="D106" t="s">
        <v>221</v>
      </c>
      <c r="E106" s="29">
        <v>64.8</v>
      </c>
    </row>
    <row r="107" spans="1:5">
      <c r="A107">
        <v>704</v>
      </c>
      <c r="B107" t="s">
        <v>155</v>
      </c>
      <c r="C107">
        <v>627</v>
      </c>
      <c r="D107" t="s">
        <v>222</v>
      </c>
      <c r="E107" s="29">
        <v>74.5</v>
      </c>
    </row>
    <row r="108" spans="1:5">
      <c r="A108">
        <v>704</v>
      </c>
      <c r="B108" t="s">
        <v>155</v>
      </c>
      <c r="C108">
        <v>628</v>
      </c>
      <c r="D108" t="s">
        <v>223</v>
      </c>
      <c r="E108" s="29">
        <v>65.3</v>
      </c>
    </row>
    <row r="109" spans="1:5">
      <c r="A109">
        <v>704</v>
      </c>
      <c r="B109" t="s">
        <v>155</v>
      </c>
      <c r="C109">
        <v>631</v>
      </c>
      <c r="D109" t="s">
        <v>764</v>
      </c>
      <c r="E109" s="29">
        <v>98.3</v>
      </c>
    </row>
    <row r="110" spans="1:5">
      <c r="A110">
        <v>704</v>
      </c>
      <c r="B110" t="s">
        <v>155</v>
      </c>
      <c r="C110">
        <v>632</v>
      </c>
      <c r="D110" t="s">
        <v>224</v>
      </c>
      <c r="E110" s="29">
        <v>126.8</v>
      </c>
    </row>
    <row r="111" spans="1:5">
      <c r="A111">
        <v>704</v>
      </c>
      <c r="B111" t="s">
        <v>155</v>
      </c>
      <c r="C111">
        <v>633</v>
      </c>
      <c r="D111" t="s">
        <v>1697</v>
      </c>
      <c r="E111" s="29">
        <v>170.2</v>
      </c>
    </row>
    <row r="112" spans="1:5">
      <c r="A112">
        <v>704</v>
      </c>
      <c r="B112" t="s">
        <v>155</v>
      </c>
      <c r="C112">
        <v>701</v>
      </c>
      <c r="D112" t="s">
        <v>225</v>
      </c>
      <c r="E112" s="29">
        <v>18.7</v>
      </c>
    </row>
    <row r="113" spans="1:6">
      <c r="A113">
        <v>704</v>
      </c>
      <c r="B113" t="s">
        <v>155</v>
      </c>
      <c r="C113">
        <v>702</v>
      </c>
      <c r="D113" t="s">
        <v>762</v>
      </c>
      <c r="E113" s="29">
        <v>26.6</v>
      </c>
    </row>
    <row r="114" spans="1:6">
      <c r="A114">
        <v>704</v>
      </c>
      <c r="B114" t="s">
        <v>155</v>
      </c>
      <c r="C114">
        <v>704</v>
      </c>
      <c r="D114" t="s">
        <v>155</v>
      </c>
      <c r="E114" s="29">
        <v>21.8</v>
      </c>
    </row>
    <row r="115" spans="1:6">
      <c r="A115">
        <v>704</v>
      </c>
      <c r="B115" t="s">
        <v>155</v>
      </c>
      <c r="C115">
        <v>706</v>
      </c>
      <c r="D115" t="s">
        <v>226</v>
      </c>
      <c r="E115" s="29">
        <v>27.4</v>
      </c>
    </row>
    <row r="116" spans="1:6">
      <c r="A116">
        <v>704</v>
      </c>
      <c r="B116" t="s">
        <v>155</v>
      </c>
      <c r="C116">
        <v>709</v>
      </c>
      <c r="D116" t="s">
        <v>761</v>
      </c>
      <c r="E116" s="29">
        <v>38.5</v>
      </c>
    </row>
    <row r="117" spans="1:6">
      <c r="A117">
        <v>704</v>
      </c>
      <c r="B117" t="s">
        <v>155</v>
      </c>
      <c r="C117">
        <v>711</v>
      </c>
      <c r="D117" t="s">
        <v>760</v>
      </c>
      <c r="E117" s="29">
        <v>61.6</v>
      </c>
      <c r="F117">
        <v>1</v>
      </c>
    </row>
    <row r="118" spans="1:6">
      <c r="A118">
        <v>704</v>
      </c>
      <c r="B118" t="s">
        <v>155</v>
      </c>
      <c r="C118">
        <v>713</v>
      </c>
      <c r="D118" t="s">
        <v>227</v>
      </c>
      <c r="E118" s="29">
        <v>40.799999999999997</v>
      </c>
    </row>
    <row r="119" spans="1:6">
      <c r="A119">
        <v>704</v>
      </c>
      <c r="B119" t="s">
        <v>155</v>
      </c>
      <c r="C119">
        <v>714</v>
      </c>
      <c r="D119" t="s">
        <v>759</v>
      </c>
      <c r="E119" s="29">
        <v>38.5</v>
      </c>
    </row>
    <row r="120" spans="1:6">
      <c r="A120">
        <v>704</v>
      </c>
      <c r="B120" t="s">
        <v>155</v>
      </c>
      <c r="C120">
        <v>716</v>
      </c>
      <c r="D120" t="s">
        <v>228</v>
      </c>
      <c r="E120" s="29">
        <v>16.899999999999999</v>
      </c>
    </row>
    <row r="121" spans="1:6">
      <c r="A121">
        <v>704</v>
      </c>
      <c r="B121" t="s">
        <v>155</v>
      </c>
      <c r="C121">
        <v>719</v>
      </c>
      <c r="D121" t="s">
        <v>758</v>
      </c>
      <c r="E121" s="29">
        <v>17.600000000000001</v>
      </c>
    </row>
    <row r="122" spans="1:6">
      <c r="A122">
        <v>704</v>
      </c>
      <c r="B122" t="s">
        <v>155</v>
      </c>
      <c r="C122">
        <v>720</v>
      </c>
      <c r="D122" t="s">
        <v>757</v>
      </c>
      <c r="E122" s="29">
        <v>14.9</v>
      </c>
    </row>
    <row r="123" spans="1:6">
      <c r="A123">
        <v>704</v>
      </c>
      <c r="B123" t="s">
        <v>155</v>
      </c>
      <c r="C123">
        <v>722</v>
      </c>
      <c r="D123" t="s">
        <v>756</v>
      </c>
      <c r="E123" s="29">
        <v>6</v>
      </c>
    </row>
    <row r="124" spans="1:6">
      <c r="A124">
        <v>704</v>
      </c>
      <c r="B124" t="s">
        <v>155</v>
      </c>
      <c r="C124">
        <v>723</v>
      </c>
      <c r="D124" t="s">
        <v>755</v>
      </c>
      <c r="E124" s="29">
        <v>19.899999999999999</v>
      </c>
    </row>
    <row r="125" spans="1:6">
      <c r="A125">
        <v>704</v>
      </c>
      <c r="B125" t="s">
        <v>155</v>
      </c>
      <c r="C125">
        <v>728</v>
      </c>
      <c r="D125" t="s">
        <v>754</v>
      </c>
      <c r="E125" s="29">
        <v>45.6</v>
      </c>
    </row>
    <row r="126" spans="1:6">
      <c r="A126">
        <v>704</v>
      </c>
      <c r="B126" t="s">
        <v>155</v>
      </c>
      <c r="C126">
        <v>805</v>
      </c>
      <c r="D126" t="s">
        <v>229</v>
      </c>
      <c r="E126" s="29">
        <v>63.6</v>
      </c>
      <c r="F126">
        <v>1</v>
      </c>
    </row>
    <row r="127" spans="1:6">
      <c r="A127">
        <v>704</v>
      </c>
      <c r="B127" t="s">
        <v>155</v>
      </c>
      <c r="C127">
        <v>806</v>
      </c>
      <c r="D127" t="s">
        <v>230</v>
      </c>
      <c r="E127" s="29">
        <v>72.5</v>
      </c>
    </row>
    <row r="128" spans="1:6">
      <c r="A128">
        <v>704</v>
      </c>
      <c r="B128" t="s">
        <v>155</v>
      </c>
      <c r="C128">
        <v>807</v>
      </c>
      <c r="D128" t="s">
        <v>231</v>
      </c>
      <c r="E128" s="29">
        <v>99.6</v>
      </c>
    </row>
    <row r="129" spans="1:6">
      <c r="A129">
        <v>704</v>
      </c>
      <c r="B129" t="s">
        <v>155</v>
      </c>
      <c r="C129">
        <v>811</v>
      </c>
      <c r="D129" t="s">
        <v>232</v>
      </c>
      <c r="E129" s="29">
        <v>60.9</v>
      </c>
    </row>
    <row r="130" spans="1:6">
      <c r="A130">
        <v>704</v>
      </c>
      <c r="B130" t="s">
        <v>155</v>
      </c>
      <c r="C130">
        <v>814</v>
      </c>
      <c r="D130" t="s">
        <v>233</v>
      </c>
      <c r="E130" s="29">
        <v>76.099999999999994</v>
      </c>
    </row>
    <row r="131" spans="1:6">
      <c r="A131">
        <v>704</v>
      </c>
      <c r="B131" t="s">
        <v>155</v>
      </c>
      <c r="C131">
        <v>815</v>
      </c>
      <c r="D131" t="s">
        <v>234</v>
      </c>
      <c r="E131" s="29">
        <v>106.1</v>
      </c>
    </row>
    <row r="132" spans="1:6">
      <c r="A132">
        <v>704</v>
      </c>
      <c r="B132" t="s">
        <v>155</v>
      </c>
      <c r="C132">
        <v>817</v>
      </c>
      <c r="D132" t="s">
        <v>235</v>
      </c>
      <c r="E132" s="29">
        <v>116.6</v>
      </c>
      <c r="F132">
        <v>1</v>
      </c>
    </row>
    <row r="133" spans="1:6">
      <c r="A133">
        <v>704</v>
      </c>
      <c r="B133" t="s">
        <v>155</v>
      </c>
      <c r="C133">
        <v>819</v>
      </c>
      <c r="D133" t="s">
        <v>236</v>
      </c>
      <c r="E133" s="29">
        <v>96.9</v>
      </c>
      <c r="F133">
        <v>1</v>
      </c>
    </row>
    <row r="134" spans="1:6">
      <c r="A134">
        <v>704</v>
      </c>
      <c r="B134" t="s">
        <v>155</v>
      </c>
      <c r="C134">
        <v>821</v>
      </c>
      <c r="D134" t="s">
        <v>546</v>
      </c>
      <c r="E134" s="29">
        <v>118.4</v>
      </c>
    </row>
    <row r="135" spans="1:6">
      <c r="A135">
        <v>704</v>
      </c>
      <c r="B135" t="s">
        <v>155</v>
      </c>
      <c r="C135">
        <v>822</v>
      </c>
      <c r="D135" t="s">
        <v>237</v>
      </c>
      <c r="E135" s="29">
        <v>112.3</v>
      </c>
    </row>
    <row r="136" spans="1:6">
      <c r="A136">
        <v>704</v>
      </c>
      <c r="B136" t="s">
        <v>155</v>
      </c>
      <c r="C136">
        <v>826</v>
      </c>
      <c r="D136" t="s">
        <v>238</v>
      </c>
      <c r="E136" s="29">
        <v>171.2</v>
      </c>
    </row>
    <row r="137" spans="1:6">
      <c r="A137">
        <v>704</v>
      </c>
      <c r="B137" t="s">
        <v>155</v>
      </c>
      <c r="C137">
        <v>827</v>
      </c>
      <c r="D137" t="s">
        <v>239</v>
      </c>
      <c r="E137" s="29">
        <v>121.9</v>
      </c>
    </row>
    <row r="138" spans="1:6">
      <c r="A138">
        <v>704</v>
      </c>
      <c r="B138" t="s">
        <v>155</v>
      </c>
      <c r="C138">
        <v>828</v>
      </c>
      <c r="D138" t="s">
        <v>240</v>
      </c>
      <c r="E138" s="29">
        <v>148.19999999999999</v>
      </c>
    </row>
    <row r="139" spans="1:6">
      <c r="A139">
        <v>704</v>
      </c>
      <c r="B139" t="s">
        <v>155</v>
      </c>
      <c r="C139">
        <v>829</v>
      </c>
      <c r="D139" t="s">
        <v>241</v>
      </c>
      <c r="E139" s="29">
        <v>166.1</v>
      </c>
    </row>
    <row r="140" spans="1:6">
      <c r="A140">
        <v>704</v>
      </c>
      <c r="B140" t="s">
        <v>155</v>
      </c>
      <c r="C140">
        <v>830</v>
      </c>
      <c r="D140" t="s">
        <v>752</v>
      </c>
      <c r="E140" s="29">
        <v>157.30000000000001</v>
      </c>
    </row>
    <row r="141" spans="1:6">
      <c r="A141">
        <v>704</v>
      </c>
      <c r="B141" t="s">
        <v>155</v>
      </c>
      <c r="C141">
        <v>831</v>
      </c>
      <c r="D141" t="s">
        <v>242</v>
      </c>
      <c r="E141" s="29">
        <v>208</v>
      </c>
    </row>
    <row r="142" spans="1:6">
      <c r="A142">
        <v>704</v>
      </c>
      <c r="B142" t="s">
        <v>155</v>
      </c>
      <c r="C142">
        <v>833</v>
      </c>
      <c r="D142" t="s">
        <v>243</v>
      </c>
      <c r="E142" s="29">
        <v>200.4</v>
      </c>
    </row>
    <row r="143" spans="1:6">
      <c r="A143">
        <v>704</v>
      </c>
      <c r="B143" t="s">
        <v>155</v>
      </c>
      <c r="C143">
        <v>834</v>
      </c>
      <c r="D143" t="s">
        <v>244</v>
      </c>
      <c r="E143" s="29">
        <v>199.2</v>
      </c>
    </row>
    <row r="144" spans="1:6">
      <c r="A144">
        <v>704</v>
      </c>
      <c r="B144" t="s">
        <v>155</v>
      </c>
      <c r="C144">
        <v>901</v>
      </c>
      <c r="D144" t="s">
        <v>750</v>
      </c>
      <c r="E144" s="29">
        <v>142</v>
      </c>
    </row>
    <row r="145" spans="1:5">
      <c r="A145">
        <v>704</v>
      </c>
      <c r="B145" t="s">
        <v>155</v>
      </c>
      <c r="C145">
        <v>904</v>
      </c>
      <c r="D145" t="s">
        <v>245</v>
      </c>
      <c r="E145" s="29">
        <v>183.4</v>
      </c>
    </row>
    <row r="146" spans="1:5">
      <c r="A146">
        <v>704</v>
      </c>
      <c r="B146" t="s">
        <v>155</v>
      </c>
      <c r="C146">
        <v>906</v>
      </c>
      <c r="D146" t="s">
        <v>749</v>
      </c>
      <c r="E146" s="29">
        <v>166.6</v>
      </c>
    </row>
    <row r="147" spans="1:5">
      <c r="A147">
        <v>704</v>
      </c>
      <c r="B147" t="s">
        <v>155</v>
      </c>
      <c r="C147">
        <v>911</v>
      </c>
      <c r="D147" t="s">
        <v>748</v>
      </c>
      <c r="E147" s="29">
        <v>125.1</v>
      </c>
    </row>
    <row r="148" spans="1:5">
      <c r="A148">
        <v>704</v>
      </c>
      <c r="B148" t="s">
        <v>155</v>
      </c>
      <c r="C148">
        <v>912</v>
      </c>
      <c r="D148" t="s">
        <v>246</v>
      </c>
      <c r="E148" s="29">
        <v>136</v>
      </c>
    </row>
    <row r="149" spans="1:5">
      <c r="A149">
        <v>704</v>
      </c>
      <c r="B149" t="s">
        <v>155</v>
      </c>
      <c r="C149">
        <v>914</v>
      </c>
      <c r="D149" t="s">
        <v>247</v>
      </c>
      <c r="E149" s="29">
        <v>144.6</v>
      </c>
    </row>
    <row r="150" spans="1:5">
      <c r="A150">
        <v>704</v>
      </c>
      <c r="B150" t="s">
        <v>155</v>
      </c>
      <c r="C150">
        <v>919</v>
      </c>
      <c r="D150" t="s">
        <v>248</v>
      </c>
      <c r="E150" s="29">
        <v>174.7</v>
      </c>
    </row>
    <row r="151" spans="1:5">
      <c r="A151">
        <v>704</v>
      </c>
      <c r="B151" t="s">
        <v>155</v>
      </c>
      <c r="C151">
        <v>926</v>
      </c>
      <c r="D151" t="s">
        <v>747</v>
      </c>
      <c r="E151" s="29">
        <v>201.6</v>
      </c>
    </row>
    <row r="152" spans="1:5">
      <c r="A152">
        <v>704</v>
      </c>
      <c r="B152" t="s">
        <v>155</v>
      </c>
      <c r="C152">
        <v>928</v>
      </c>
      <c r="D152" t="s">
        <v>249</v>
      </c>
      <c r="E152" s="29">
        <v>212.6</v>
      </c>
    </row>
    <row r="153" spans="1:5">
      <c r="A153">
        <v>704</v>
      </c>
      <c r="B153" t="s">
        <v>155</v>
      </c>
      <c r="C153">
        <v>929</v>
      </c>
      <c r="D153" t="s">
        <v>746</v>
      </c>
      <c r="E153" s="29">
        <v>174.3</v>
      </c>
    </row>
    <row r="154" spans="1:5">
      <c r="A154">
        <v>704</v>
      </c>
      <c r="B154" t="s">
        <v>155</v>
      </c>
      <c r="C154">
        <v>935</v>
      </c>
      <c r="D154" t="s">
        <v>250</v>
      </c>
      <c r="E154" s="29">
        <v>248.6</v>
      </c>
    </row>
    <row r="155" spans="1:5">
      <c r="A155">
        <v>704</v>
      </c>
      <c r="B155" t="s">
        <v>155</v>
      </c>
      <c r="C155">
        <v>937</v>
      </c>
      <c r="D155" t="s">
        <v>1698</v>
      </c>
      <c r="E155" s="29">
        <v>269.39999999999998</v>
      </c>
    </row>
    <row r="156" spans="1:5">
      <c r="A156">
        <v>704</v>
      </c>
      <c r="B156" t="s">
        <v>155</v>
      </c>
      <c r="C156">
        <v>938</v>
      </c>
      <c r="D156" t="s">
        <v>251</v>
      </c>
      <c r="E156" s="29">
        <v>278.8</v>
      </c>
    </row>
    <row r="157" spans="1:5">
      <c r="A157">
        <v>704</v>
      </c>
      <c r="B157" t="s">
        <v>155</v>
      </c>
      <c r="C157">
        <v>940</v>
      </c>
      <c r="D157" t="s">
        <v>744</v>
      </c>
      <c r="E157" s="29">
        <v>259.89999999999998</v>
      </c>
    </row>
    <row r="158" spans="1:5">
      <c r="A158">
        <v>704</v>
      </c>
      <c r="B158" t="s">
        <v>155</v>
      </c>
      <c r="C158">
        <v>941</v>
      </c>
      <c r="D158" t="s">
        <v>743</v>
      </c>
      <c r="E158" s="29">
        <v>275.5</v>
      </c>
    </row>
    <row r="159" spans="1:5">
      <c r="A159">
        <v>704</v>
      </c>
      <c r="B159" t="s">
        <v>155</v>
      </c>
      <c r="C159">
        <v>1002</v>
      </c>
      <c r="D159" t="s">
        <v>252</v>
      </c>
      <c r="E159" s="29">
        <v>269.89999999999998</v>
      </c>
    </row>
    <row r="160" spans="1:5">
      <c r="A160">
        <v>704</v>
      </c>
      <c r="B160" t="s">
        <v>155</v>
      </c>
      <c r="C160">
        <v>1003</v>
      </c>
      <c r="D160" t="s">
        <v>253</v>
      </c>
      <c r="E160" s="29">
        <v>318.60000000000002</v>
      </c>
    </row>
    <row r="161" spans="1:5">
      <c r="A161">
        <v>704</v>
      </c>
      <c r="B161" t="s">
        <v>155</v>
      </c>
      <c r="C161">
        <v>1004</v>
      </c>
      <c r="D161" t="s">
        <v>254</v>
      </c>
      <c r="E161" s="29">
        <v>336.4</v>
      </c>
    </row>
    <row r="162" spans="1:5">
      <c r="A162">
        <v>704</v>
      </c>
      <c r="B162" t="s">
        <v>155</v>
      </c>
      <c r="C162">
        <v>1014</v>
      </c>
      <c r="D162" t="s">
        <v>255</v>
      </c>
      <c r="E162" s="29">
        <v>233.4</v>
      </c>
    </row>
    <row r="163" spans="1:5">
      <c r="A163">
        <v>704</v>
      </c>
      <c r="B163" t="s">
        <v>155</v>
      </c>
      <c r="C163">
        <v>1017</v>
      </c>
      <c r="D163" t="s">
        <v>741</v>
      </c>
      <c r="E163" s="29">
        <v>239.7</v>
      </c>
    </row>
    <row r="164" spans="1:5">
      <c r="A164">
        <v>704</v>
      </c>
      <c r="B164" t="s">
        <v>155</v>
      </c>
      <c r="C164">
        <v>1018</v>
      </c>
      <c r="D164" t="s">
        <v>256</v>
      </c>
      <c r="E164" s="29">
        <v>243.7</v>
      </c>
    </row>
    <row r="165" spans="1:5">
      <c r="A165">
        <v>704</v>
      </c>
      <c r="B165" t="s">
        <v>155</v>
      </c>
      <c r="C165">
        <v>1021</v>
      </c>
      <c r="D165" t="s">
        <v>257</v>
      </c>
      <c r="E165" s="29">
        <v>269.7</v>
      </c>
    </row>
    <row r="166" spans="1:5">
      <c r="A166">
        <v>704</v>
      </c>
      <c r="B166" t="s">
        <v>155</v>
      </c>
      <c r="C166">
        <v>1026</v>
      </c>
      <c r="D166" t="s">
        <v>740</v>
      </c>
      <c r="E166" s="29">
        <v>301.89999999999998</v>
      </c>
    </row>
    <row r="167" spans="1:5">
      <c r="A167">
        <v>704</v>
      </c>
      <c r="B167" t="s">
        <v>155</v>
      </c>
      <c r="C167">
        <v>1027</v>
      </c>
      <c r="D167" t="s">
        <v>258</v>
      </c>
      <c r="E167" s="29">
        <v>283.5</v>
      </c>
    </row>
    <row r="168" spans="1:5">
      <c r="A168">
        <v>704</v>
      </c>
      <c r="B168" t="s">
        <v>155</v>
      </c>
      <c r="C168">
        <v>1029</v>
      </c>
      <c r="D168" t="s">
        <v>259</v>
      </c>
      <c r="E168" s="29">
        <v>281.8</v>
      </c>
    </row>
    <row r="169" spans="1:5">
      <c r="A169">
        <v>704</v>
      </c>
      <c r="B169" t="s">
        <v>155</v>
      </c>
      <c r="C169">
        <v>1032</v>
      </c>
      <c r="D169" t="s">
        <v>260</v>
      </c>
      <c r="E169" s="29">
        <v>301.60000000000002</v>
      </c>
    </row>
    <row r="170" spans="1:5">
      <c r="A170">
        <v>704</v>
      </c>
      <c r="B170" t="s">
        <v>155</v>
      </c>
      <c r="C170">
        <v>1034</v>
      </c>
      <c r="D170" t="s">
        <v>261</v>
      </c>
      <c r="E170" s="29">
        <v>296.3</v>
      </c>
    </row>
    <row r="171" spans="1:5">
      <c r="A171">
        <v>704</v>
      </c>
      <c r="B171" t="s">
        <v>155</v>
      </c>
      <c r="C171">
        <v>1037</v>
      </c>
      <c r="D171" t="s">
        <v>262</v>
      </c>
      <c r="E171" s="29">
        <v>326.60000000000002</v>
      </c>
    </row>
    <row r="172" spans="1:5">
      <c r="A172">
        <v>704</v>
      </c>
      <c r="B172" t="s">
        <v>155</v>
      </c>
      <c r="C172">
        <v>1046</v>
      </c>
      <c r="D172" t="s">
        <v>739</v>
      </c>
      <c r="E172" s="29">
        <v>361.3</v>
      </c>
    </row>
    <row r="173" spans="1:5">
      <c r="A173">
        <v>704</v>
      </c>
      <c r="B173" t="s">
        <v>155</v>
      </c>
      <c r="C173">
        <v>1001</v>
      </c>
      <c r="D173" t="s">
        <v>263</v>
      </c>
      <c r="E173" s="29">
        <v>229.6</v>
      </c>
    </row>
    <row r="174" spans="1:5">
      <c r="A174">
        <v>704</v>
      </c>
      <c r="B174" t="s">
        <v>155</v>
      </c>
      <c r="C174">
        <v>1101</v>
      </c>
      <c r="D174" t="s">
        <v>737</v>
      </c>
      <c r="E174" s="29">
        <v>406.3</v>
      </c>
    </row>
    <row r="175" spans="1:5">
      <c r="A175">
        <v>704</v>
      </c>
      <c r="B175" t="s">
        <v>155</v>
      </c>
      <c r="C175">
        <v>1102</v>
      </c>
      <c r="D175" t="s">
        <v>264</v>
      </c>
      <c r="E175" s="29">
        <v>449.6</v>
      </c>
    </row>
    <row r="176" spans="1:5">
      <c r="A176">
        <v>704</v>
      </c>
      <c r="B176" t="s">
        <v>155</v>
      </c>
      <c r="C176">
        <v>1106</v>
      </c>
      <c r="D176" t="s">
        <v>735</v>
      </c>
      <c r="E176" s="29">
        <v>429.5</v>
      </c>
    </row>
    <row r="177" spans="1:5">
      <c r="A177">
        <v>704</v>
      </c>
      <c r="B177" t="s">
        <v>155</v>
      </c>
      <c r="C177">
        <v>1111</v>
      </c>
      <c r="D177" t="s">
        <v>265</v>
      </c>
      <c r="E177" s="29">
        <v>372.9</v>
      </c>
    </row>
    <row r="178" spans="1:5">
      <c r="A178">
        <v>704</v>
      </c>
      <c r="B178" t="s">
        <v>155</v>
      </c>
      <c r="C178">
        <v>1112</v>
      </c>
      <c r="D178" t="s">
        <v>266</v>
      </c>
      <c r="E178" s="29">
        <v>358.7</v>
      </c>
    </row>
    <row r="179" spans="1:5">
      <c r="A179">
        <v>704</v>
      </c>
      <c r="B179" t="s">
        <v>155</v>
      </c>
      <c r="C179">
        <v>1114</v>
      </c>
      <c r="D179" t="s">
        <v>267</v>
      </c>
      <c r="E179" s="29">
        <v>409.8</v>
      </c>
    </row>
    <row r="180" spans="1:5">
      <c r="A180">
        <v>704</v>
      </c>
      <c r="B180" t="s">
        <v>155</v>
      </c>
      <c r="C180">
        <v>1119</v>
      </c>
      <c r="D180" t="s">
        <v>268</v>
      </c>
      <c r="E180" s="29">
        <v>440</v>
      </c>
    </row>
    <row r="181" spans="1:5">
      <c r="A181">
        <v>704</v>
      </c>
      <c r="B181" t="s">
        <v>155</v>
      </c>
      <c r="C181">
        <v>1120</v>
      </c>
      <c r="D181" t="s">
        <v>269</v>
      </c>
      <c r="E181" s="29">
        <v>449.4</v>
      </c>
    </row>
    <row r="182" spans="1:5">
      <c r="A182">
        <v>704</v>
      </c>
      <c r="B182" t="s">
        <v>155</v>
      </c>
      <c r="C182">
        <v>1121</v>
      </c>
      <c r="D182" t="s">
        <v>270</v>
      </c>
      <c r="E182" s="29">
        <v>446.5</v>
      </c>
    </row>
    <row r="183" spans="1:5">
      <c r="A183">
        <v>704</v>
      </c>
      <c r="B183" t="s">
        <v>155</v>
      </c>
      <c r="C183">
        <v>1122</v>
      </c>
      <c r="D183" t="s">
        <v>271</v>
      </c>
      <c r="E183" s="29">
        <v>433.2</v>
      </c>
    </row>
    <row r="184" spans="1:5">
      <c r="A184">
        <v>704</v>
      </c>
      <c r="B184" t="s">
        <v>155</v>
      </c>
      <c r="C184">
        <v>1124</v>
      </c>
      <c r="D184" t="s">
        <v>734</v>
      </c>
      <c r="E184" s="29">
        <v>456.1</v>
      </c>
    </row>
    <row r="185" spans="1:5">
      <c r="A185">
        <v>704</v>
      </c>
      <c r="B185" t="s">
        <v>155</v>
      </c>
      <c r="C185">
        <v>1127</v>
      </c>
      <c r="D185" t="s">
        <v>733</v>
      </c>
      <c r="E185" s="29">
        <v>467.9</v>
      </c>
    </row>
    <row r="186" spans="1:5">
      <c r="A186">
        <v>704</v>
      </c>
      <c r="B186" t="s">
        <v>155</v>
      </c>
      <c r="C186">
        <v>1129</v>
      </c>
      <c r="D186" t="s">
        <v>732</v>
      </c>
      <c r="E186" s="29">
        <v>461.2</v>
      </c>
    </row>
    <row r="187" spans="1:5">
      <c r="A187">
        <v>704</v>
      </c>
      <c r="B187" t="s">
        <v>155</v>
      </c>
      <c r="C187">
        <v>1130</v>
      </c>
      <c r="D187" t="s">
        <v>731</v>
      </c>
      <c r="E187" s="29">
        <v>458.2</v>
      </c>
    </row>
    <row r="188" spans="1:5">
      <c r="A188">
        <v>704</v>
      </c>
      <c r="B188" t="s">
        <v>155</v>
      </c>
      <c r="C188">
        <v>1133</v>
      </c>
      <c r="D188" t="s">
        <v>272</v>
      </c>
      <c r="E188" s="29">
        <v>403.6</v>
      </c>
    </row>
    <row r="189" spans="1:5">
      <c r="A189">
        <v>704</v>
      </c>
      <c r="B189" t="s">
        <v>155</v>
      </c>
      <c r="C189">
        <v>1134</v>
      </c>
      <c r="D189" t="s">
        <v>273</v>
      </c>
      <c r="E189" s="29">
        <v>364.8</v>
      </c>
    </row>
    <row r="190" spans="1:5">
      <c r="A190">
        <v>704</v>
      </c>
      <c r="B190" t="s">
        <v>155</v>
      </c>
      <c r="C190">
        <v>1135</v>
      </c>
      <c r="D190" t="s">
        <v>274</v>
      </c>
      <c r="E190" s="29">
        <v>338.3</v>
      </c>
    </row>
    <row r="191" spans="1:5">
      <c r="A191">
        <v>704</v>
      </c>
      <c r="B191" t="s">
        <v>155</v>
      </c>
      <c r="C191">
        <v>1141</v>
      </c>
      <c r="D191" t="s">
        <v>275</v>
      </c>
      <c r="E191" s="29">
        <v>416.4</v>
      </c>
    </row>
    <row r="192" spans="1:5">
      <c r="A192">
        <v>704</v>
      </c>
      <c r="B192" t="s">
        <v>155</v>
      </c>
      <c r="C192">
        <v>1142</v>
      </c>
      <c r="D192" t="s">
        <v>730</v>
      </c>
      <c r="E192" s="29">
        <v>485.9</v>
      </c>
    </row>
    <row r="193" spans="1:5">
      <c r="A193">
        <v>704</v>
      </c>
      <c r="B193" t="s">
        <v>155</v>
      </c>
      <c r="C193">
        <v>1144</v>
      </c>
      <c r="D193" t="s">
        <v>729</v>
      </c>
      <c r="E193" s="29">
        <v>471.7</v>
      </c>
    </row>
    <row r="194" spans="1:5">
      <c r="A194">
        <v>704</v>
      </c>
      <c r="B194" t="s">
        <v>155</v>
      </c>
      <c r="C194">
        <v>1145</v>
      </c>
      <c r="D194" t="s">
        <v>728</v>
      </c>
      <c r="E194" s="29">
        <v>447.3</v>
      </c>
    </row>
    <row r="195" spans="1:5">
      <c r="A195">
        <v>704</v>
      </c>
      <c r="B195" t="s">
        <v>155</v>
      </c>
      <c r="C195">
        <v>1146</v>
      </c>
      <c r="D195" t="s">
        <v>276</v>
      </c>
      <c r="E195" s="29">
        <v>416.6</v>
      </c>
    </row>
    <row r="196" spans="1:5">
      <c r="A196">
        <v>704</v>
      </c>
      <c r="B196" t="s">
        <v>155</v>
      </c>
      <c r="C196">
        <v>1149</v>
      </c>
      <c r="D196" t="s">
        <v>727</v>
      </c>
      <c r="E196" s="29">
        <v>441.9</v>
      </c>
    </row>
    <row r="197" spans="1:5">
      <c r="A197">
        <v>704</v>
      </c>
      <c r="B197" t="s">
        <v>155</v>
      </c>
      <c r="C197">
        <v>1151</v>
      </c>
      <c r="D197" t="s">
        <v>726</v>
      </c>
      <c r="E197" s="29">
        <v>430.9</v>
      </c>
    </row>
    <row r="198" spans="1:5">
      <c r="A198">
        <v>704</v>
      </c>
      <c r="B198" t="s">
        <v>155</v>
      </c>
      <c r="C198">
        <v>1154</v>
      </c>
      <c r="D198" t="s">
        <v>277</v>
      </c>
      <c r="E198" s="29">
        <v>391.5</v>
      </c>
    </row>
    <row r="199" spans="1:5">
      <c r="A199">
        <v>704</v>
      </c>
      <c r="B199" t="s">
        <v>155</v>
      </c>
      <c r="C199">
        <v>1159</v>
      </c>
      <c r="D199" t="s">
        <v>1699</v>
      </c>
      <c r="E199" s="29">
        <v>382.1</v>
      </c>
    </row>
    <row r="200" spans="1:5">
      <c r="A200">
        <v>704</v>
      </c>
      <c r="B200" t="s">
        <v>155</v>
      </c>
      <c r="C200">
        <v>1103</v>
      </c>
      <c r="D200" t="s">
        <v>736</v>
      </c>
      <c r="E200" s="29">
        <v>458.7</v>
      </c>
    </row>
    <row r="201" spans="1:5">
      <c r="A201">
        <v>704</v>
      </c>
      <c r="B201" t="s">
        <v>155</v>
      </c>
      <c r="C201">
        <v>1211</v>
      </c>
      <c r="D201" t="s">
        <v>278</v>
      </c>
      <c r="E201" s="29">
        <v>370</v>
      </c>
    </row>
    <row r="202" spans="1:5">
      <c r="A202">
        <v>704</v>
      </c>
      <c r="B202" t="s">
        <v>155</v>
      </c>
      <c r="C202">
        <v>1216</v>
      </c>
      <c r="D202" t="s">
        <v>279</v>
      </c>
      <c r="E202" s="29">
        <v>430.4</v>
      </c>
    </row>
    <row r="203" spans="1:5">
      <c r="A203">
        <v>704</v>
      </c>
      <c r="B203" t="s">
        <v>155</v>
      </c>
      <c r="C203">
        <v>1219</v>
      </c>
      <c r="D203" t="s">
        <v>723</v>
      </c>
      <c r="E203" s="29">
        <v>468.3</v>
      </c>
    </row>
    <row r="204" spans="1:5">
      <c r="A204">
        <v>704</v>
      </c>
      <c r="B204" t="s">
        <v>155</v>
      </c>
      <c r="C204">
        <v>1221</v>
      </c>
      <c r="D204" t="s">
        <v>722</v>
      </c>
      <c r="E204" s="29">
        <v>457.4</v>
      </c>
    </row>
    <row r="205" spans="1:5">
      <c r="A205">
        <v>704</v>
      </c>
      <c r="B205" t="s">
        <v>155</v>
      </c>
      <c r="C205">
        <v>1222</v>
      </c>
      <c r="D205" t="s">
        <v>721</v>
      </c>
      <c r="E205" s="29">
        <v>477.6</v>
      </c>
    </row>
    <row r="206" spans="1:5">
      <c r="A206">
        <v>704</v>
      </c>
      <c r="B206" t="s">
        <v>155</v>
      </c>
      <c r="C206">
        <v>1223</v>
      </c>
      <c r="D206" t="s">
        <v>720</v>
      </c>
      <c r="E206" s="29">
        <v>411.2</v>
      </c>
    </row>
    <row r="207" spans="1:5">
      <c r="A207">
        <v>704</v>
      </c>
      <c r="B207" t="s">
        <v>155</v>
      </c>
      <c r="C207">
        <v>1224</v>
      </c>
      <c r="D207" t="s">
        <v>280</v>
      </c>
      <c r="E207" s="29">
        <v>377.9</v>
      </c>
    </row>
    <row r="208" spans="1:5">
      <c r="A208">
        <v>704</v>
      </c>
      <c r="B208" t="s">
        <v>155</v>
      </c>
      <c r="C208">
        <v>1227</v>
      </c>
      <c r="D208" t="s">
        <v>719</v>
      </c>
      <c r="E208" s="29">
        <v>413.4</v>
      </c>
    </row>
    <row r="209" spans="1:5">
      <c r="A209">
        <v>704</v>
      </c>
      <c r="B209" t="s">
        <v>155</v>
      </c>
      <c r="C209">
        <v>1228</v>
      </c>
      <c r="D209" t="s">
        <v>281</v>
      </c>
      <c r="E209" s="29">
        <v>332.5</v>
      </c>
    </row>
    <row r="210" spans="1:5">
      <c r="A210">
        <v>704</v>
      </c>
      <c r="B210" t="s">
        <v>155</v>
      </c>
      <c r="C210">
        <v>1231</v>
      </c>
      <c r="D210" t="s">
        <v>718</v>
      </c>
      <c r="E210" s="29">
        <v>355.7</v>
      </c>
    </row>
    <row r="211" spans="1:5">
      <c r="A211">
        <v>704</v>
      </c>
      <c r="B211" t="s">
        <v>155</v>
      </c>
      <c r="C211">
        <v>1232</v>
      </c>
      <c r="D211" t="s">
        <v>717</v>
      </c>
      <c r="E211" s="29">
        <v>326.10000000000002</v>
      </c>
    </row>
    <row r="212" spans="1:5">
      <c r="A212">
        <v>704</v>
      </c>
      <c r="B212" t="s">
        <v>155</v>
      </c>
      <c r="C212">
        <v>1233</v>
      </c>
      <c r="D212" t="s">
        <v>716</v>
      </c>
      <c r="E212" s="29">
        <v>360.5</v>
      </c>
    </row>
    <row r="213" spans="1:5">
      <c r="A213">
        <v>704</v>
      </c>
      <c r="B213" t="s">
        <v>155</v>
      </c>
      <c r="C213">
        <v>1234</v>
      </c>
      <c r="D213" t="s">
        <v>715</v>
      </c>
      <c r="E213" s="29">
        <v>355.1</v>
      </c>
    </row>
    <row r="214" spans="1:5">
      <c r="A214">
        <v>704</v>
      </c>
      <c r="B214" t="s">
        <v>155</v>
      </c>
      <c r="C214">
        <v>1235</v>
      </c>
      <c r="D214" t="s">
        <v>282</v>
      </c>
      <c r="E214" s="29">
        <v>380.3</v>
      </c>
    </row>
    <row r="215" spans="1:5">
      <c r="A215">
        <v>704</v>
      </c>
      <c r="B215" t="s">
        <v>155</v>
      </c>
      <c r="C215">
        <v>1238</v>
      </c>
      <c r="D215" t="s">
        <v>714</v>
      </c>
      <c r="E215" s="29">
        <v>403</v>
      </c>
    </row>
    <row r="216" spans="1:5">
      <c r="A216">
        <v>704</v>
      </c>
      <c r="B216" t="s">
        <v>155</v>
      </c>
      <c r="C216">
        <v>1241</v>
      </c>
      <c r="D216" t="s">
        <v>713</v>
      </c>
      <c r="E216" s="29">
        <v>402.7</v>
      </c>
    </row>
    <row r="217" spans="1:5">
      <c r="A217">
        <v>704</v>
      </c>
      <c r="B217" t="s">
        <v>155</v>
      </c>
      <c r="C217">
        <v>1242</v>
      </c>
      <c r="D217" t="s">
        <v>712</v>
      </c>
      <c r="E217" s="29">
        <v>432.7</v>
      </c>
    </row>
    <row r="218" spans="1:5">
      <c r="A218">
        <v>704</v>
      </c>
      <c r="B218" t="s">
        <v>155</v>
      </c>
      <c r="C218">
        <v>1243</v>
      </c>
      <c r="D218" t="s">
        <v>711</v>
      </c>
      <c r="E218" s="29">
        <v>469.1</v>
      </c>
    </row>
    <row r="219" spans="1:5">
      <c r="A219">
        <v>704</v>
      </c>
      <c r="B219" t="s">
        <v>155</v>
      </c>
      <c r="C219">
        <v>1244</v>
      </c>
      <c r="D219" t="s">
        <v>710</v>
      </c>
      <c r="E219" s="29">
        <v>488.9</v>
      </c>
    </row>
    <row r="220" spans="1:5">
      <c r="A220">
        <v>704</v>
      </c>
      <c r="B220" t="s">
        <v>155</v>
      </c>
      <c r="C220">
        <v>1245</v>
      </c>
      <c r="D220" t="s">
        <v>709</v>
      </c>
      <c r="E220" s="29">
        <v>508.7</v>
      </c>
    </row>
    <row r="221" spans="1:5">
      <c r="A221">
        <v>704</v>
      </c>
      <c r="B221" t="s">
        <v>155</v>
      </c>
      <c r="C221">
        <v>1246</v>
      </c>
      <c r="D221" t="s">
        <v>708</v>
      </c>
      <c r="E221" s="29">
        <v>494.5</v>
      </c>
    </row>
    <row r="222" spans="1:5">
      <c r="A222">
        <v>704</v>
      </c>
      <c r="B222" t="s">
        <v>155</v>
      </c>
      <c r="C222">
        <v>1247</v>
      </c>
      <c r="D222" t="s">
        <v>707</v>
      </c>
      <c r="E222" s="29">
        <v>494.7</v>
      </c>
    </row>
    <row r="223" spans="1:5">
      <c r="A223">
        <v>704</v>
      </c>
      <c r="B223" t="s">
        <v>155</v>
      </c>
      <c r="C223">
        <v>1251</v>
      </c>
      <c r="D223" t="s">
        <v>706</v>
      </c>
      <c r="E223" s="29">
        <v>420.5</v>
      </c>
    </row>
    <row r="224" spans="1:5">
      <c r="A224">
        <v>704</v>
      </c>
      <c r="B224" t="s">
        <v>155</v>
      </c>
      <c r="C224">
        <v>1252</v>
      </c>
      <c r="D224" t="s">
        <v>705</v>
      </c>
      <c r="E224" s="29">
        <v>450.4</v>
      </c>
    </row>
    <row r="225" spans="1:5">
      <c r="A225">
        <v>704</v>
      </c>
      <c r="B225" t="s">
        <v>155</v>
      </c>
      <c r="C225">
        <v>1253</v>
      </c>
      <c r="D225" t="s">
        <v>704</v>
      </c>
      <c r="E225" s="29">
        <v>468.3</v>
      </c>
    </row>
    <row r="226" spans="1:5">
      <c r="A226">
        <v>704</v>
      </c>
      <c r="B226" t="s">
        <v>155</v>
      </c>
      <c r="C226">
        <v>1256</v>
      </c>
      <c r="D226" t="s">
        <v>703</v>
      </c>
      <c r="E226" s="29">
        <v>481.6</v>
      </c>
    </row>
    <row r="227" spans="1:5">
      <c r="A227">
        <v>704</v>
      </c>
      <c r="B227" t="s">
        <v>155</v>
      </c>
      <c r="C227">
        <v>1259</v>
      </c>
      <c r="D227" t="s">
        <v>702</v>
      </c>
      <c r="E227" s="29">
        <v>531.9</v>
      </c>
    </row>
    <row r="228" spans="1:5">
      <c r="A228">
        <v>704</v>
      </c>
      <c r="B228" t="s">
        <v>155</v>
      </c>
      <c r="C228">
        <v>1260</v>
      </c>
      <c r="D228" t="s">
        <v>701</v>
      </c>
      <c r="E228" s="29">
        <v>502.8</v>
      </c>
    </row>
    <row r="229" spans="1:5">
      <c r="A229">
        <v>704</v>
      </c>
      <c r="B229" t="s">
        <v>155</v>
      </c>
      <c r="C229">
        <v>1263</v>
      </c>
      <c r="D229" t="s">
        <v>700</v>
      </c>
      <c r="E229" s="29">
        <v>482.4</v>
      </c>
    </row>
    <row r="230" spans="1:5">
      <c r="A230">
        <v>704</v>
      </c>
      <c r="B230" t="s">
        <v>155</v>
      </c>
      <c r="C230">
        <v>1264</v>
      </c>
      <c r="D230" t="s">
        <v>699</v>
      </c>
      <c r="E230" s="29">
        <v>519.9</v>
      </c>
    </row>
    <row r="231" spans="1:5">
      <c r="A231">
        <v>704</v>
      </c>
      <c r="B231" t="s">
        <v>155</v>
      </c>
      <c r="C231">
        <v>1265</v>
      </c>
      <c r="D231" t="s">
        <v>698</v>
      </c>
      <c r="E231" s="29">
        <v>524.5</v>
      </c>
    </row>
    <row r="232" spans="1:5">
      <c r="A232">
        <v>704</v>
      </c>
      <c r="B232" t="s">
        <v>155</v>
      </c>
      <c r="C232">
        <v>1266</v>
      </c>
      <c r="D232" t="s">
        <v>697</v>
      </c>
      <c r="E232" s="29">
        <v>506.1</v>
      </c>
    </row>
    <row r="233" spans="1:5">
      <c r="A233">
        <v>704</v>
      </c>
      <c r="B233" t="s">
        <v>155</v>
      </c>
      <c r="C233">
        <v>1201</v>
      </c>
      <c r="D233" t="s">
        <v>724</v>
      </c>
      <c r="E233" s="29">
        <v>479.6</v>
      </c>
    </row>
    <row r="234" spans="1:5">
      <c r="A234">
        <v>704</v>
      </c>
      <c r="B234" t="s">
        <v>155</v>
      </c>
      <c r="C234">
        <v>1401</v>
      </c>
      <c r="D234" t="s">
        <v>695</v>
      </c>
      <c r="E234" s="29">
        <v>561.70000000000005</v>
      </c>
    </row>
    <row r="235" spans="1:5">
      <c r="A235">
        <v>704</v>
      </c>
      <c r="B235" t="s">
        <v>155</v>
      </c>
      <c r="C235">
        <v>1411</v>
      </c>
      <c r="D235" t="s">
        <v>694</v>
      </c>
      <c r="E235" s="29">
        <v>544.4</v>
      </c>
    </row>
    <row r="236" spans="1:5">
      <c r="A236">
        <v>704</v>
      </c>
      <c r="B236" t="s">
        <v>155</v>
      </c>
      <c r="C236">
        <v>1412</v>
      </c>
      <c r="D236" t="s">
        <v>693</v>
      </c>
      <c r="E236" s="29">
        <v>547.9</v>
      </c>
    </row>
    <row r="237" spans="1:5">
      <c r="A237">
        <v>704</v>
      </c>
      <c r="B237" t="s">
        <v>155</v>
      </c>
      <c r="C237">
        <v>1413</v>
      </c>
      <c r="D237" t="s">
        <v>692</v>
      </c>
      <c r="E237" s="29">
        <v>530.79999999999995</v>
      </c>
    </row>
    <row r="238" spans="1:5">
      <c r="A238">
        <v>704</v>
      </c>
      <c r="B238" t="s">
        <v>155</v>
      </c>
      <c r="C238">
        <v>1416</v>
      </c>
      <c r="D238" t="s">
        <v>691</v>
      </c>
      <c r="E238" s="29">
        <v>445.4</v>
      </c>
    </row>
    <row r="239" spans="1:5">
      <c r="A239">
        <v>704</v>
      </c>
      <c r="B239" t="s">
        <v>155</v>
      </c>
      <c r="C239">
        <v>1417</v>
      </c>
      <c r="D239" t="s">
        <v>690</v>
      </c>
      <c r="E239" s="29">
        <v>403.7</v>
      </c>
    </row>
    <row r="240" spans="1:5">
      <c r="A240">
        <v>704</v>
      </c>
      <c r="B240" t="s">
        <v>155</v>
      </c>
      <c r="C240">
        <v>1418</v>
      </c>
      <c r="D240" t="s">
        <v>689</v>
      </c>
      <c r="E240" s="29">
        <v>402.6</v>
      </c>
    </row>
    <row r="241" spans="1:5">
      <c r="A241">
        <v>704</v>
      </c>
      <c r="B241" t="s">
        <v>155</v>
      </c>
      <c r="C241">
        <v>1419</v>
      </c>
      <c r="D241" t="s">
        <v>688</v>
      </c>
      <c r="E241" s="29">
        <v>379.1</v>
      </c>
    </row>
    <row r="242" spans="1:5">
      <c r="A242">
        <v>704</v>
      </c>
      <c r="B242" t="s">
        <v>155</v>
      </c>
      <c r="C242">
        <v>1420</v>
      </c>
      <c r="D242" t="s">
        <v>283</v>
      </c>
      <c r="E242" s="29">
        <v>356.2</v>
      </c>
    </row>
    <row r="243" spans="1:5">
      <c r="A243">
        <v>704</v>
      </c>
      <c r="B243" t="s">
        <v>155</v>
      </c>
      <c r="C243">
        <v>1421</v>
      </c>
      <c r="D243" t="s">
        <v>284</v>
      </c>
      <c r="E243" s="29">
        <v>343.4</v>
      </c>
    </row>
    <row r="244" spans="1:5">
      <c r="A244">
        <v>704</v>
      </c>
      <c r="B244" t="s">
        <v>155</v>
      </c>
      <c r="C244">
        <v>1422</v>
      </c>
      <c r="D244" t="s">
        <v>285</v>
      </c>
      <c r="E244" s="29">
        <v>327.60000000000002</v>
      </c>
    </row>
    <row r="245" spans="1:5">
      <c r="A245">
        <v>704</v>
      </c>
      <c r="B245" t="s">
        <v>155</v>
      </c>
      <c r="C245">
        <v>1424</v>
      </c>
      <c r="D245" t="s">
        <v>687</v>
      </c>
      <c r="E245" s="29">
        <v>360</v>
      </c>
    </row>
    <row r="246" spans="1:5">
      <c r="A246">
        <v>704</v>
      </c>
      <c r="B246" t="s">
        <v>155</v>
      </c>
      <c r="C246">
        <v>1426</v>
      </c>
      <c r="D246" t="s">
        <v>286</v>
      </c>
      <c r="E246" s="29">
        <v>383.2</v>
      </c>
    </row>
    <row r="247" spans="1:5">
      <c r="A247">
        <v>704</v>
      </c>
      <c r="B247" t="s">
        <v>155</v>
      </c>
      <c r="C247">
        <v>1428</v>
      </c>
      <c r="D247" t="s">
        <v>686</v>
      </c>
      <c r="E247" s="29">
        <v>566.4</v>
      </c>
    </row>
    <row r="248" spans="1:5">
      <c r="A248">
        <v>704</v>
      </c>
      <c r="B248" t="s">
        <v>155</v>
      </c>
      <c r="C248">
        <v>1429</v>
      </c>
      <c r="D248" t="s">
        <v>685</v>
      </c>
      <c r="E248" s="29">
        <v>513.9</v>
      </c>
    </row>
    <row r="249" spans="1:5">
      <c r="A249">
        <v>704</v>
      </c>
      <c r="B249" t="s">
        <v>155</v>
      </c>
      <c r="C249">
        <v>1430</v>
      </c>
      <c r="D249" t="s">
        <v>684</v>
      </c>
      <c r="E249" s="29">
        <v>483.5</v>
      </c>
    </row>
    <row r="250" spans="1:5">
      <c r="A250">
        <v>704</v>
      </c>
      <c r="B250" t="s">
        <v>155</v>
      </c>
      <c r="C250">
        <v>1431</v>
      </c>
      <c r="D250" t="s">
        <v>683</v>
      </c>
      <c r="E250" s="29">
        <v>619</v>
      </c>
    </row>
    <row r="251" spans="1:5">
      <c r="A251">
        <v>704</v>
      </c>
      <c r="B251" t="s">
        <v>155</v>
      </c>
      <c r="C251">
        <v>1432</v>
      </c>
      <c r="D251" t="s">
        <v>682</v>
      </c>
      <c r="E251" s="29">
        <v>505.9</v>
      </c>
    </row>
    <row r="252" spans="1:5">
      <c r="A252">
        <v>704</v>
      </c>
      <c r="B252" t="s">
        <v>155</v>
      </c>
      <c r="C252">
        <v>1433</v>
      </c>
      <c r="D252" t="s">
        <v>681</v>
      </c>
      <c r="E252" s="29">
        <v>517.79999999999995</v>
      </c>
    </row>
    <row r="253" spans="1:5">
      <c r="A253">
        <v>704</v>
      </c>
      <c r="B253" t="s">
        <v>155</v>
      </c>
      <c r="C253">
        <v>1438</v>
      </c>
      <c r="D253" t="s">
        <v>680</v>
      </c>
      <c r="E253" s="29">
        <v>634.70000000000005</v>
      </c>
    </row>
    <row r="254" spans="1:5">
      <c r="A254">
        <v>704</v>
      </c>
      <c r="B254" t="s">
        <v>155</v>
      </c>
      <c r="C254">
        <v>1439</v>
      </c>
      <c r="D254" t="s">
        <v>679</v>
      </c>
      <c r="E254" s="29">
        <v>640.6</v>
      </c>
    </row>
    <row r="255" spans="1:5">
      <c r="A255">
        <v>704</v>
      </c>
      <c r="B255" t="s">
        <v>155</v>
      </c>
      <c r="C255">
        <v>1441</v>
      </c>
      <c r="D255" t="s">
        <v>678</v>
      </c>
      <c r="E255" s="29">
        <v>650.5</v>
      </c>
    </row>
    <row r="256" spans="1:5">
      <c r="A256">
        <v>704</v>
      </c>
      <c r="B256" t="s">
        <v>155</v>
      </c>
      <c r="C256">
        <v>1443</v>
      </c>
      <c r="D256" t="s">
        <v>677</v>
      </c>
      <c r="E256" s="29">
        <v>588.29999999999995</v>
      </c>
    </row>
    <row r="257" spans="1:5">
      <c r="A257">
        <v>704</v>
      </c>
      <c r="B257" t="s">
        <v>155</v>
      </c>
      <c r="C257">
        <v>1444</v>
      </c>
      <c r="D257" t="s">
        <v>676</v>
      </c>
      <c r="E257" s="29">
        <v>564.70000000000005</v>
      </c>
    </row>
    <row r="258" spans="1:5">
      <c r="A258">
        <v>704</v>
      </c>
      <c r="B258" t="s">
        <v>155</v>
      </c>
      <c r="C258">
        <v>1445</v>
      </c>
      <c r="D258" t="s">
        <v>675</v>
      </c>
      <c r="E258" s="29">
        <v>612.1</v>
      </c>
    </row>
    <row r="259" spans="1:5">
      <c r="A259">
        <v>704</v>
      </c>
      <c r="B259" t="s">
        <v>155</v>
      </c>
      <c r="C259">
        <v>1449</v>
      </c>
      <c r="D259" t="s">
        <v>674</v>
      </c>
      <c r="E259" s="29">
        <v>542</v>
      </c>
    </row>
    <row r="260" spans="1:5">
      <c r="A260">
        <v>704</v>
      </c>
      <c r="B260" t="s">
        <v>155</v>
      </c>
      <c r="C260">
        <v>1502</v>
      </c>
      <c r="D260" t="s">
        <v>672</v>
      </c>
      <c r="E260" s="29">
        <v>564.70000000000005</v>
      </c>
    </row>
    <row r="261" spans="1:5">
      <c r="A261">
        <v>704</v>
      </c>
      <c r="B261" t="s">
        <v>155</v>
      </c>
      <c r="C261">
        <v>1503</v>
      </c>
      <c r="D261" t="s">
        <v>671</v>
      </c>
      <c r="E261" s="29">
        <v>628.5</v>
      </c>
    </row>
    <row r="262" spans="1:5">
      <c r="A262">
        <v>704</v>
      </c>
      <c r="B262" t="s">
        <v>155</v>
      </c>
      <c r="C262">
        <v>1504</v>
      </c>
      <c r="D262" t="s">
        <v>670</v>
      </c>
      <c r="E262" s="29">
        <v>628.5</v>
      </c>
    </row>
    <row r="263" spans="1:5">
      <c r="A263">
        <v>704</v>
      </c>
      <c r="B263" t="s">
        <v>155</v>
      </c>
      <c r="C263">
        <v>1511</v>
      </c>
      <c r="D263" t="s">
        <v>669</v>
      </c>
      <c r="E263" s="29">
        <v>652.70000000000005</v>
      </c>
    </row>
    <row r="264" spans="1:5">
      <c r="A264">
        <v>704</v>
      </c>
      <c r="B264" t="s">
        <v>155</v>
      </c>
      <c r="C264">
        <v>1514</v>
      </c>
      <c r="D264" t="s">
        <v>227</v>
      </c>
      <c r="E264" s="29">
        <v>668.6</v>
      </c>
    </row>
    <row r="265" spans="1:5">
      <c r="A265">
        <v>704</v>
      </c>
      <c r="B265" t="s">
        <v>155</v>
      </c>
      <c r="C265">
        <v>1515</v>
      </c>
      <c r="D265" t="s">
        <v>578</v>
      </c>
      <c r="E265" s="29">
        <v>662.7</v>
      </c>
    </row>
    <row r="266" spans="1:5">
      <c r="A266">
        <v>704</v>
      </c>
      <c r="B266" t="s">
        <v>155</v>
      </c>
      <c r="C266">
        <v>1516</v>
      </c>
      <c r="D266" t="s">
        <v>668</v>
      </c>
      <c r="E266" s="29">
        <v>647.79999999999995</v>
      </c>
    </row>
    <row r="267" spans="1:5">
      <c r="A267">
        <v>704</v>
      </c>
      <c r="B267" t="s">
        <v>155</v>
      </c>
      <c r="C267">
        <v>1517</v>
      </c>
      <c r="D267" t="s">
        <v>667</v>
      </c>
      <c r="E267" s="29">
        <v>634.1</v>
      </c>
    </row>
    <row r="268" spans="1:5">
      <c r="A268">
        <v>704</v>
      </c>
      <c r="B268" t="s">
        <v>155</v>
      </c>
      <c r="C268">
        <v>1519</v>
      </c>
      <c r="D268" t="s">
        <v>666</v>
      </c>
      <c r="E268" s="29">
        <v>614.20000000000005</v>
      </c>
    </row>
    <row r="269" spans="1:5">
      <c r="A269">
        <v>704</v>
      </c>
      <c r="B269" t="s">
        <v>155</v>
      </c>
      <c r="C269">
        <v>1520</v>
      </c>
      <c r="D269" t="s">
        <v>665</v>
      </c>
      <c r="E269" s="29">
        <v>623.5</v>
      </c>
    </row>
    <row r="270" spans="1:5">
      <c r="A270">
        <v>704</v>
      </c>
      <c r="B270" t="s">
        <v>155</v>
      </c>
      <c r="C270">
        <v>1523</v>
      </c>
      <c r="D270" t="s">
        <v>664</v>
      </c>
      <c r="E270" s="29">
        <v>589.9</v>
      </c>
    </row>
    <row r="271" spans="1:5">
      <c r="A271">
        <v>704</v>
      </c>
      <c r="B271" t="s">
        <v>155</v>
      </c>
      <c r="C271">
        <v>1524</v>
      </c>
      <c r="D271" t="s">
        <v>663</v>
      </c>
      <c r="E271" s="29">
        <v>543.79999999999995</v>
      </c>
    </row>
    <row r="272" spans="1:5">
      <c r="A272">
        <v>704</v>
      </c>
      <c r="B272" t="s">
        <v>155</v>
      </c>
      <c r="C272">
        <v>1525</v>
      </c>
      <c r="D272" t="s">
        <v>662</v>
      </c>
      <c r="E272" s="29">
        <v>551.6</v>
      </c>
    </row>
    <row r="273" spans="1:5">
      <c r="A273">
        <v>704</v>
      </c>
      <c r="B273" t="s">
        <v>155</v>
      </c>
      <c r="C273">
        <v>1526</v>
      </c>
      <c r="D273" t="s">
        <v>661</v>
      </c>
      <c r="E273" s="29">
        <v>561.79999999999995</v>
      </c>
    </row>
    <row r="274" spans="1:5">
      <c r="A274">
        <v>704</v>
      </c>
      <c r="B274" t="s">
        <v>155</v>
      </c>
      <c r="C274">
        <v>1528</v>
      </c>
      <c r="D274" t="s">
        <v>660</v>
      </c>
      <c r="E274" s="29">
        <v>616.1</v>
      </c>
    </row>
    <row r="275" spans="1:5">
      <c r="A275">
        <v>704</v>
      </c>
      <c r="B275" t="s">
        <v>155</v>
      </c>
      <c r="C275">
        <v>1529</v>
      </c>
      <c r="D275" t="s">
        <v>659</v>
      </c>
      <c r="E275" s="29">
        <v>600.6</v>
      </c>
    </row>
    <row r="276" spans="1:5">
      <c r="A276">
        <v>704</v>
      </c>
      <c r="B276" t="s">
        <v>155</v>
      </c>
      <c r="C276">
        <v>1531</v>
      </c>
      <c r="D276" t="s">
        <v>658</v>
      </c>
      <c r="E276" s="29">
        <v>634.9</v>
      </c>
    </row>
    <row r="277" spans="1:5">
      <c r="A277">
        <v>704</v>
      </c>
      <c r="B277" t="s">
        <v>155</v>
      </c>
      <c r="C277">
        <v>1532</v>
      </c>
      <c r="D277" t="s">
        <v>657</v>
      </c>
      <c r="E277" s="29">
        <v>637.9</v>
      </c>
    </row>
    <row r="278" spans="1:5">
      <c r="A278">
        <v>704</v>
      </c>
      <c r="B278" t="s">
        <v>155</v>
      </c>
      <c r="C278">
        <v>1534</v>
      </c>
      <c r="D278" t="s">
        <v>656</v>
      </c>
      <c r="E278" s="29">
        <v>624.5</v>
      </c>
    </row>
    <row r="279" spans="1:5">
      <c r="A279">
        <v>704</v>
      </c>
      <c r="B279" t="s">
        <v>155</v>
      </c>
      <c r="C279">
        <v>1535</v>
      </c>
      <c r="D279" t="s">
        <v>655</v>
      </c>
      <c r="E279" s="29">
        <v>574.20000000000005</v>
      </c>
    </row>
    <row r="280" spans="1:5">
      <c r="A280">
        <v>704</v>
      </c>
      <c r="B280" t="s">
        <v>155</v>
      </c>
      <c r="C280">
        <v>1539</v>
      </c>
      <c r="D280" t="s">
        <v>654</v>
      </c>
      <c r="E280" s="29">
        <v>511.1</v>
      </c>
    </row>
    <row r="281" spans="1:5">
      <c r="A281">
        <v>704</v>
      </c>
      <c r="B281" t="s">
        <v>155</v>
      </c>
      <c r="C281">
        <v>1543</v>
      </c>
      <c r="D281" t="s">
        <v>653</v>
      </c>
      <c r="E281" s="29">
        <v>588.29999999999995</v>
      </c>
    </row>
    <row r="282" spans="1:5">
      <c r="A282">
        <v>704</v>
      </c>
      <c r="B282" t="s">
        <v>155</v>
      </c>
      <c r="C282">
        <v>1545</v>
      </c>
      <c r="D282" t="s">
        <v>652</v>
      </c>
      <c r="E282" s="29">
        <v>591.1</v>
      </c>
    </row>
    <row r="283" spans="1:5">
      <c r="A283">
        <v>704</v>
      </c>
      <c r="B283" t="s">
        <v>155</v>
      </c>
      <c r="C283">
        <v>1546</v>
      </c>
      <c r="D283" t="s">
        <v>651</v>
      </c>
      <c r="E283" s="29">
        <v>631.79999999999995</v>
      </c>
    </row>
    <row r="284" spans="1:5">
      <c r="A284">
        <v>704</v>
      </c>
      <c r="B284" t="s">
        <v>155</v>
      </c>
      <c r="C284">
        <v>1547</v>
      </c>
      <c r="D284" t="s">
        <v>650</v>
      </c>
      <c r="E284" s="29">
        <v>582.70000000000005</v>
      </c>
    </row>
    <row r="285" spans="1:5">
      <c r="A285">
        <v>704</v>
      </c>
      <c r="B285" t="s">
        <v>155</v>
      </c>
      <c r="C285">
        <v>1548</v>
      </c>
      <c r="D285" t="s">
        <v>649</v>
      </c>
      <c r="E285" s="29">
        <v>577.1</v>
      </c>
    </row>
    <row r="286" spans="1:5">
      <c r="A286">
        <v>704</v>
      </c>
      <c r="B286" t="s">
        <v>155</v>
      </c>
      <c r="C286">
        <v>1551</v>
      </c>
      <c r="D286" t="s">
        <v>648</v>
      </c>
      <c r="E286" s="29">
        <v>586.70000000000005</v>
      </c>
    </row>
    <row r="287" spans="1:5">
      <c r="A287">
        <v>704</v>
      </c>
      <c r="B287" t="s">
        <v>155</v>
      </c>
      <c r="C287">
        <v>1554</v>
      </c>
      <c r="D287" t="s">
        <v>647</v>
      </c>
      <c r="E287" s="29">
        <v>641.79999999999995</v>
      </c>
    </row>
    <row r="288" spans="1:5">
      <c r="A288">
        <v>704</v>
      </c>
      <c r="B288" t="s">
        <v>155</v>
      </c>
      <c r="C288">
        <v>1556</v>
      </c>
      <c r="D288" t="s">
        <v>1700</v>
      </c>
      <c r="E288" s="29">
        <v>620.6</v>
      </c>
    </row>
    <row r="289" spans="1:5">
      <c r="A289">
        <v>704</v>
      </c>
      <c r="B289" t="s">
        <v>155</v>
      </c>
      <c r="C289">
        <v>1557</v>
      </c>
      <c r="D289" t="s">
        <v>646</v>
      </c>
      <c r="E289" s="29">
        <v>590.5</v>
      </c>
    </row>
    <row r="290" spans="1:5">
      <c r="A290">
        <v>704</v>
      </c>
      <c r="B290" t="s">
        <v>155</v>
      </c>
      <c r="C290">
        <v>1560</v>
      </c>
      <c r="D290" t="s">
        <v>645</v>
      </c>
      <c r="E290" s="29">
        <v>600.79999999999995</v>
      </c>
    </row>
    <row r="291" spans="1:5">
      <c r="A291">
        <v>704</v>
      </c>
      <c r="B291" t="s">
        <v>155</v>
      </c>
      <c r="C291">
        <v>1563</v>
      </c>
      <c r="D291" t="s">
        <v>644</v>
      </c>
      <c r="E291" s="29">
        <v>552.79999999999995</v>
      </c>
    </row>
    <row r="292" spans="1:5">
      <c r="A292">
        <v>704</v>
      </c>
      <c r="B292" t="s">
        <v>155</v>
      </c>
      <c r="C292">
        <v>1566</v>
      </c>
      <c r="D292" t="s">
        <v>643</v>
      </c>
      <c r="E292" s="29">
        <v>609</v>
      </c>
    </row>
    <row r="293" spans="1:5">
      <c r="A293">
        <v>704</v>
      </c>
      <c r="B293" t="s">
        <v>155</v>
      </c>
      <c r="C293">
        <v>1567</v>
      </c>
      <c r="D293" t="s">
        <v>642</v>
      </c>
      <c r="E293" s="29">
        <v>582.20000000000005</v>
      </c>
    </row>
    <row r="294" spans="1:5">
      <c r="A294">
        <v>704</v>
      </c>
      <c r="B294" t="s">
        <v>155</v>
      </c>
      <c r="C294">
        <v>1569</v>
      </c>
      <c r="D294" t="s">
        <v>639</v>
      </c>
      <c r="E294" s="29">
        <v>678.5</v>
      </c>
    </row>
    <row r="295" spans="1:5">
      <c r="A295">
        <v>704</v>
      </c>
      <c r="B295" t="s">
        <v>155</v>
      </c>
      <c r="C295">
        <v>1571</v>
      </c>
      <c r="D295" t="s">
        <v>641</v>
      </c>
      <c r="E295" s="29">
        <v>650.79999999999995</v>
      </c>
    </row>
    <row r="296" spans="1:5">
      <c r="A296">
        <v>704</v>
      </c>
      <c r="B296" t="s">
        <v>155</v>
      </c>
      <c r="C296">
        <v>1572</v>
      </c>
      <c r="D296" t="s">
        <v>1701</v>
      </c>
      <c r="E296" s="29">
        <v>711.3</v>
      </c>
    </row>
    <row r="297" spans="1:5">
      <c r="A297">
        <v>704</v>
      </c>
      <c r="B297" t="s">
        <v>155</v>
      </c>
      <c r="C297">
        <v>1573</v>
      </c>
      <c r="D297" t="s">
        <v>640</v>
      </c>
      <c r="E297" s="29">
        <v>742.4</v>
      </c>
    </row>
    <row r="298" spans="1:5">
      <c r="A298">
        <v>704</v>
      </c>
      <c r="B298" t="s">
        <v>155</v>
      </c>
      <c r="C298">
        <v>1612</v>
      </c>
      <c r="D298" t="s">
        <v>636</v>
      </c>
      <c r="E298" s="29">
        <v>632.79999999999995</v>
      </c>
    </row>
    <row r="299" spans="1:5">
      <c r="A299">
        <v>704</v>
      </c>
      <c r="B299" t="s">
        <v>155</v>
      </c>
      <c r="C299">
        <v>1613</v>
      </c>
      <c r="D299" t="s">
        <v>635</v>
      </c>
      <c r="E299" s="29">
        <v>610.29999999999995</v>
      </c>
    </row>
    <row r="300" spans="1:5">
      <c r="A300">
        <v>704</v>
      </c>
      <c r="B300" t="s">
        <v>155</v>
      </c>
      <c r="C300">
        <v>1617</v>
      </c>
      <c r="D300" t="s">
        <v>634</v>
      </c>
      <c r="E300" s="29">
        <v>671</v>
      </c>
    </row>
    <row r="301" spans="1:5">
      <c r="A301">
        <v>704</v>
      </c>
      <c r="B301" t="s">
        <v>155</v>
      </c>
      <c r="C301">
        <v>1620</v>
      </c>
      <c r="D301" t="s">
        <v>633</v>
      </c>
      <c r="E301" s="29">
        <v>702.5</v>
      </c>
    </row>
    <row r="302" spans="1:5">
      <c r="A302">
        <v>704</v>
      </c>
      <c r="B302" t="s">
        <v>155</v>
      </c>
      <c r="C302">
        <v>1621</v>
      </c>
      <c r="D302" t="s">
        <v>632</v>
      </c>
      <c r="E302" s="29">
        <v>633.70000000000005</v>
      </c>
    </row>
    <row r="303" spans="1:5">
      <c r="A303">
        <v>704</v>
      </c>
      <c r="B303" t="s">
        <v>155</v>
      </c>
      <c r="C303">
        <v>1622</v>
      </c>
      <c r="D303" t="s">
        <v>631</v>
      </c>
      <c r="E303" s="29">
        <v>611</v>
      </c>
    </row>
    <row r="304" spans="1:5">
      <c r="A304">
        <v>704</v>
      </c>
      <c r="B304" t="s">
        <v>155</v>
      </c>
      <c r="C304">
        <v>1624</v>
      </c>
      <c r="D304" t="s">
        <v>630</v>
      </c>
      <c r="E304" s="29">
        <v>622.1</v>
      </c>
    </row>
    <row r="305" spans="1:5">
      <c r="A305">
        <v>704</v>
      </c>
      <c r="B305" t="s">
        <v>155</v>
      </c>
      <c r="C305">
        <v>1627</v>
      </c>
      <c r="D305" t="s">
        <v>629</v>
      </c>
      <c r="E305" s="29">
        <v>647.20000000000005</v>
      </c>
    </row>
    <row r="306" spans="1:5">
      <c r="A306">
        <v>704</v>
      </c>
      <c r="B306" t="s">
        <v>155</v>
      </c>
      <c r="C306">
        <v>1630</v>
      </c>
      <c r="D306" t="s">
        <v>628</v>
      </c>
      <c r="E306" s="29">
        <v>669</v>
      </c>
    </row>
    <row r="307" spans="1:5">
      <c r="A307">
        <v>704</v>
      </c>
      <c r="B307" t="s">
        <v>155</v>
      </c>
      <c r="C307">
        <v>1632</v>
      </c>
      <c r="D307" t="s">
        <v>627</v>
      </c>
      <c r="E307" s="29">
        <v>726.4</v>
      </c>
    </row>
    <row r="308" spans="1:5">
      <c r="A308">
        <v>704</v>
      </c>
      <c r="B308" t="s">
        <v>155</v>
      </c>
      <c r="C308">
        <v>1633</v>
      </c>
      <c r="D308" t="s">
        <v>626</v>
      </c>
      <c r="E308" s="29">
        <v>730.1</v>
      </c>
    </row>
    <row r="309" spans="1:5">
      <c r="A309">
        <v>704</v>
      </c>
      <c r="B309" t="s">
        <v>155</v>
      </c>
      <c r="C309">
        <v>1634</v>
      </c>
      <c r="D309" t="s">
        <v>625</v>
      </c>
      <c r="E309" s="29">
        <v>484.4</v>
      </c>
    </row>
    <row r="310" spans="1:5">
      <c r="A310">
        <v>704</v>
      </c>
      <c r="B310" t="s">
        <v>155</v>
      </c>
      <c r="C310">
        <v>1635</v>
      </c>
      <c r="D310" t="s">
        <v>624</v>
      </c>
      <c r="E310" s="29">
        <v>511</v>
      </c>
    </row>
    <row r="311" spans="1:5">
      <c r="A311">
        <v>704</v>
      </c>
      <c r="B311" t="s">
        <v>155</v>
      </c>
      <c r="C311">
        <v>1636</v>
      </c>
      <c r="D311" t="s">
        <v>623</v>
      </c>
      <c r="E311" s="29">
        <v>548.9</v>
      </c>
    </row>
    <row r="312" spans="1:5">
      <c r="A312">
        <v>704</v>
      </c>
      <c r="B312" t="s">
        <v>155</v>
      </c>
      <c r="C312">
        <v>1638</v>
      </c>
      <c r="D312" t="s">
        <v>622</v>
      </c>
      <c r="E312" s="29">
        <v>576.9</v>
      </c>
    </row>
    <row r="313" spans="1:5">
      <c r="A313">
        <v>704</v>
      </c>
      <c r="B313" t="s">
        <v>155</v>
      </c>
      <c r="C313">
        <v>1640</v>
      </c>
      <c r="D313" t="s">
        <v>621</v>
      </c>
      <c r="E313" s="29">
        <v>483.3</v>
      </c>
    </row>
    <row r="314" spans="1:5">
      <c r="A314">
        <v>704</v>
      </c>
      <c r="B314" t="s">
        <v>155</v>
      </c>
      <c r="C314">
        <v>1644</v>
      </c>
      <c r="D314" t="s">
        <v>620</v>
      </c>
      <c r="E314" s="29">
        <v>515.9</v>
      </c>
    </row>
    <row r="315" spans="1:5">
      <c r="A315">
        <v>704</v>
      </c>
      <c r="B315" t="s">
        <v>155</v>
      </c>
      <c r="C315">
        <v>1648</v>
      </c>
      <c r="D315" t="s">
        <v>1702</v>
      </c>
      <c r="E315" s="29">
        <v>544.5</v>
      </c>
    </row>
    <row r="316" spans="1:5">
      <c r="A316">
        <v>704</v>
      </c>
      <c r="B316" t="s">
        <v>155</v>
      </c>
      <c r="C316">
        <v>1653</v>
      </c>
      <c r="D316" t="s">
        <v>618</v>
      </c>
      <c r="E316" s="29">
        <v>575.79999999999995</v>
      </c>
    </row>
    <row r="317" spans="1:5">
      <c r="A317">
        <v>704</v>
      </c>
      <c r="B317" t="s">
        <v>155</v>
      </c>
      <c r="C317">
        <v>1657</v>
      </c>
      <c r="D317" t="s">
        <v>617</v>
      </c>
      <c r="E317" s="29">
        <v>594.29999999999995</v>
      </c>
    </row>
    <row r="318" spans="1:5">
      <c r="A318">
        <v>704</v>
      </c>
      <c r="B318" t="s">
        <v>155</v>
      </c>
      <c r="C318">
        <v>1662</v>
      </c>
      <c r="D318" t="s">
        <v>616</v>
      </c>
      <c r="E318" s="29">
        <v>584.79999999999995</v>
      </c>
    </row>
    <row r="319" spans="1:5">
      <c r="A319">
        <v>704</v>
      </c>
      <c r="B319" t="s">
        <v>155</v>
      </c>
      <c r="C319">
        <v>1663</v>
      </c>
      <c r="D319" t="s">
        <v>615</v>
      </c>
      <c r="E319" s="29">
        <v>615.29999999999995</v>
      </c>
    </row>
    <row r="320" spans="1:5">
      <c r="A320">
        <v>704</v>
      </c>
      <c r="B320" t="s">
        <v>155</v>
      </c>
      <c r="C320">
        <v>1664</v>
      </c>
      <c r="D320" t="s">
        <v>614</v>
      </c>
      <c r="E320" s="29">
        <v>618.1</v>
      </c>
    </row>
    <row r="321" spans="1:5">
      <c r="A321">
        <v>704</v>
      </c>
      <c r="B321" t="s">
        <v>155</v>
      </c>
      <c r="C321">
        <v>1665</v>
      </c>
      <c r="D321" t="s">
        <v>613</v>
      </c>
      <c r="E321" s="29">
        <v>575.5</v>
      </c>
    </row>
    <row r="322" spans="1:5">
      <c r="A322">
        <v>704</v>
      </c>
      <c r="B322" t="s">
        <v>155</v>
      </c>
      <c r="C322">
        <v>1601</v>
      </c>
      <c r="D322" t="s">
        <v>637</v>
      </c>
      <c r="E322" s="29">
        <v>594.6</v>
      </c>
    </row>
    <row r="323" spans="1:5">
      <c r="A323">
        <v>704</v>
      </c>
      <c r="B323" t="s">
        <v>155</v>
      </c>
      <c r="C323">
        <v>1702</v>
      </c>
      <c r="D323" t="s">
        <v>611</v>
      </c>
      <c r="E323" s="29">
        <v>711</v>
      </c>
    </row>
    <row r="324" spans="1:5">
      <c r="A324">
        <v>704</v>
      </c>
      <c r="B324" t="s">
        <v>155</v>
      </c>
      <c r="C324">
        <v>1703</v>
      </c>
      <c r="D324" t="s">
        <v>610</v>
      </c>
      <c r="E324" s="29">
        <v>785.4</v>
      </c>
    </row>
    <row r="325" spans="1:5">
      <c r="A325">
        <v>704</v>
      </c>
      <c r="B325" t="s">
        <v>155</v>
      </c>
      <c r="C325">
        <v>1711</v>
      </c>
      <c r="D325" t="s">
        <v>609</v>
      </c>
      <c r="E325" s="29">
        <v>673.9</v>
      </c>
    </row>
    <row r="326" spans="1:5">
      <c r="A326">
        <v>704</v>
      </c>
      <c r="B326" t="s">
        <v>155</v>
      </c>
      <c r="C326">
        <v>1714</v>
      </c>
      <c r="D326" t="s">
        <v>608</v>
      </c>
      <c r="E326" s="29">
        <v>625.20000000000005</v>
      </c>
    </row>
    <row r="327" spans="1:5">
      <c r="A327">
        <v>704</v>
      </c>
      <c r="B327" t="s">
        <v>155</v>
      </c>
      <c r="C327">
        <v>1717</v>
      </c>
      <c r="D327" t="s">
        <v>607</v>
      </c>
      <c r="E327" s="29">
        <v>662</v>
      </c>
    </row>
    <row r="328" spans="1:5">
      <c r="A328">
        <v>704</v>
      </c>
      <c r="B328" t="s">
        <v>155</v>
      </c>
      <c r="C328">
        <v>1718</v>
      </c>
      <c r="D328" t="s">
        <v>606</v>
      </c>
      <c r="E328" s="29">
        <v>638.29999999999995</v>
      </c>
    </row>
    <row r="329" spans="1:5">
      <c r="A329">
        <v>704</v>
      </c>
      <c r="B329" t="s">
        <v>155</v>
      </c>
      <c r="C329">
        <v>1719</v>
      </c>
      <c r="D329" t="s">
        <v>604</v>
      </c>
      <c r="E329" s="29">
        <v>670.2</v>
      </c>
    </row>
    <row r="330" spans="1:5">
      <c r="A330">
        <v>704</v>
      </c>
      <c r="B330" t="s">
        <v>155</v>
      </c>
      <c r="C330">
        <v>1721</v>
      </c>
      <c r="D330" t="s">
        <v>603</v>
      </c>
      <c r="E330" s="29">
        <v>681.5</v>
      </c>
    </row>
    <row r="331" spans="1:5">
      <c r="A331">
        <v>704</v>
      </c>
      <c r="B331" t="s">
        <v>155</v>
      </c>
      <c r="C331">
        <v>1723</v>
      </c>
      <c r="D331" t="s">
        <v>1703</v>
      </c>
      <c r="E331" s="29">
        <v>716.3</v>
      </c>
    </row>
    <row r="332" spans="1:5">
      <c r="A332">
        <v>704</v>
      </c>
      <c r="B332" t="s">
        <v>155</v>
      </c>
      <c r="C332">
        <v>1724</v>
      </c>
      <c r="D332" t="s">
        <v>602</v>
      </c>
      <c r="E332" s="29">
        <v>740</v>
      </c>
    </row>
    <row r="333" spans="1:5">
      <c r="A333">
        <v>704</v>
      </c>
      <c r="B333" t="s">
        <v>155</v>
      </c>
      <c r="C333">
        <v>1725</v>
      </c>
      <c r="D333" t="s">
        <v>601</v>
      </c>
      <c r="E333" s="29">
        <v>746.5</v>
      </c>
    </row>
    <row r="334" spans="1:5">
      <c r="A334">
        <v>704</v>
      </c>
      <c r="B334" t="s">
        <v>155</v>
      </c>
      <c r="C334">
        <v>1729</v>
      </c>
      <c r="D334" t="s">
        <v>1704</v>
      </c>
      <c r="E334" s="29">
        <v>697.5</v>
      </c>
    </row>
    <row r="335" spans="1:5">
      <c r="A335">
        <v>704</v>
      </c>
      <c r="B335" t="s">
        <v>155</v>
      </c>
      <c r="C335">
        <v>1736</v>
      </c>
      <c r="D335" t="s">
        <v>598</v>
      </c>
      <c r="E335" s="29">
        <v>766.8</v>
      </c>
    </row>
    <row r="336" spans="1:5">
      <c r="A336">
        <v>704</v>
      </c>
      <c r="B336" t="s">
        <v>155</v>
      </c>
      <c r="C336">
        <v>1738</v>
      </c>
      <c r="D336" t="s">
        <v>597</v>
      </c>
      <c r="E336" s="29">
        <v>846.8</v>
      </c>
    </row>
    <row r="337" spans="1:5">
      <c r="A337">
        <v>704</v>
      </c>
      <c r="B337" t="s">
        <v>155</v>
      </c>
      <c r="C337">
        <v>1739</v>
      </c>
      <c r="D337" t="s">
        <v>596</v>
      </c>
      <c r="E337" s="29">
        <v>881.3</v>
      </c>
    </row>
    <row r="338" spans="1:5">
      <c r="A338">
        <v>704</v>
      </c>
      <c r="B338" t="s">
        <v>155</v>
      </c>
      <c r="C338">
        <v>1740</v>
      </c>
      <c r="D338" t="s">
        <v>595</v>
      </c>
      <c r="E338" s="29">
        <v>862.4</v>
      </c>
    </row>
    <row r="339" spans="1:5">
      <c r="A339">
        <v>704</v>
      </c>
      <c r="B339" t="s">
        <v>155</v>
      </c>
      <c r="C339">
        <v>1742</v>
      </c>
      <c r="D339" t="s">
        <v>594</v>
      </c>
      <c r="E339" s="29">
        <v>790.1</v>
      </c>
    </row>
    <row r="340" spans="1:5">
      <c r="A340">
        <v>704</v>
      </c>
      <c r="B340" t="s">
        <v>155</v>
      </c>
      <c r="C340">
        <v>1743</v>
      </c>
      <c r="D340" t="s">
        <v>593</v>
      </c>
      <c r="E340" s="29">
        <v>813.2</v>
      </c>
    </row>
    <row r="341" spans="1:5">
      <c r="A341">
        <v>704</v>
      </c>
      <c r="B341" t="s">
        <v>155</v>
      </c>
      <c r="C341">
        <v>1744</v>
      </c>
      <c r="D341" t="s">
        <v>592</v>
      </c>
      <c r="E341" s="29">
        <v>807</v>
      </c>
    </row>
    <row r="342" spans="1:5">
      <c r="A342">
        <v>704</v>
      </c>
      <c r="B342" t="s">
        <v>155</v>
      </c>
      <c r="C342">
        <v>1748</v>
      </c>
      <c r="D342" t="s">
        <v>591</v>
      </c>
      <c r="E342" s="29">
        <v>818.8</v>
      </c>
    </row>
    <row r="343" spans="1:5">
      <c r="A343">
        <v>704</v>
      </c>
      <c r="B343" t="s">
        <v>155</v>
      </c>
      <c r="C343">
        <v>1749</v>
      </c>
      <c r="D343" t="s">
        <v>590</v>
      </c>
      <c r="E343" s="29">
        <v>797</v>
      </c>
    </row>
    <row r="344" spans="1:5">
      <c r="A344">
        <v>704</v>
      </c>
      <c r="B344" t="s">
        <v>155</v>
      </c>
      <c r="C344">
        <v>1750</v>
      </c>
      <c r="D344" t="s">
        <v>589</v>
      </c>
      <c r="E344" s="29">
        <v>864.8</v>
      </c>
    </row>
    <row r="345" spans="1:5">
      <c r="A345">
        <v>704</v>
      </c>
      <c r="B345" t="s">
        <v>155</v>
      </c>
      <c r="C345">
        <v>1751</v>
      </c>
      <c r="D345" t="s">
        <v>588</v>
      </c>
      <c r="E345" s="29">
        <v>901.2</v>
      </c>
    </row>
    <row r="346" spans="1:5">
      <c r="A346">
        <v>704</v>
      </c>
      <c r="B346" t="s">
        <v>155</v>
      </c>
      <c r="C346">
        <v>1755</v>
      </c>
      <c r="D346" t="s">
        <v>587</v>
      </c>
      <c r="E346" s="29">
        <v>909.1</v>
      </c>
    </row>
    <row r="347" spans="1:5">
      <c r="A347">
        <v>704</v>
      </c>
      <c r="B347" t="s">
        <v>155</v>
      </c>
      <c r="C347">
        <v>1804</v>
      </c>
      <c r="D347" t="s">
        <v>585</v>
      </c>
      <c r="E347" s="29">
        <v>1307.3</v>
      </c>
    </row>
    <row r="348" spans="1:5">
      <c r="A348">
        <v>704</v>
      </c>
      <c r="B348" t="s">
        <v>155</v>
      </c>
      <c r="C348">
        <v>1805</v>
      </c>
      <c r="D348" t="s">
        <v>584</v>
      </c>
      <c r="E348" s="29">
        <v>1488.5</v>
      </c>
    </row>
    <row r="349" spans="1:5">
      <c r="A349">
        <v>704</v>
      </c>
      <c r="B349" t="s">
        <v>155</v>
      </c>
      <c r="C349">
        <v>1811</v>
      </c>
      <c r="D349" t="s">
        <v>583</v>
      </c>
      <c r="E349" s="29">
        <v>888.6</v>
      </c>
    </row>
    <row r="350" spans="1:5">
      <c r="A350">
        <v>704</v>
      </c>
      <c r="B350" t="s">
        <v>155</v>
      </c>
      <c r="C350">
        <v>1812</v>
      </c>
      <c r="D350" t="s">
        <v>582</v>
      </c>
      <c r="E350" s="29">
        <v>922</v>
      </c>
    </row>
    <row r="351" spans="1:5">
      <c r="A351">
        <v>704</v>
      </c>
      <c r="B351" t="s">
        <v>155</v>
      </c>
      <c r="C351">
        <v>1813</v>
      </c>
      <c r="D351" t="s">
        <v>581</v>
      </c>
      <c r="E351" s="29">
        <v>958.5</v>
      </c>
    </row>
    <row r="352" spans="1:5">
      <c r="A352">
        <v>704</v>
      </c>
      <c r="B352" t="s">
        <v>155</v>
      </c>
      <c r="C352">
        <v>1815</v>
      </c>
      <c r="D352" t="s">
        <v>580</v>
      </c>
      <c r="E352" s="29">
        <v>977.3</v>
      </c>
    </row>
    <row r="353" spans="1:5">
      <c r="A353">
        <v>704</v>
      </c>
      <c r="B353" t="s">
        <v>155</v>
      </c>
      <c r="C353">
        <v>1816</v>
      </c>
      <c r="D353" t="s">
        <v>579</v>
      </c>
      <c r="E353" s="29">
        <v>983.9</v>
      </c>
    </row>
    <row r="354" spans="1:5">
      <c r="A354">
        <v>704</v>
      </c>
      <c r="B354" t="s">
        <v>155</v>
      </c>
      <c r="C354">
        <v>1818</v>
      </c>
      <c r="D354" t="s">
        <v>578</v>
      </c>
      <c r="E354" s="29">
        <v>1078.0999999999999</v>
      </c>
    </row>
    <row r="355" spans="1:5">
      <c r="A355">
        <v>704</v>
      </c>
      <c r="B355" t="s">
        <v>155</v>
      </c>
      <c r="C355">
        <v>1820</v>
      </c>
      <c r="D355" t="s">
        <v>577</v>
      </c>
      <c r="E355" s="29">
        <v>1050.9000000000001</v>
      </c>
    </row>
    <row r="356" spans="1:5">
      <c r="A356">
        <v>704</v>
      </c>
      <c r="B356" t="s">
        <v>155</v>
      </c>
      <c r="C356">
        <v>1822</v>
      </c>
      <c r="D356" t="s">
        <v>576</v>
      </c>
      <c r="E356" s="29">
        <v>1033.8</v>
      </c>
    </row>
    <row r="357" spans="1:5">
      <c r="A357">
        <v>704</v>
      </c>
      <c r="B357" t="s">
        <v>155</v>
      </c>
      <c r="C357">
        <v>1824</v>
      </c>
      <c r="D357" t="s">
        <v>575</v>
      </c>
      <c r="E357" s="29">
        <v>982.4</v>
      </c>
    </row>
    <row r="358" spans="1:5">
      <c r="A358">
        <v>704</v>
      </c>
      <c r="B358" t="s">
        <v>155</v>
      </c>
      <c r="C358">
        <v>1825</v>
      </c>
      <c r="D358" t="s">
        <v>574</v>
      </c>
      <c r="E358" s="29">
        <v>941.5</v>
      </c>
    </row>
    <row r="359" spans="1:5">
      <c r="A359">
        <v>704</v>
      </c>
      <c r="B359" t="s">
        <v>155</v>
      </c>
      <c r="C359">
        <v>1826</v>
      </c>
      <c r="D359" t="s">
        <v>1705</v>
      </c>
      <c r="E359" s="29">
        <v>963.1</v>
      </c>
    </row>
    <row r="360" spans="1:5">
      <c r="A360">
        <v>704</v>
      </c>
      <c r="B360" t="s">
        <v>155</v>
      </c>
      <c r="C360">
        <v>1827</v>
      </c>
      <c r="D360" t="s">
        <v>572</v>
      </c>
      <c r="E360" s="29">
        <v>1062.2</v>
      </c>
    </row>
    <row r="361" spans="1:5">
      <c r="A361">
        <v>704</v>
      </c>
      <c r="B361" t="s">
        <v>155</v>
      </c>
      <c r="C361">
        <v>1828</v>
      </c>
      <c r="D361" t="s">
        <v>571</v>
      </c>
      <c r="E361" s="29">
        <v>1040.4000000000001</v>
      </c>
    </row>
    <row r="362" spans="1:5">
      <c r="A362">
        <v>704</v>
      </c>
      <c r="B362" t="s">
        <v>155</v>
      </c>
      <c r="C362">
        <v>1832</v>
      </c>
      <c r="D362" t="s">
        <v>570</v>
      </c>
      <c r="E362" s="29">
        <v>1030.0999999999999</v>
      </c>
    </row>
    <row r="363" spans="1:5">
      <c r="A363">
        <v>704</v>
      </c>
      <c r="B363" t="s">
        <v>155</v>
      </c>
      <c r="C363">
        <v>1833</v>
      </c>
      <c r="D363" t="s">
        <v>569</v>
      </c>
      <c r="E363" s="29">
        <v>1068.5</v>
      </c>
    </row>
    <row r="364" spans="1:5">
      <c r="A364">
        <v>704</v>
      </c>
      <c r="B364" t="s">
        <v>155</v>
      </c>
      <c r="C364">
        <v>1834</v>
      </c>
      <c r="D364" t="s">
        <v>568</v>
      </c>
      <c r="E364" s="29">
        <v>1142.5</v>
      </c>
    </row>
    <row r="365" spans="1:5">
      <c r="A365">
        <v>704</v>
      </c>
      <c r="B365" t="s">
        <v>155</v>
      </c>
      <c r="C365">
        <v>1835</v>
      </c>
      <c r="D365" t="s">
        <v>567</v>
      </c>
      <c r="E365" s="29">
        <v>1196.0999999999999</v>
      </c>
    </row>
    <row r="366" spans="1:5">
      <c r="A366">
        <v>704</v>
      </c>
      <c r="B366" t="s">
        <v>155</v>
      </c>
      <c r="C366">
        <v>1836</v>
      </c>
      <c r="D366" t="s">
        <v>566</v>
      </c>
      <c r="E366" s="29">
        <v>1200.3</v>
      </c>
    </row>
    <row r="367" spans="1:5">
      <c r="A367">
        <v>704</v>
      </c>
      <c r="B367" t="s">
        <v>155</v>
      </c>
      <c r="C367">
        <v>1837</v>
      </c>
      <c r="D367" t="s">
        <v>565</v>
      </c>
      <c r="E367" s="29">
        <v>1369.9</v>
      </c>
    </row>
    <row r="368" spans="1:5">
      <c r="A368">
        <v>704</v>
      </c>
      <c r="B368" t="s">
        <v>155</v>
      </c>
      <c r="C368">
        <v>1838</v>
      </c>
      <c r="D368" t="s">
        <v>564</v>
      </c>
      <c r="E368" s="29">
        <v>1341.8</v>
      </c>
    </row>
    <row r="369" spans="1:5">
      <c r="A369">
        <v>704</v>
      </c>
      <c r="B369" t="s">
        <v>155</v>
      </c>
      <c r="C369">
        <v>1839</v>
      </c>
      <c r="D369" t="s">
        <v>563</v>
      </c>
      <c r="E369" s="29">
        <v>1262.0999999999999</v>
      </c>
    </row>
    <row r="370" spans="1:5">
      <c r="A370">
        <v>704</v>
      </c>
      <c r="B370" t="s">
        <v>155</v>
      </c>
      <c r="C370">
        <v>1840</v>
      </c>
      <c r="D370" t="s">
        <v>562</v>
      </c>
      <c r="E370" s="29">
        <v>1218.8</v>
      </c>
    </row>
    <row r="371" spans="1:5">
      <c r="A371">
        <v>704</v>
      </c>
      <c r="B371" t="s">
        <v>155</v>
      </c>
      <c r="C371">
        <v>1841</v>
      </c>
      <c r="D371" t="s">
        <v>561</v>
      </c>
      <c r="E371" s="29">
        <v>1246.8</v>
      </c>
    </row>
    <row r="372" spans="1:5">
      <c r="A372">
        <v>704</v>
      </c>
      <c r="B372" t="s">
        <v>155</v>
      </c>
      <c r="C372">
        <v>1842</v>
      </c>
      <c r="D372" t="s">
        <v>1706</v>
      </c>
      <c r="E372" s="29">
        <v>1247.0999999999999</v>
      </c>
    </row>
    <row r="373" spans="1:5">
      <c r="A373">
        <v>704</v>
      </c>
      <c r="B373" t="s">
        <v>155</v>
      </c>
      <c r="C373">
        <v>1845</v>
      </c>
      <c r="D373" t="s">
        <v>560</v>
      </c>
      <c r="E373" s="29">
        <v>1260.5999999999999</v>
      </c>
    </row>
    <row r="374" spans="1:5">
      <c r="A374">
        <v>704</v>
      </c>
      <c r="B374" t="s">
        <v>155</v>
      </c>
      <c r="C374">
        <v>1848</v>
      </c>
      <c r="D374" t="s">
        <v>559</v>
      </c>
      <c r="E374" s="29">
        <v>1419.1</v>
      </c>
    </row>
    <row r="375" spans="1:5">
      <c r="A375">
        <v>704</v>
      </c>
      <c r="B375" t="s">
        <v>155</v>
      </c>
      <c r="C375">
        <v>1849</v>
      </c>
      <c r="D375" t="s">
        <v>558</v>
      </c>
      <c r="E375" s="29">
        <v>1405.2</v>
      </c>
    </row>
    <row r="376" spans="1:5">
      <c r="A376">
        <v>704</v>
      </c>
      <c r="B376" t="s">
        <v>155</v>
      </c>
      <c r="C376">
        <v>1850</v>
      </c>
      <c r="D376" t="s">
        <v>557</v>
      </c>
      <c r="E376" s="29">
        <v>1379.4</v>
      </c>
    </row>
    <row r="377" spans="1:5">
      <c r="A377">
        <v>704</v>
      </c>
      <c r="B377" t="s">
        <v>155</v>
      </c>
      <c r="C377">
        <v>1851</v>
      </c>
      <c r="D377" t="s">
        <v>556</v>
      </c>
      <c r="E377" s="29">
        <v>1410.2</v>
      </c>
    </row>
    <row r="378" spans="1:5">
      <c r="A378">
        <v>704</v>
      </c>
      <c r="B378" t="s">
        <v>155</v>
      </c>
      <c r="C378">
        <v>1852</v>
      </c>
      <c r="D378" t="s">
        <v>555</v>
      </c>
      <c r="E378" s="29">
        <v>1479.6</v>
      </c>
    </row>
    <row r="379" spans="1:5">
      <c r="A379">
        <v>704</v>
      </c>
      <c r="B379" t="s">
        <v>155</v>
      </c>
      <c r="C379">
        <v>1853</v>
      </c>
      <c r="D379" t="s">
        <v>554</v>
      </c>
      <c r="E379" s="29">
        <v>1553.7</v>
      </c>
    </row>
    <row r="380" spans="1:5">
      <c r="A380">
        <v>704</v>
      </c>
      <c r="B380" t="s">
        <v>155</v>
      </c>
      <c r="C380">
        <v>1854</v>
      </c>
      <c r="D380" t="s">
        <v>553</v>
      </c>
      <c r="E380" s="29">
        <v>1446.5</v>
      </c>
    </row>
    <row r="381" spans="1:5">
      <c r="A381">
        <v>704</v>
      </c>
      <c r="B381" t="s">
        <v>155</v>
      </c>
      <c r="C381">
        <v>1856</v>
      </c>
      <c r="D381" t="s">
        <v>552</v>
      </c>
      <c r="E381" s="29">
        <v>1307.3</v>
      </c>
    </row>
    <row r="382" spans="1:5">
      <c r="A382">
        <v>704</v>
      </c>
      <c r="B382" t="s">
        <v>155</v>
      </c>
      <c r="C382">
        <v>1857</v>
      </c>
      <c r="D382" t="s">
        <v>551</v>
      </c>
      <c r="E382" s="29">
        <v>1310.5</v>
      </c>
    </row>
    <row r="383" spans="1:5">
      <c r="A383">
        <v>704</v>
      </c>
      <c r="B383" t="s">
        <v>155</v>
      </c>
      <c r="C383">
        <v>1859</v>
      </c>
      <c r="D383" t="s">
        <v>550</v>
      </c>
      <c r="E383" s="29">
        <v>1337.5</v>
      </c>
    </row>
    <row r="384" spans="1:5">
      <c r="A384">
        <v>704</v>
      </c>
      <c r="B384" t="s">
        <v>155</v>
      </c>
      <c r="C384">
        <v>1860</v>
      </c>
      <c r="D384" t="s">
        <v>549</v>
      </c>
      <c r="E384" s="29">
        <v>1492.3</v>
      </c>
    </row>
    <row r="385" spans="1:5">
      <c r="A385">
        <v>704</v>
      </c>
      <c r="B385" t="s">
        <v>155</v>
      </c>
      <c r="C385">
        <v>1865</v>
      </c>
      <c r="D385" t="s">
        <v>548</v>
      </c>
      <c r="E385" s="29">
        <v>1425.6</v>
      </c>
    </row>
    <row r="386" spans="1:5">
      <c r="A386">
        <v>704</v>
      </c>
      <c r="B386" t="s">
        <v>155</v>
      </c>
      <c r="C386">
        <v>1866</v>
      </c>
      <c r="D386" t="s">
        <v>547</v>
      </c>
      <c r="E386" s="29">
        <v>1492.9</v>
      </c>
    </row>
    <row r="387" spans="1:5">
      <c r="A387">
        <v>704</v>
      </c>
      <c r="B387" t="s">
        <v>155</v>
      </c>
      <c r="C387">
        <v>1867</v>
      </c>
      <c r="D387" t="s">
        <v>546</v>
      </c>
      <c r="E387" s="29">
        <v>1528</v>
      </c>
    </row>
    <row r="388" spans="1:5">
      <c r="A388">
        <v>704</v>
      </c>
      <c r="B388" t="s">
        <v>155</v>
      </c>
      <c r="C388">
        <v>1868</v>
      </c>
      <c r="D388" t="s">
        <v>545</v>
      </c>
      <c r="E388" s="29">
        <v>1502.1</v>
      </c>
    </row>
    <row r="389" spans="1:5">
      <c r="A389">
        <v>704</v>
      </c>
      <c r="B389" t="s">
        <v>155</v>
      </c>
      <c r="C389">
        <v>1870</v>
      </c>
      <c r="D389" t="s">
        <v>544</v>
      </c>
      <c r="E389" s="29">
        <v>1465.7</v>
      </c>
    </row>
    <row r="390" spans="1:5">
      <c r="A390">
        <v>704</v>
      </c>
      <c r="B390" t="s">
        <v>155</v>
      </c>
      <c r="C390">
        <v>1871</v>
      </c>
      <c r="D390" t="s">
        <v>543</v>
      </c>
      <c r="E390" s="29">
        <v>1562.5</v>
      </c>
    </row>
    <row r="391" spans="1:5">
      <c r="A391">
        <v>704</v>
      </c>
      <c r="B391" t="s">
        <v>155</v>
      </c>
      <c r="C391">
        <v>1874</v>
      </c>
      <c r="D391" t="s">
        <v>542</v>
      </c>
      <c r="E391" s="29">
        <v>1312.1</v>
      </c>
    </row>
    <row r="392" spans="1:5">
      <c r="A392">
        <v>704</v>
      </c>
      <c r="B392" t="s">
        <v>155</v>
      </c>
      <c r="C392">
        <v>1901</v>
      </c>
      <c r="D392" t="s">
        <v>540</v>
      </c>
      <c r="E392" s="29">
        <v>1484.9</v>
      </c>
    </row>
    <row r="393" spans="1:5">
      <c r="A393">
        <v>704</v>
      </c>
      <c r="B393" t="s">
        <v>155</v>
      </c>
      <c r="C393">
        <v>1911</v>
      </c>
      <c r="D393" t="s">
        <v>537</v>
      </c>
      <c r="E393" s="29">
        <v>1496.7</v>
      </c>
    </row>
    <row r="394" spans="1:5">
      <c r="A394">
        <v>704</v>
      </c>
      <c r="B394" t="s">
        <v>155</v>
      </c>
      <c r="C394">
        <v>1913</v>
      </c>
      <c r="D394" t="s">
        <v>536</v>
      </c>
      <c r="E394" s="29">
        <v>1468.4</v>
      </c>
    </row>
    <row r="395" spans="1:5">
      <c r="A395">
        <v>704</v>
      </c>
      <c r="B395" t="s">
        <v>155</v>
      </c>
      <c r="C395">
        <v>1915</v>
      </c>
      <c r="D395" t="s">
        <v>1707</v>
      </c>
      <c r="E395" s="29">
        <v>1507.6</v>
      </c>
    </row>
    <row r="396" spans="1:5">
      <c r="A396">
        <v>704</v>
      </c>
      <c r="B396" t="s">
        <v>155</v>
      </c>
      <c r="C396">
        <v>1917</v>
      </c>
      <c r="D396" t="s">
        <v>535</v>
      </c>
      <c r="E396" s="29">
        <v>1624</v>
      </c>
    </row>
    <row r="397" spans="1:5">
      <c r="A397">
        <v>704</v>
      </c>
      <c r="B397" t="s">
        <v>155</v>
      </c>
      <c r="C397">
        <v>1919</v>
      </c>
      <c r="D397" t="s">
        <v>534</v>
      </c>
      <c r="E397" s="29">
        <v>1546.8</v>
      </c>
    </row>
    <row r="398" spans="1:5">
      <c r="A398">
        <v>704</v>
      </c>
      <c r="B398" t="s">
        <v>155</v>
      </c>
      <c r="C398">
        <v>1920</v>
      </c>
      <c r="D398" t="s">
        <v>533</v>
      </c>
      <c r="E398" s="29">
        <v>1562.7</v>
      </c>
    </row>
    <row r="399" spans="1:5">
      <c r="A399">
        <v>704</v>
      </c>
      <c r="B399" t="s">
        <v>155</v>
      </c>
      <c r="C399">
        <v>1922</v>
      </c>
      <c r="D399" t="s">
        <v>532</v>
      </c>
      <c r="E399" s="29">
        <v>1580.1</v>
      </c>
    </row>
    <row r="400" spans="1:5">
      <c r="A400">
        <v>704</v>
      </c>
      <c r="B400" t="s">
        <v>155</v>
      </c>
      <c r="C400">
        <v>1923</v>
      </c>
      <c r="D400" t="s">
        <v>531</v>
      </c>
      <c r="E400" s="29">
        <v>1579.7</v>
      </c>
    </row>
    <row r="401" spans="1:5">
      <c r="A401">
        <v>704</v>
      </c>
      <c r="B401" t="s">
        <v>155</v>
      </c>
      <c r="C401">
        <v>1924</v>
      </c>
      <c r="D401" t="s">
        <v>530</v>
      </c>
      <c r="E401" s="29">
        <v>1619.9</v>
      </c>
    </row>
    <row r="402" spans="1:5">
      <c r="A402">
        <v>704</v>
      </c>
      <c r="B402" t="s">
        <v>155</v>
      </c>
      <c r="C402">
        <v>1925</v>
      </c>
      <c r="D402" t="s">
        <v>529</v>
      </c>
      <c r="E402" s="29">
        <v>1629.9</v>
      </c>
    </row>
    <row r="403" spans="1:5">
      <c r="A403">
        <v>704</v>
      </c>
      <c r="B403" t="s">
        <v>155</v>
      </c>
      <c r="C403">
        <v>1926</v>
      </c>
      <c r="D403" t="s">
        <v>528</v>
      </c>
      <c r="E403" s="29">
        <v>1608.8</v>
      </c>
    </row>
    <row r="404" spans="1:5">
      <c r="A404">
        <v>704</v>
      </c>
      <c r="B404" t="s">
        <v>155</v>
      </c>
      <c r="C404">
        <v>1927</v>
      </c>
      <c r="D404" t="s">
        <v>527</v>
      </c>
      <c r="E404" s="29">
        <v>1666.2</v>
      </c>
    </row>
    <row r="405" spans="1:5">
      <c r="A405">
        <v>704</v>
      </c>
      <c r="B405" t="s">
        <v>155</v>
      </c>
      <c r="C405">
        <v>1928</v>
      </c>
      <c r="D405" t="s">
        <v>526</v>
      </c>
      <c r="E405" s="29">
        <v>1716</v>
      </c>
    </row>
    <row r="406" spans="1:5">
      <c r="A406">
        <v>704</v>
      </c>
      <c r="B406" t="s">
        <v>155</v>
      </c>
      <c r="C406">
        <v>1929</v>
      </c>
      <c r="D406" t="s">
        <v>525</v>
      </c>
      <c r="E406" s="29">
        <v>1707.1</v>
      </c>
    </row>
    <row r="407" spans="1:5">
      <c r="A407">
        <v>704</v>
      </c>
      <c r="B407" t="s">
        <v>155</v>
      </c>
      <c r="C407">
        <v>1931</v>
      </c>
      <c r="D407" t="s">
        <v>524</v>
      </c>
      <c r="E407" s="29">
        <v>1647.8</v>
      </c>
    </row>
    <row r="408" spans="1:5">
      <c r="A408">
        <v>704</v>
      </c>
      <c r="B408" t="s">
        <v>155</v>
      </c>
      <c r="C408">
        <v>1933</v>
      </c>
      <c r="D408" t="s">
        <v>523</v>
      </c>
      <c r="E408" s="29">
        <v>1654.9</v>
      </c>
    </row>
    <row r="409" spans="1:5">
      <c r="A409">
        <v>704</v>
      </c>
      <c r="B409" t="s">
        <v>155</v>
      </c>
      <c r="C409">
        <v>1936</v>
      </c>
      <c r="D409" t="s">
        <v>522</v>
      </c>
      <c r="E409" s="29">
        <v>1801.1</v>
      </c>
    </row>
    <row r="410" spans="1:5">
      <c r="A410">
        <v>704</v>
      </c>
      <c r="B410" t="s">
        <v>155</v>
      </c>
      <c r="C410">
        <v>1938</v>
      </c>
      <c r="D410" t="s">
        <v>521</v>
      </c>
      <c r="E410" s="29">
        <v>1728</v>
      </c>
    </row>
    <row r="411" spans="1:5">
      <c r="A411">
        <v>704</v>
      </c>
      <c r="B411" t="s">
        <v>155</v>
      </c>
      <c r="C411">
        <v>1939</v>
      </c>
      <c r="D411" t="s">
        <v>520</v>
      </c>
      <c r="E411" s="29">
        <v>1686</v>
      </c>
    </row>
    <row r="412" spans="1:5">
      <c r="A412">
        <v>704</v>
      </c>
      <c r="B412" t="s">
        <v>155</v>
      </c>
      <c r="C412">
        <v>1940</v>
      </c>
      <c r="D412" t="s">
        <v>1708</v>
      </c>
      <c r="E412" s="29">
        <v>1891.3</v>
      </c>
    </row>
    <row r="413" spans="1:5">
      <c r="A413">
        <v>704</v>
      </c>
      <c r="B413" t="s">
        <v>155</v>
      </c>
      <c r="C413">
        <v>1941</v>
      </c>
      <c r="D413" t="s">
        <v>518</v>
      </c>
      <c r="E413" s="29">
        <v>1931</v>
      </c>
    </row>
    <row r="414" spans="1:5">
      <c r="A414">
        <v>704</v>
      </c>
      <c r="B414" t="s">
        <v>155</v>
      </c>
      <c r="C414">
        <v>1942</v>
      </c>
      <c r="D414" t="s">
        <v>517</v>
      </c>
      <c r="E414" s="29">
        <v>1938.7</v>
      </c>
    </row>
    <row r="415" spans="1:5">
      <c r="A415">
        <v>704</v>
      </c>
      <c r="B415" t="s">
        <v>155</v>
      </c>
      <c r="C415">
        <v>1943</v>
      </c>
      <c r="D415" t="s">
        <v>516</v>
      </c>
      <c r="E415" s="29">
        <v>1990</v>
      </c>
    </row>
    <row r="416" spans="1:5">
      <c r="A416">
        <v>704</v>
      </c>
      <c r="B416" t="s">
        <v>155</v>
      </c>
      <c r="C416">
        <v>1902</v>
      </c>
      <c r="D416" t="s">
        <v>1709</v>
      </c>
      <c r="E416" s="29">
        <v>1743</v>
      </c>
    </row>
    <row r="417" spans="1:5">
      <c r="A417">
        <v>704</v>
      </c>
      <c r="B417" t="s">
        <v>155</v>
      </c>
      <c r="C417">
        <v>2002</v>
      </c>
      <c r="D417" t="s">
        <v>514</v>
      </c>
      <c r="E417" s="29">
        <v>2223.6999999999998</v>
      </c>
    </row>
    <row r="418" spans="1:5">
      <c r="A418">
        <v>704</v>
      </c>
      <c r="B418" t="s">
        <v>155</v>
      </c>
      <c r="C418">
        <v>2003</v>
      </c>
      <c r="D418" t="s">
        <v>513</v>
      </c>
      <c r="E418" s="29">
        <v>2149.3000000000002</v>
      </c>
    </row>
    <row r="419" spans="1:5">
      <c r="A419">
        <v>704</v>
      </c>
      <c r="B419" t="s">
        <v>155</v>
      </c>
      <c r="C419">
        <v>2004</v>
      </c>
      <c r="D419" t="s">
        <v>512</v>
      </c>
      <c r="E419" s="29">
        <v>2043.9</v>
      </c>
    </row>
    <row r="420" spans="1:5">
      <c r="A420">
        <v>704</v>
      </c>
      <c r="B420" t="s">
        <v>155</v>
      </c>
      <c r="C420">
        <v>2011</v>
      </c>
      <c r="D420" t="s">
        <v>1710</v>
      </c>
      <c r="E420" s="29">
        <v>1772.4</v>
      </c>
    </row>
    <row r="421" spans="1:5">
      <c r="A421">
        <v>704</v>
      </c>
      <c r="B421" t="s">
        <v>155</v>
      </c>
      <c r="C421">
        <v>2012</v>
      </c>
      <c r="D421" t="s">
        <v>510</v>
      </c>
      <c r="E421" s="29">
        <v>1903.9</v>
      </c>
    </row>
    <row r="422" spans="1:5">
      <c r="A422">
        <v>704</v>
      </c>
      <c r="B422" t="s">
        <v>155</v>
      </c>
      <c r="C422">
        <v>2014</v>
      </c>
      <c r="D422" t="s">
        <v>509</v>
      </c>
      <c r="E422" s="29">
        <v>2022</v>
      </c>
    </row>
    <row r="423" spans="1:5">
      <c r="A423">
        <v>704</v>
      </c>
      <c r="B423" t="s">
        <v>155</v>
      </c>
      <c r="C423">
        <v>2015</v>
      </c>
      <c r="D423" t="s">
        <v>508</v>
      </c>
      <c r="E423" s="29">
        <v>2021.2</v>
      </c>
    </row>
    <row r="424" spans="1:5">
      <c r="A424">
        <v>704</v>
      </c>
      <c r="B424" t="s">
        <v>155</v>
      </c>
      <c r="C424">
        <v>2017</v>
      </c>
      <c r="D424" t="s">
        <v>507</v>
      </c>
      <c r="E424" s="29">
        <v>2013.8</v>
      </c>
    </row>
    <row r="425" spans="1:5">
      <c r="A425">
        <v>704</v>
      </c>
      <c r="B425" t="s">
        <v>155</v>
      </c>
      <c r="C425">
        <v>2018</v>
      </c>
      <c r="D425" t="s">
        <v>506</v>
      </c>
      <c r="E425" s="29">
        <v>2100</v>
      </c>
    </row>
    <row r="426" spans="1:5">
      <c r="A426">
        <v>704</v>
      </c>
      <c r="B426" t="s">
        <v>155</v>
      </c>
      <c r="C426">
        <v>2019</v>
      </c>
      <c r="D426" t="s">
        <v>505</v>
      </c>
      <c r="E426" s="29">
        <v>2110.8000000000002</v>
      </c>
    </row>
    <row r="427" spans="1:5">
      <c r="A427">
        <v>704</v>
      </c>
      <c r="B427" t="s">
        <v>155</v>
      </c>
      <c r="C427">
        <v>2020</v>
      </c>
      <c r="D427" t="s">
        <v>1711</v>
      </c>
      <c r="E427" s="29">
        <v>1975.3</v>
      </c>
    </row>
    <row r="428" spans="1:5">
      <c r="A428">
        <v>704</v>
      </c>
      <c r="B428" t="s">
        <v>155</v>
      </c>
      <c r="C428">
        <v>2021</v>
      </c>
      <c r="D428" t="s">
        <v>1712</v>
      </c>
      <c r="E428" s="29">
        <v>1902</v>
      </c>
    </row>
    <row r="429" spans="1:5">
      <c r="A429">
        <v>704</v>
      </c>
      <c r="B429" t="s">
        <v>155</v>
      </c>
      <c r="C429">
        <v>2022</v>
      </c>
      <c r="D429" t="s">
        <v>502</v>
      </c>
      <c r="E429" s="29">
        <v>2210.6999999999998</v>
      </c>
    </row>
    <row r="430" spans="1:5">
      <c r="A430">
        <v>704</v>
      </c>
      <c r="B430" t="s">
        <v>155</v>
      </c>
      <c r="C430">
        <v>2023</v>
      </c>
      <c r="D430" t="s">
        <v>501</v>
      </c>
      <c r="E430" s="29">
        <v>2199.1999999999998</v>
      </c>
    </row>
    <row r="431" spans="1:5">
      <c r="A431">
        <v>704</v>
      </c>
      <c r="B431" t="s">
        <v>155</v>
      </c>
      <c r="C431">
        <v>2024</v>
      </c>
      <c r="D431" t="s">
        <v>500</v>
      </c>
      <c r="E431" s="29">
        <v>2216.6</v>
      </c>
    </row>
    <row r="432" spans="1:5">
      <c r="A432">
        <v>704</v>
      </c>
      <c r="B432" t="s">
        <v>155</v>
      </c>
      <c r="C432">
        <v>2025</v>
      </c>
      <c r="D432" t="s">
        <v>1713</v>
      </c>
      <c r="E432" s="29">
        <v>2081.9</v>
      </c>
    </row>
    <row r="433" spans="1:5">
      <c r="A433">
        <v>704</v>
      </c>
      <c r="B433" t="s">
        <v>155</v>
      </c>
      <c r="C433">
        <v>2027</v>
      </c>
      <c r="D433" t="s">
        <v>1714</v>
      </c>
      <c r="E433" s="29">
        <v>2100.5</v>
      </c>
    </row>
    <row r="434" spans="1:5">
      <c r="A434">
        <v>704</v>
      </c>
      <c r="B434" t="s">
        <v>155</v>
      </c>
      <c r="C434">
        <v>2028</v>
      </c>
      <c r="D434" t="s">
        <v>497</v>
      </c>
      <c r="E434" s="29">
        <v>2188.5</v>
      </c>
    </row>
    <row r="435" spans="1:5">
      <c r="A435">
        <v>704</v>
      </c>
      <c r="B435" t="s">
        <v>155</v>
      </c>
      <c r="C435">
        <v>2030</v>
      </c>
      <c r="D435" t="s">
        <v>496</v>
      </c>
      <c r="E435" s="29">
        <v>2223.6</v>
      </c>
    </row>
    <row r="495" spans="6:7">
      <c r="F495">
        <v>1</v>
      </c>
      <c r="G495" s="740" t="s">
        <v>1715</v>
      </c>
    </row>
    <row r="501" spans="6:7">
      <c r="G501" s="740"/>
    </row>
    <row r="503" spans="6:7">
      <c r="F503">
        <v>1</v>
      </c>
      <c r="G503" s="740" t="s">
        <v>1716</v>
      </c>
    </row>
    <row r="505" spans="6:7">
      <c r="F505">
        <v>1</v>
      </c>
      <c r="G505" s="740" t="s">
        <v>1717</v>
      </c>
    </row>
    <row r="506" spans="6:7">
      <c r="F506">
        <v>1</v>
      </c>
      <c r="G506" s="740" t="s">
        <v>1718</v>
      </c>
    </row>
    <row r="694" spans="14:14">
      <c r="N694">
        <v>1400000</v>
      </c>
    </row>
    <row r="695" spans="14:14">
      <c r="N695">
        <f>N694/25</f>
        <v>56000</v>
      </c>
    </row>
  </sheetData>
  <autoFilter ref="H1:K470"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9CE19-6956-3542-A903-AEF6543FB012}">
  <dimension ref="A1:G179"/>
  <sheetViews>
    <sheetView zoomScale="142" zoomScaleNormal="182" workbookViewId="0">
      <pane xSplit="6" ySplit="6" topLeftCell="G90" activePane="bottomRight" state="frozen"/>
      <selection pane="topRight" activeCell="G1" sqref="G1"/>
      <selection pane="bottomLeft" activeCell="A7" sqref="A7"/>
      <selection pane="bottomRight" activeCell="H15" sqref="H15"/>
    </sheetView>
  </sheetViews>
  <sheetFormatPr baseColWidth="10" defaultColWidth="10.83203125" defaultRowHeight="16"/>
  <cols>
    <col min="1" max="1" width="30.6640625" style="7" customWidth="1"/>
    <col min="2" max="2" width="24.5" style="7" customWidth="1"/>
    <col min="3" max="3" width="12.83203125" style="7" customWidth="1"/>
    <col min="4" max="4" width="3.5" style="7" customWidth="1"/>
    <col min="5" max="16384" width="10.83203125" style="7"/>
  </cols>
  <sheetData>
    <row r="1" spans="1:7" ht="17" thickBot="1">
      <c r="A1" s="95" t="s">
        <v>27</v>
      </c>
      <c r="B1" s="93"/>
      <c r="C1" s="93"/>
      <c r="D1" s="93"/>
      <c r="E1" s="93"/>
      <c r="F1" s="93"/>
      <c r="G1" s="93"/>
    </row>
    <row r="2" spans="1:7">
      <c r="A2" s="120" t="s">
        <v>28</v>
      </c>
      <c r="B2" s="121" t="s">
        <v>29</v>
      </c>
      <c r="C2" s="121"/>
      <c r="D2" s="121"/>
      <c r="E2" s="121" t="s">
        <v>30</v>
      </c>
      <c r="F2" s="121"/>
      <c r="G2" s="122"/>
    </row>
    <row r="3" spans="1:7">
      <c r="A3" s="123" t="s">
        <v>31</v>
      </c>
      <c r="B3" s="124">
        <v>43101</v>
      </c>
      <c r="C3" s="93"/>
      <c r="D3" s="93"/>
      <c r="E3" s="93" t="s">
        <v>32</v>
      </c>
      <c r="F3" s="93">
        <v>2011</v>
      </c>
      <c r="G3" s="125" t="s">
        <v>33</v>
      </c>
    </row>
    <row r="4" spans="1:7">
      <c r="A4" s="123"/>
      <c r="B4" s="95" t="s">
        <v>35</v>
      </c>
      <c r="C4" s="93">
        <v>1</v>
      </c>
      <c r="D4" s="93" t="s">
        <v>36</v>
      </c>
      <c r="E4" s="93" t="s">
        <v>34</v>
      </c>
      <c r="F4" s="93"/>
      <c r="G4" s="125"/>
    </row>
    <row r="5" spans="1:7">
      <c r="A5" s="123"/>
      <c r="B5" s="67" t="s">
        <v>423</v>
      </c>
      <c r="C5" s="213">
        <v>60000</v>
      </c>
      <c r="D5" s="66" t="s">
        <v>13</v>
      </c>
      <c r="E5" s="93" t="s">
        <v>37</v>
      </c>
      <c r="F5" s="93"/>
      <c r="G5" s="125"/>
    </row>
    <row r="6" spans="1:7" ht="17" thickBot="1">
      <c r="A6" s="126"/>
      <c r="B6" s="127" t="s">
        <v>38</v>
      </c>
      <c r="C6" s="128">
        <v>60000</v>
      </c>
      <c r="D6" s="129" t="s">
        <v>13</v>
      </c>
      <c r="E6" s="130"/>
      <c r="F6" s="129"/>
      <c r="G6" s="131"/>
    </row>
    <row r="8" spans="1:7">
      <c r="A8" s="95" t="s">
        <v>301</v>
      </c>
      <c r="D8" s="93"/>
      <c r="F8" s="9"/>
    </row>
    <row r="9" spans="1:7">
      <c r="D9" s="93"/>
    </row>
    <row r="10" spans="1:7">
      <c r="A10" s="391" t="s">
        <v>39</v>
      </c>
      <c r="B10" s="391"/>
      <c r="C10" s="114"/>
      <c r="D10" s="93"/>
    </row>
    <row r="11" spans="1:7">
      <c r="A11" s="392" t="s">
        <v>1</v>
      </c>
      <c r="B11" s="392"/>
      <c r="C11" s="113"/>
      <c r="D11" s="93"/>
    </row>
    <row r="12" spans="1:7">
      <c r="A12" s="67" t="s">
        <v>40</v>
      </c>
      <c r="B12" s="66"/>
      <c r="C12" s="66"/>
      <c r="D12" s="94"/>
    </row>
    <row r="13" spans="1:7">
      <c r="A13" s="66" t="s">
        <v>41</v>
      </c>
      <c r="B13" s="65">
        <v>1550000</v>
      </c>
      <c r="C13" s="66" t="s">
        <v>2</v>
      </c>
      <c r="D13" s="94"/>
    </row>
    <row r="14" spans="1:7">
      <c r="A14" s="66" t="s">
        <v>42</v>
      </c>
      <c r="B14" s="65">
        <v>6</v>
      </c>
      <c r="C14" s="65" t="s">
        <v>3</v>
      </c>
      <c r="D14" s="94"/>
    </row>
    <row r="15" spans="1:7">
      <c r="A15" s="66" t="s">
        <v>43</v>
      </c>
      <c r="B15" s="65">
        <v>10</v>
      </c>
      <c r="C15" s="65" t="s">
        <v>4</v>
      </c>
      <c r="D15" s="94"/>
    </row>
    <row r="16" spans="1:7">
      <c r="A16" s="66" t="s">
        <v>44</v>
      </c>
      <c r="B16" s="65">
        <v>155000</v>
      </c>
      <c r="C16" s="65"/>
      <c r="D16" s="94"/>
    </row>
    <row r="17" spans="1:7">
      <c r="A17" s="66"/>
      <c r="B17" s="65"/>
      <c r="C17" s="65"/>
      <c r="D17" s="94"/>
    </row>
    <row r="18" spans="1:7">
      <c r="A18" s="67" t="s">
        <v>45</v>
      </c>
      <c r="B18" s="65"/>
      <c r="C18" s="65"/>
      <c r="D18" s="94"/>
    </row>
    <row r="19" spans="1:7">
      <c r="A19" s="66" t="s">
        <v>46</v>
      </c>
      <c r="B19" s="65">
        <v>0</v>
      </c>
      <c r="C19" s="65" t="s">
        <v>2</v>
      </c>
      <c r="D19" s="94"/>
    </row>
    <row r="20" spans="1:7">
      <c r="A20" s="66" t="s">
        <v>42</v>
      </c>
      <c r="B20" s="65">
        <v>14</v>
      </c>
      <c r="C20" s="65" t="s">
        <v>3</v>
      </c>
      <c r="D20" s="94"/>
    </row>
    <row r="21" spans="1:7">
      <c r="A21" s="66"/>
      <c r="B21" s="65"/>
      <c r="C21" s="65"/>
      <c r="D21" s="94"/>
    </row>
    <row r="22" spans="1:7">
      <c r="A22" s="67" t="s">
        <v>47</v>
      </c>
      <c r="B22" s="65"/>
      <c r="C22" s="65"/>
      <c r="D22" s="94"/>
      <c r="G22" s="8"/>
    </row>
    <row r="23" spans="1:7">
      <c r="A23" s="66" t="s">
        <v>48</v>
      </c>
      <c r="B23" s="65">
        <v>930000</v>
      </c>
      <c r="C23" s="65" t="s">
        <v>2</v>
      </c>
      <c r="D23" s="94"/>
    </row>
    <row r="24" spans="1:7">
      <c r="A24" s="66" t="s">
        <v>49</v>
      </c>
      <c r="B24" s="65">
        <v>4.5999999999999996</v>
      </c>
      <c r="C24" s="65" t="s">
        <v>4</v>
      </c>
      <c r="D24" s="94"/>
    </row>
    <row r="25" spans="1:7">
      <c r="A25" s="67"/>
      <c r="B25" s="65"/>
      <c r="C25" s="65"/>
      <c r="D25" s="94"/>
    </row>
    <row r="26" spans="1:7">
      <c r="A26" s="109" t="s">
        <v>50</v>
      </c>
      <c r="B26" s="110"/>
      <c r="C26" s="65"/>
      <c r="D26" s="94"/>
    </row>
    <row r="27" spans="1:7">
      <c r="A27" s="66" t="s">
        <v>51</v>
      </c>
      <c r="B27" s="65">
        <v>32000</v>
      </c>
      <c r="C27" s="65" t="s">
        <v>6</v>
      </c>
      <c r="D27" s="94"/>
      <c r="F27" s="8"/>
    </row>
    <row r="28" spans="1:7">
      <c r="A28" s="66" t="s">
        <v>8</v>
      </c>
      <c r="B28" s="65">
        <v>10052</v>
      </c>
      <c r="C28" s="65" t="s">
        <v>6</v>
      </c>
      <c r="D28" s="94"/>
    </row>
    <row r="29" spans="1:7">
      <c r="A29" s="66" t="s">
        <v>52</v>
      </c>
      <c r="B29" s="65"/>
      <c r="C29" s="65"/>
      <c r="D29" s="94"/>
    </row>
    <row r="30" spans="1:7">
      <c r="A30" s="66" t="s">
        <v>53</v>
      </c>
      <c r="B30" s="65"/>
      <c r="C30" s="65"/>
      <c r="D30" s="94"/>
      <c r="E30" s="8"/>
    </row>
    <row r="31" spans="1:7">
      <c r="A31" s="66" t="s">
        <v>20</v>
      </c>
      <c r="B31" s="65">
        <v>840</v>
      </c>
      <c r="C31" s="65" t="s">
        <v>6</v>
      </c>
      <c r="D31" s="94"/>
      <c r="E31" s="8"/>
    </row>
    <row r="32" spans="1:7">
      <c r="A32" s="67"/>
      <c r="B32" s="65"/>
      <c r="C32" s="65"/>
      <c r="D32" s="94"/>
    </row>
    <row r="33" spans="1:4">
      <c r="A33" s="67" t="s">
        <v>112</v>
      </c>
      <c r="B33" s="65"/>
      <c r="C33" s="65"/>
      <c r="D33" s="94"/>
    </row>
    <row r="34" spans="1:4">
      <c r="A34" s="66" t="s">
        <v>7</v>
      </c>
      <c r="B34" s="65">
        <v>0.89</v>
      </c>
      <c r="C34" s="65" t="s">
        <v>9</v>
      </c>
      <c r="D34" s="94"/>
    </row>
    <row r="35" spans="1:4">
      <c r="A35" s="66"/>
      <c r="B35" s="65">
        <f>B34*C6</f>
        <v>53400</v>
      </c>
      <c r="C35" s="65" t="s">
        <v>6</v>
      </c>
      <c r="D35" s="94"/>
    </row>
    <row r="36" spans="1:4">
      <c r="A36" s="66"/>
      <c r="B36" s="65"/>
      <c r="C36" s="65"/>
      <c r="D36" s="94"/>
    </row>
    <row r="37" spans="1:4">
      <c r="A37" s="66"/>
      <c r="B37" s="65"/>
      <c r="C37" s="65"/>
      <c r="D37" s="94"/>
    </row>
    <row r="38" spans="1:4">
      <c r="A38" s="111" t="s">
        <v>16</v>
      </c>
      <c r="B38" s="112"/>
      <c r="C38" s="115"/>
      <c r="D38" s="94"/>
    </row>
    <row r="39" spans="1:4">
      <c r="A39" s="66"/>
      <c r="B39" s="65"/>
      <c r="C39" s="65"/>
      <c r="D39" s="94"/>
    </row>
    <row r="40" spans="1:4">
      <c r="A40" s="67" t="s">
        <v>54</v>
      </c>
      <c r="B40" s="65"/>
      <c r="C40" s="65"/>
      <c r="D40" s="94"/>
    </row>
    <row r="41" spans="1:4">
      <c r="A41" s="66" t="s">
        <v>55</v>
      </c>
      <c r="B41" s="65">
        <v>10.86</v>
      </c>
      <c r="C41" s="65" t="s">
        <v>56</v>
      </c>
      <c r="D41" s="94"/>
    </row>
    <row r="42" spans="1:4">
      <c r="A42" s="66" t="s">
        <v>57</v>
      </c>
      <c r="B42" s="65">
        <v>0.42</v>
      </c>
      <c r="C42" s="65" t="s">
        <v>58</v>
      </c>
      <c r="D42" s="94"/>
    </row>
    <row r="43" spans="1:4">
      <c r="A43" s="66" t="s">
        <v>59</v>
      </c>
      <c r="B43" s="65">
        <v>25200</v>
      </c>
      <c r="C43" s="65" t="s">
        <v>58</v>
      </c>
      <c r="D43" s="94"/>
    </row>
    <row r="44" spans="1:4">
      <c r="A44" s="66" t="s">
        <v>60</v>
      </c>
      <c r="B44" s="65">
        <v>43.33</v>
      </c>
      <c r="C44" s="65" t="s">
        <v>12</v>
      </c>
      <c r="D44" s="94"/>
    </row>
    <row r="45" spans="1:4">
      <c r="A45" s="66" t="s">
        <v>61</v>
      </c>
      <c r="B45" s="65">
        <v>3</v>
      </c>
      <c r="C45" s="65" t="s">
        <v>4</v>
      </c>
      <c r="D45" s="94"/>
    </row>
    <row r="46" spans="1:4">
      <c r="A46" s="66" t="s">
        <v>62</v>
      </c>
      <c r="B46" s="65">
        <f>C6*B42*B41/C6</f>
        <v>4.5612000000000004</v>
      </c>
      <c r="C46" s="65" t="s">
        <v>9</v>
      </c>
      <c r="D46" s="94"/>
    </row>
    <row r="47" spans="1:4">
      <c r="A47" s="66"/>
      <c r="B47" s="65"/>
      <c r="C47" s="65"/>
      <c r="D47" s="94"/>
    </row>
    <row r="48" spans="1:4">
      <c r="A48" s="66"/>
      <c r="B48" s="65"/>
      <c r="C48" s="65"/>
      <c r="D48" s="94"/>
    </row>
    <row r="49" spans="1:4">
      <c r="A49" s="67" t="s">
        <v>63</v>
      </c>
      <c r="B49" s="65"/>
      <c r="C49" s="65"/>
      <c r="D49" s="94"/>
    </row>
    <row r="50" spans="1:4">
      <c r="A50" s="66" t="s">
        <v>64</v>
      </c>
      <c r="B50" s="65">
        <v>10</v>
      </c>
      <c r="C50" s="65" t="s">
        <v>36</v>
      </c>
      <c r="D50" s="94"/>
    </row>
    <row r="51" spans="1:4">
      <c r="A51" s="66" t="s">
        <v>65</v>
      </c>
      <c r="B51" s="65">
        <v>4500</v>
      </c>
      <c r="C51" s="65" t="s">
        <v>2</v>
      </c>
      <c r="D51" s="94"/>
    </row>
    <row r="52" spans="1:4">
      <c r="A52" s="66" t="s">
        <v>66</v>
      </c>
      <c r="B52" s="65">
        <v>60000</v>
      </c>
      <c r="C52" s="65" t="s">
        <v>13</v>
      </c>
      <c r="D52" s="94"/>
    </row>
    <row r="53" spans="1:4">
      <c r="A53" s="66" t="s">
        <v>67</v>
      </c>
      <c r="B53" s="65">
        <v>10</v>
      </c>
      <c r="C53" s="65" t="s">
        <v>36</v>
      </c>
      <c r="D53" s="94"/>
    </row>
    <row r="54" spans="1:4">
      <c r="A54" s="66" t="s">
        <v>68</v>
      </c>
      <c r="B54" s="65">
        <f>B51*B53/C6</f>
        <v>0.75</v>
      </c>
      <c r="C54" s="65" t="s">
        <v>9</v>
      </c>
      <c r="D54" s="94"/>
    </row>
    <row r="55" spans="1:4">
      <c r="A55" s="66"/>
      <c r="B55" s="65"/>
      <c r="C55" s="65"/>
      <c r="D55" s="94"/>
    </row>
    <row r="56" spans="1:4">
      <c r="A56" s="67" t="s">
        <v>21</v>
      </c>
      <c r="B56" s="65"/>
      <c r="C56" s="65"/>
      <c r="D56" s="94"/>
    </row>
    <row r="57" spans="1:4">
      <c r="A57" s="66" t="s">
        <v>69</v>
      </c>
      <c r="B57" s="65">
        <v>4000</v>
      </c>
      <c r="C57" s="65" t="s">
        <v>2</v>
      </c>
      <c r="D57" s="94"/>
    </row>
    <row r="58" spans="1:4">
      <c r="A58" s="66" t="s">
        <v>70</v>
      </c>
      <c r="B58" s="65">
        <f>B57/C6</f>
        <v>6.6666666666666666E-2</v>
      </c>
      <c r="C58" s="65" t="s">
        <v>9</v>
      </c>
      <c r="D58" s="94"/>
    </row>
    <row r="59" spans="1:4">
      <c r="A59" s="66"/>
      <c r="B59" s="66"/>
      <c r="C59" s="65"/>
      <c r="D59" s="94"/>
    </row>
    <row r="60" spans="1:4">
      <c r="A60" s="67"/>
      <c r="B60" s="65"/>
      <c r="C60" s="65"/>
      <c r="D60" s="94"/>
    </row>
    <row r="61" spans="1:4">
      <c r="A61" s="67" t="s">
        <v>26</v>
      </c>
      <c r="B61" s="65"/>
      <c r="C61" s="65"/>
      <c r="D61" s="94"/>
    </row>
    <row r="62" spans="1:4">
      <c r="A62" s="66" t="s">
        <v>71</v>
      </c>
      <c r="B62" s="65">
        <v>0</v>
      </c>
      <c r="C62" s="65" t="s">
        <v>2</v>
      </c>
      <c r="D62" s="94"/>
    </row>
    <row r="63" spans="1:4">
      <c r="A63" s="66" t="s">
        <v>72</v>
      </c>
      <c r="B63" s="65">
        <v>0</v>
      </c>
      <c r="C63" s="65" t="s">
        <v>9</v>
      </c>
      <c r="D63" s="94"/>
    </row>
    <row r="64" spans="1:4">
      <c r="A64" s="67"/>
      <c r="B64" s="65"/>
      <c r="C64" s="65"/>
      <c r="D64" s="94"/>
    </row>
    <row r="65" spans="1:5">
      <c r="A65" s="67" t="s">
        <v>73</v>
      </c>
      <c r="B65" s="65"/>
      <c r="C65" s="65"/>
      <c r="D65" s="94"/>
    </row>
    <row r="66" spans="1:5">
      <c r="A66" s="66" t="s">
        <v>74</v>
      </c>
      <c r="B66" s="65">
        <v>138000</v>
      </c>
      <c r="C66" s="65" t="s">
        <v>2</v>
      </c>
      <c r="D66" s="94"/>
    </row>
    <row r="67" spans="1:5">
      <c r="A67" s="66" t="s">
        <v>75</v>
      </c>
      <c r="B67" s="65">
        <f>B66/C6</f>
        <v>2.2999999999999998</v>
      </c>
      <c r="C67" s="65" t="s">
        <v>9</v>
      </c>
      <c r="D67" s="94"/>
    </row>
    <row r="68" spans="1:5">
      <c r="A68" s="67"/>
      <c r="B68" s="65"/>
      <c r="C68" s="65"/>
      <c r="D68" s="94"/>
    </row>
    <row r="69" spans="1:5">
      <c r="A69" s="67" t="s">
        <v>76</v>
      </c>
      <c r="B69" s="65"/>
      <c r="C69" s="65"/>
      <c r="D69" s="94"/>
    </row>
    <row r="70" spans="1:5">
      <c r="A70" s="66" t="s">
        <v>77</v>
      </c>
      <c r="B70" s="65">
        <v>0</v>
      </c>
      <c r="C70" s="65" t="s">
        <v>2</v>
      </c>
      <c r="D70" s="94"/>
    </row>
    <row r="71" spans="1:5">
      <c r="A71" s="66" t="s">
        <v>78</v>
      </c>
      <c r="B71" s="65">
        <f>B70/C6</f>
        <v>0</v>
      </c>
      <c r="C71" s="65" t="s">
        <v>9</v>
      </c>
      <c r="D71" s="94"/>
    </row>
    <row r="72" spans="1:5">
      <c r="A72" s="67"/>
      <c r="B72" s="65"/>
      <c r="C72" s="65"/>
      <c r="D72" s="94"/>
    </row>
    <row r="73" spans="1:5">
      <c r="A73" s="67" t="s">
        <v>79</v>
      </c>
      <c r="B73" s="65"/>
      <c r="C73" s="65"/>
      <c r="D73" s="94"/>
    </row>
    <row r="74" spans="1:5">
      <c r="A74" s="66" t="s">
        <v>80</v>
      </c>
      <c r="B74" s="65">
        <v>4000</v>
      </c>
      <c r="C74" s="65" t="s">
        <v>2</v>
      </c>
      <c r="D74" s="94"/>
    </row>
    <row r="75" spans="1:5">
      <c r="A75" s="66" t="s">
        <v>81</v>
      </c>
      <c r="B75" s="65">
        <f>B74/C6</f>
        <v>6.6666666666666666E-2</v>
      </c>
      <c r="C75" s="65" t="s">
        <v>9</v>
      </c>
      <c r="D75" s="94"/>
    </row>
    <row r="76" spans="1:5">
      <c r="A76" s="67"/>
      <c r="B76" s="65"/>
      <c r="C76" s="65"/>
      <c r="D76" s="94"/>
    </row>
    <row r="77" spans="1:5">
      <c r="A77" s="67" t="s">
        <v>82</v>
      </c>
      <c r="B77" s="65"/>
      <c r="C77" s="65"/>
      <c r="D77" s="94"/>
      <c r="E77" s="8"/>
    </row>
    <row r="78" spans="1:5">
      <c r="A78" s="66" t="s">
        <v>83</v>
      </c>
      <c r="B78" s="65">
        <v>100</v>
      </c>
      <c r="C78" s="65" t="s">
        <v>84</v>
      </c>
      <c r="D78" s="94"/>
      <c r="E78" s="8"/>
    </row>
    <row r="79" spans="1:5">
      <c r="A79" s="66" t="s">
        <v>85</v>
      </c>
      <c r="B79" s="65">
        <v>289</v>
      </c>
      <c r="C79" s="65" t="s">
        <v>2</v>
      </c>
      <c r="D79" s="94"/>
      <c r="E79" s="8"/>
    </row>
    <row r="80" spans="1:5">
      <c r="A80" s="66" t="s">
        <v>86</v>
      </c>
      <c r="B80" s="65">
        <v>28900</v>
      </c>
      <c r="C80" s="65" t="s">
        <v>2</v>
      </c>
      <c r="D80" s="94"/>
      <c r="E80" s="8"/>
    </row>
    <row r="81" spans="1:5">
      <c r="A81" s="66" t="s">
        <v>87</v>
      </c>
      <c r="B81" s="65">
        <f>B80/C6</f>
        <v>0.48166666666666669</v>
      </c>
      <c r="C81" s="65"/>
      <c r="D81" s="94"/>
      <c r="E81" s="8"/>
    </row>
    <row r="82" spans="1:5">
      <c r="A82" s="67"/>
      <c r="B82" s="65"/>
      <c r="C82" s="65"/>
      <c r="D82" s="94"/>
      <c r="E82" s="8"/>
    </row>
    <row r="83" spans="1:5">
      <c r="A83" s="66" t="s">
        <v>88</v>
      </c>
      <c r="B83" s="65">
        <v>1</v>
      </c>
      <c r="C83" s="65" t="s">
        <v>36</v>
      </c>
      <c r="D83" s="94"/>
      <c r="E83" s="8"/>
    </row>
    <row r="84" spans="1:5">
      <c r="A84" s="66" t="s">
        <v>89</v>
      </c>
      <c r="B84" s="65">
        <v>2000</v>
      </c>
      <c r="C84" s="65" t="s">
        <v>2</v>
      </c>
      <c r="D84" s="94"/>
      <c r="E84" s="8"/>
    </row>
    <row r="85" spans="1:5">
      <c r="A85" s="66" t="s">
        <v>90</v>
      </c>
      <c r="B85" s="65">
        <f>B84/C6</f>
        <v>3.3333333333333333E-2</v>
      </c>
      <c r="C85" s="65" t="s">
        <v>9</v>
      </c>
      <c r="D85" s="94"/>
      <c r="E85" s="8"/>
    </row>
    <row r="86" spans="1:5">
      <c r="A86" s="67"/>
      <c r="B86" s="65"/>
      <c r="C86" s="65"/>
      <c r="D86" s="94"/>
      <c r="E86" s="8"/>
    </row>
    <row r="87" spans="1:5">
      <c r="A87" s="66" t="s">
        <v>91</v>
      </c>
      <c r="B87" s="65">
        <v>10000</v>
      </c>
      <c r="C87" s="65" t="s">
        <v>2</v>
      </c>
      <c r="D87" s="94"/>
      <c r="E87" s="8"/>
    </row>
    <row r="88" spans="1:5">
      <c r="A88" s="66" t="s">
        <v>92</v>
      </c>
      <c r="B88" s="65">
        <f>B87/C6</f>
        <v>0.16666666666666666</v>
      </c>
      <c r="C88" s="65" t="s">
        <v>9</v>
      </c>
      <c r="D88" s="94"/>
    </row>
    <row r="89" spans="1:5">
      <c r="A89" s="67"/>
      <c r="B89" s="65"/>
      <c r="C89" s="65"/>
      <c r="D89" s="94"/>
    </row>
    <row r="90" spans="1:5">
      <c r="A90" s="67" t="s">
        <v>93</v>
      </c>
      <c r="B90" s="65"/>
      <c r="C90" s="65"/>
      <c r="D90" s="94"/>
    </row>
    <row r="91" spans="1:5">
      <c r="A91" s="66" t="s">
        <v>94</v>
      </c>
      <c r="B91" s="65">
        <v>0</v>
      </c>
      <c r="C91" s="65" t="s">
        <v>9</v>
      </c>
      <c r="D91" s="94"/>
    </row>
    <row r="92" spans="1:5">
      <c r="A92" s="66" t="s">
        <v>95</v>
      </c>
      <c r="B92" s="65">
        <v>3.9</v>
      </c>
      <c r="C92" s="65" t="s">
        <v>2</v>
      </c>
      <c r="D92" s="94"/>
    </row>
    <row r="93" spans="1:5">
      <c r="A93" s="66" t="s">
        <v>96</v>
      </c>
      <c r="B93" s="65">
        <v>0</v>
      </c>
      <c r="C93" s="65" t="s">
        <v>9</v>
      </c>
      <c r="D93" s="9"/>
    </row>
    <row r="94" spans="1:5">
      <c r="A94" s="66" t="s">
        <v>97</v>
      </c>
      <c r="B94" s="65">
        <f>B93/C6</f>
        <v>0</v>
      </c>
      <c r="C94" s="65" t="s">
        <v>9</v>
      </c>
      <c r="D94" s="9"/>
    </row>
    <row r="95" spans="1:5">
      <c r="A95" s="8"/>
      <c r="B95" s="9"/>
      <c r="C95" s="9"/>
      <c r="D95" s="9"/>
    </row>
    <row r="96" spans="1:5">
      <c r="B96" s="9"/>
      <c r="C96" s="9"/>
      <c r="D96" s="9"/>
    </row>
    <row r="97" spans="1:6">
      <c r="A97" s="105" t="s">
        <v>100</v>
      </c>
      <c r="B97" s="106"/>
      <c r="C97" s="107"/>
      <c r="D97" s="9"/>
    </row>
    <row r="98" spans="1:6">
      <c r="A98" s="66"/>
      <c r="B98" s="65"/>
      <c r="C98" s="65"/>
      <c r="D98" s="9"/>
    </row>
    <row r="99" spans="1:6">
      <c r="A99" s="105" t="s">
        <v>1</v>
      </c>
      <c r="B99" s="106"/>
      <c r="C99" s="107"/>
      <c r="D99" s="45"/>
      <c r="E99" s="64"/>
      <c r="F99" s="64"/>
    </row>
    <row r="100" spans="1:6">
      <c r="A100" s="66" t="s">
        <v>14</v>
      </c>
      <c r="B100" s="213">
        <f>(B13-B16)/B14</f>
        <v>232500</v>
      </c>
      <c r="C100" s="65" t="s">
        <v>6</v>
      </c>
      <c r="D100" s="45"/>
      <c r="E100" s="64"/>
      <c r="F100" s="64"/>
    </row>
    <row r="101" spans="1:6">
      <c r="A101" s="66" t="s">
        <v>15</v>
      </c>
      <c r="B101" s="213">
        <f>B19/B20</f>
        <v>0</v>
      </c>
      <c r="C101" s="65" t="s">
        <v>6</v>
      </c>
      <c r="D101" s="45"/>
      <c r="E101" s="64"/>
      <c r="F101" s="64"/>
    </row>
    <row r="102" spans="1:6">
      <c r="A102" s="66" t="s">
        <v>17</v>
      </c>
      <c r="B102" s="213">
        <f>B23*(B24/100)</f>
        <v>42780</v>
      </c>
      <c r="C102" s="65" t="s">
        <v>6</v>
      </c>
      <c r="D102" s="45"/>
      <c r="E102" s="64"/>
      <c r="F102" s="64"/>
    </row>
    <row r="103" spans="1:6">
      <c r="A103" s="66" t="s">
        <v>5</v>
      </c>
      <c r="B103" s="213">
        <f>B27</f>
        <v>32000</v>
      </c>
      <c r="C103" s="65" t="s">
        <v>6</v>
      </c>
      <c r="D103" s="45"/>
      <c r="E103" s="64"/>
      <c r="F103" s="64"/>
    </row>
    <row r="104" spans="1:6">
      <c r="A104" s="66" t="s">
        <v>8</v>
      </c>
      <c r="B104" s="213">
        <f>B28</f>
        <v>10052</v>
      </c>
      <c r="C104" s="65" t="s">
        <v>6</v>
      </c>
      <c r="D104" s="45"/>
      <c r="E104" s="64"/>
      <c r="F104" s="64"/>
    </row>
    <row r="105" spans="1:6">
      <c r="A105" s="66" t="s">
        <v>20</v>
      </c>
      <c r="B105" s="213">
        <f>B31</f>
        <v>840</v>
      </c>
      <c r="C105" s="65" t="s">
        <v>6</v>
      </c>
      <c r="D105" s="9"/>
    </row>
    <row r="106" spans="1:6">
      <c r="A106" s="66" t="s">
        <v>7</v>
      </c>
      <c r="B106" s="213">
        <f>B35</f>
        <v>53400</v>
      </c>
      <c r="C106" s="65" t="s">
        <v>6</v>
      </c>
      <c r="D106" s="9"/>
    </row>
    <row r="107" spans="1:6">
      <c r="A107" s="67" t="s">
        <v>110</v>
      </c>
      <c r="B107" s="214">
        <f>SUM(B100:B106)</f>
        <v>371572</v>
      </c>
      <c r="C107" s="68" t="s">
        <v>6</v>
      </c>
      <c r="D107" s="9"/>
    </row>
    <row r="108" spans="1:6">
      <c r="A108" s="69" t="s">
        <v>101</v>
      </c>
      <c r="B108" s="70">
        <f>B107/C6</f>
        <v>6.1928666666666663</v>
      </c>
      <c r="C108" s="70" t="s">
        <v>9</v>
      </c>
      <c r="D108" s="9"/>
    </row>
    <row r="109" spans="1:6">
      <c r="A109" s="66"/>
      <c r="B109" s="65"/>
      <c r="C109" s="65"/>
      <c r="D109" s="9"/>
    </row>
    <row r="110" spans="1:6">
      <c r="A110" s="105" t="s">
        <v>16</v>
      </c>
      <c r="B110" s="106"/>
      <c r="C110" s="107"/>
      <c r="D110" s="9"/>
    </row>
    <row r="111" spans="1:6">
      <c r="A111" s="66" t="s">
        <v>102</v>
      </c>
      <c r="B111" s="65">
        <f>B46</f>
        <v>4.5612000000000004</v>
      </c>
      <c r="C111" s="65" t="s">
        <v>9</v>
      </c>
      <c r="D111" s="9"/>
    </row>
    <row r="112" spans="1:6">
      <c r="A112" s="66" t="s">
        <v>103</v>
      </c>
      <c r="B112" s="65">
        <f>B54</f>
        <v>0.75</v>
      </c>
      <c r="C112" s="65" t="s">
        <v>9</v>
      </c>
      <c r="D112" s="9"/>
    </row>
    <row r="113" spans="1:4">
      <c r="A113" s="66" t="s">
        <v>104</v>
      </c>
      <c r="B113" s="65">
        <f>B58</f>
        <v>6.6666666666666666E-2</v>
      </c>
      <c r="C113" s="65" t="s">
        <v>9</v>
      </c>
      <c r="D113" s="9"/>
    </row>
    <row r="114" spans="1:4">
      <c r="A114" s="66" t="s">
        <v>72</v>
      </c>
      <c r="B114" s="65">
        <f>B63</f>
        <v>0</v>
      </c>
      <c r="C114" s="65" t="s">
        <v>9</v>
      </c>
      <c r="D114" s="9"/>
    </row>
    <row r="115" spans="1:4">
      <c r="A115" s="66" t="s">
        <v>105</v>
      </c>
      <c r="B115" s="65">
        <f>B67</f>
        <v>2.2999999999999998</v>
      </c>
      <c r="C115" s="65" t="s">
        <v>9</v>
      </c>
      <c r="D115" s="9"/>
    </row>
    <row r="116" spans="1:4">
      <c r="A116" s="66" t="s">
        <v>106</v>
      </c>
      <c r="B116" s="65">
        <f>B63</f>
        <v>0</v>
      </c>
      <c r="C116" s="65" t="s">
        <v>9</v>
      </c>
      <c r="D116" s="9"/>
    </row>
    <row r="117" spans="1:4">
      <c r="A117" s="66" t="s">
        <v>81</v>
      </c>
      <c r="B117" s="65">
        <f>B75</f>
        <v>6.6666666666666666E-2</v>
      </c>
      <c r="C117" s="65" t="s">
        <v>9</v>
      </c>
      <c r="D117" s="9"/>
    </row>
    <row r="118" spans="1:4">
      <c r="A118" s="66" t="s">
        <v>87</v>
      </c>
      <c r="B118" s="65">
        <f>B81</f>
        <v>0.48166666666666669</v>
      </c>
      <c r="C118" s="65" t="s">
        <v>9</v>
      </c>
      <c r="D118" s="9"/>
    </row>
    <row r="119" spans="1:4">
      <c r="A119" s="66" t="s">
        <v>90</v>
      </c>
      <c r="B119" s="65">
        <f>B85</f>
        <v>3.3333333333333333E-2</v>
      </c>
      <c r="C119" s="65" t="s">
        <v>9</v>
      </c>
      <c r="D119" s="9"/>
    </row>
    <row r="120" spans="1:4">
      <c r="A120" s="66" t="s">
        <v>107</v>
      </c>
      <c r="B120" s="65">
        <f>B88</f>
        <v>0.16666666666666666</v>
      </c>
      <c r="C120" s="65" t="s">
        <v>9</v>
      </c>
      <c r="D120" s="9"/>
    </row>
    <row r="121" spans="1:4">
      <c r="A121" s="66" t="s">
        <v>97</v>
      </c>
      <c r="B121" s="65">
        <f>B94</f>
        <v>0</v>
      </c>
      <c r="C121" s="65" t="s">
        <v>9</v>
      </c>
      <c r="D121" s="9"/>
    </row>
    <row r="122" spans="1:4">
      <c r="A122" s="69" t="s">
        <v>111</v>
      </c>
      <c r="B122" s="70">
        <f>SUM(B111:B121)</f>
        <v>8.4261999999999997</v>
      </c>
      <c r="C122" s="70" t="s">
        <v>9</v>
      </c>
      <c r="D122" s="9"/>
    </row>
    <row r="123" spans="1:4">
      <c r="A123" s="67"/>
      <c r="B123" s="68"/>
      <c r="C123" s="68"/>
      <c r="D123" s="9"/>
    </row>
    <row r="124" spans="1:4">
      <c r="A124" s="105" t="s">
        <v>10</v>
      </c>
      <c r="B124" s="106"/>
      <c r="C124" s="107"/>
      <c r="D124" s="9"/>
    </row>
    <row r="125" spans="1:4">
      <c r="A125" s="66" t="s">
        <v>378</v>
      </c>
      <c r="B125" s="65">
        <v>361.73</v>
      </c>
      <c r="C125" s="65" t="s">
        <v>11</v>
      </c>
      <c r="D125" s="9"/>
    </row>
    <row r="126" spans="1:4">
      <c r="A126" s="66" t="s">
        <v>98</v>
      </c>
      <c r="B126" s="65">
        <v>1385</v>
      </c>
      <c r="C126" s="65" t="s">
        <v>22</v>
      </c>
      <c r="D126" s="9"/>
    </row>
    <row r="127" spans="1:4">
      <c r="A127" s="66" t="s">
        <v>99</v>
      </c>
      <c r="B127" s="65">
        <f>B128*C6</f>
        <v>500996.05000000005</v>
      </c>
      <c r="C127" s="65" t="s">
        <v>2</v>
      </c>
      <c r="D127" s="9"/>
    </row>
    <row r="128" spans="1:4">
      <c r="A128" s="69" t="s">
        <v>379</v>
      </c>
      <c r="B128" s="70">
        <f>B126*B125/C6</f>
        <v>8.3499341666666673</v>
      </c>
      <c r="C128" s="70" t="s">
        <v>9</v>
      </c>
      <c r="D128" s="9"/>
    </row>
    <row r="129" spans="1:6">
      <c r="D129" s="9"/>
    </row>
    <row r="130" spans="1:6">
      <c r="D130" s="9"/>
    </row>
    <row r="131" spans="1:6">
      <c r="A131" s="69" t="s">
        <v>108</v>
      </c>
      <c r="B131" s="66"/>
      <c r="C131" s="66"/>
      <c r="D131" s="9"/>
    </row>
    <row r="132" spans="1:6">
      <c r="A132" s="66" t="s">
        <v>157</v>
      </c>
      <c r="B132" s="65">
        <f>B108</f>
        <v>6.1928666666666663</v>
      </c>
      <c r="C132" s="66" t="s">
        <v>9</v>
      </c>
      <c r="D132" s="9"/>
    </row>
    <row r="133" spans="1:6">
      <c r="A133" s="66" t="s">
        <v>158</v>
      </c>
      <c r="B133" s="65">
        <f>B122</f>
        <v>8.4261999999999997</v>
      </c>
      <c r="C133" s="66" t="s">
        <v>9</v>
      </c>
      <c r="D133" s="9"/>
    </row>
    <row r="134" spans="1:6">
      <c r="A134" s="69" t="s">
        <v>113</v>
      </c>
      <c r="B134" s="70">
        <f>SUM(B132:B133)</f>
        <v>14.619066666666665</v>
      </c>
      <c r="C134" s="69" t="s">
        <v>9</v>
      </c>
      <c r="D134" s="9"/>
    </row>
    <row r="135" spans="1:6">
      <c r="A135" s="66"/>
      <c r="B135" s="66"/>
      <c r="C135" s="66"/>
      <c r="D135" s="9"/>
    </row>
    <row r="136" spans="1:6">
      <c r="A136" s="108" t="s">
        <v>114</v>
      </c>
      <c r="B136" s="66">
        <v>0.89</v>
      </c>
      <c r="C136" s="66" t="s">
        <v>9</v>
      </c>
      <c r="D136" s="9"/>
    </row>
    <row r="137" spans="1:6">
      <c r="A137" s="69" t="s">
        <v>115</v>
      </c>
      <c r="B137" s="68">
        <f>SUM(B134:B136)</f>
        <v>15.509066666666666</v>
      </c>
      <c r="C137" s="66" t="s">
        <v>9</v>
      </c>
      <c r="D137" s="9"/>
    </row>
    <row r="138" spans="1:6">
      <c r="D138" s="9"/>
    </row>
    <row r="139" spans="1:6">
      <c r="A139" s="96" t="s">
        <v>156</v>
      </c>
      <c r="B139" s="96"/>
      <c r="C139" s="96"/>
      <c r="D139" s="9"/>
    </row>
    <row r="140" spans="1:6">
      <c r="D140" s="9"/>
    </row>
    <row r="141" spans="1:6">
      <c r="D141" s="9"/>
    </row>
    <row r="142" spans="1:6">
      <c r="D142" s="9"/>
    </row>
    <row r="144" spans="1:6">
      <c r="F144" s="23"/>
    </row>
    <row r="168" spans="1:1">
      <c r="A168" s="8"/>
    </row>
    <row r="169" spans="1:1">
      <c r="A169" s="9"/>
    </row>
    <row r="175" spans="1:1">
      <c r="A175" s="9"/>
    </row>
    <row r="176" spans="1:1">
      <c r="A176" s="8"/>
    </row>
    <row r="179" spans="1:1">
      <c r="A179" s="8"/>
    </row>
  </sheetData>
  <mergeCells count="2">
    <mergeCell ref="A10:B10"/>
    <mergeCell ref="A11: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352EA-CF43-024B-A3F1-70A0CFE40FCB}">
  <dimension ref="A1:T469"/>
  <sheetViews>
    <sheetView zoomScale="111" workbookViewId="0">
      <selection activeCell="B1" sqref="A1:B1"/>
    </sheetView>
  </sheetViews>
  <sheetFormatPr baseColWidth="10" defaultRowHeight="15"/>
  <cols>
    <col min="1" max="1" width="18.5" style="55" customWidth="1"/>
    <col min="2" max="2" width="16.33203125" customWidth="1"/>
    <col min="3" max="3" width="14.5" customWidth="1"/>
    <col min="4" max="4" width="21.6640625" customWidth="1"/>
    <col min="5" max="5" width="20.6640625" customWidth="1"/>
    <col min="6" max="6" width="29" style="29" customWidth="1"/>
    <col min="9" max="9" width="30.1640625" customWidth="1"/>
    <col min="10" max="10" width="15.1640625" customWidth="1"/>
    <col min="11" max="11" width="9.5" customWidth="1"/>
    <col min="12" max="12" width="8" customWidth="1"/>
    <col min="13" max="13" width="7.5" customWidth="1"/>
    <col min="15" max="15" width="17.83203125" customWidth="1"/>
    <col min="16" max="16" width="17.33203125" customWidth="1"/>
  </cols>
  <sheetData>
    <row r="1" spans="1:12" ht="28">
      <c r="A1" s="347" t="s">
        <v>426</v>
      </c>
      <c r="B1" s="359"/>
      <c r="C1" s="81"/>
      <c r="F1"/>
    </row>
    <row r="2" spans="1:12">
      <c r="A2" s="303" t="s">
        <v>288</v>
      </c>
      <c r="B2" s="303"/>
      <c r="C2" s="304">
        <v>0.8</v>
      </c>
      <c r="E2" s="1"/>
      <c r="F2" t="s">
        <v>397</v>
      </c>
    </row>
    <row r="3" spans="1:12">
      <c r="A3" s="75" t="s">
        <v>117</v>
      </c>
      <c r="B3" s="73"/>
      <c r="C3" s="133">
        <v>2</v>
      </c>
      <c r="F3"/>
      <c r="I3" s="13"/>
    </row>
    <row r="4" spans="1:12">
      <c r="A4"/>
      <c r="F4"/>
      <c r="J4" s="13"/>
    </row>
    <row r="5" spans="1:12">
      <c r="A5" s="33"/>
      <c r="B5" s="33"/>
      <c r="C5" s="33"/>
      <c r="D5" s="33"/>
      <c r="E5" s="33"/>
      <c r="F5" s="99"/>
      <c r="J5" s="13"/>
    </row>
    <row r="6" spans="1:12">
      <c r="A6" s="75" t="s">
        <v>159</v>
      </c>
      <c r="B6" s="75" t="s">
        <v>120</v>
      </c>
      <c r="C6" s="75" t="s">
        <v>171</v>
      </c>
      <c r="D6" s="75" t="s">
        <v>363</v>
      </c>
      <c r="E6" s="75" t="s">
        <v>364</v>
      </c>
      <c r="F6" s="100"/>
      <c r="G6" s="135"/>
      <c r="I6" s="334" t="s">
        <v>427</v>
      </c>
      <c r="J6" s="13"/>
    </row>
    <row r="7" spans="1:12">
      <c r="A7" s="74">
        <v>1</v>
      </c>
      <c r="B7" s="74" t="s">
        <v>228</v>
      </c>
      <c r="C7" s="74">
        <v>17</v>
      </c>
      <c r="D7" s="72">
        <f>C7/(18/60)</f>
        <v>56.666666666666671</v>
      </c>
      <c r="E7" s="72">
        <f>D7*$C$2</f>
        <v>45.333333333333343</v>
      </c>
      <c r="F7" s="103"/>
    </row>
    <row r="8" spans="1:12">
      <c r="A8" s="74">
        <v>1</v>
      </c>
      <c r="B8" s="74" t="s">
        <v>225</v>
      </c>
      <c r="C8" s="74">
        <v>19</v>
      </c>
      <c r="D8" s="72">
        <f>C8/(25/60)</f>
        <v>45.6</v>
      </c>
      <c r="E8" s="72">
        <f>D8*$C$2</f>
        <v>36.480000000000004</v>
      </c>
      <c r="F8" s="103"/>
      <c r="I8" s="217" t="s">
        <v>132</v>
      </c>
      <c r="J8" s="116"/>
      <c r="K8" s="81"/>
      <c r="L8" s="81"/>
    </row>
    <row r="9" spans="1:12">
      <c r="A9" s="74">
        <v>1</v>
      </c>
      <c r="B9" s="74" t="s">
        <v>155</v>
      </c>
      <c r="C9" s="74">
        <v>22</v>
      </c>
      <c r="D9" s="72">
        <f>C9/(20/60)</f>
        <v>66</v>
      </c>
      <c r="E9" s="72">
        <f>D9*$C$2</f>
        <v>52.800000000000004</v>
      </c>
      <c r="F9" s="103"/>
      <c r="I9" s="187" t="s">
        <v>362</v>
      </c>
      <c r="J9" s="187">
        <v>70.150000000000006</v>
      </c>
      <c r="K9" s="81"/>
      <c r="L9" s="81"/>
    </row>
    <row r="10" spans="1:12">
      <c r="A10" s="75" t="s">
        <v>299</v>
      </c>
      <c r="B10" s="75"/>
      <c r="C10" s="75"/>
      <c r="D10" s="78">
        <f>AVERAGE(D7:D9)</f>
        <v>56.088888888888896</v>
      </c>
      <c r="E10" s="78">
        <f>AVERAGE(E7:E9)</f>
        <v>44.871111111111112</v>
      </c>
      <c r="F10" s="104"/>
      <c r="I10" s="75" t="s">
        <v>380</v>
      </c>
      <c r="J10" s="76" t="s">
        <v>372</v>
      </c>
      <c r="K10" s="76" t="s">
        <v>24</v>
      </c>
      <c r="L10" s="76" t="s">
        <v>25</v>
      </c>
    </row>
    <row r="11" spans="1:12">
      <c r="A11" s="74">
        <v>2</v>
      </c>
      <c r="B11" s="74" t="s">
        <v>290</v>
      </c>
      <c r="C11" s="74">
        <v>27</v>
      </c>
      <c r="D11" s="72">
        <f>C11/(25/60)</f>
        <v>64.8</v>
      </c>
      <c r="E11" s="72">
        <f t="shared" ref="E11:E19" si="0">D11*$C$2</f>
        <v>51.84</v>
      </c>
      <c r="F11" s="103"/>
      <c r="I11" s="216">
        <v>0.5</v>
      </c>
      <c r="J11" s="74">
        <v>35.08</v>
      </c>
      <c r="K11" s="74">
        <v>7.9</v>
      </c>
      <c r="L11" s="90">
        <v>7614</v>
      </c>
    </row>
    <row r="12" spans="1:12">
      <c r="A12" s="74">
        <v>2</v>
      </c>
      <c r="B12" s="74" t="s">
        <v>226</v>
      </c>
      <c r="C12" s="74">
        <v>27</v>
      </c>
      <c r="D12" s="72">
        <f>C12/(24/60)</f>
        <v>67.5</v>
      </c>
      <c r="E12" s="72">
        <f t="shared" si="0"/>
        <v>54</v>
      </c>
      <c r="F12" s="103"/>
      <c r="I12" s="216">
        <v>0.6</v>
      </c>
      <c r="J12" s="74">
        <v>42.09</v>
      </c>
      <c r="K12" s="74">
        <v>6.6</v>
      </c>
      <c r="L12" s="74">
        <v>7140</v>
      </c>
    </row>
    <row r="13" spans="1:12">
      <c r="A13" s="74">
        <v>2</v>
      </c>
      <c r="B13" s="74" t="s">
        <v>200</v>
      </c>
      <c r="C13" s="74">
        <v>27</v>
      </c>
      <c r="D13" s="72">
        <f>C13/(84/60)</f>
        <v>19.285714285714288</v>
      </c>
      <c r="E13" s="72">
        <f t="shared" si="0"/>
        <v>15.428571428571431</v>
      </c>
      <c r="F13" s="103"/>
      <c r="I13" s="216">
        <v>0.7</v>
      </c>
      <c r="J13" s="74">
        <v>49.11</v>
      </c>
      <c r="K13" s="74">
        <v>5.6</v>
      </c>
      <c r="L13" s="74">
        <v>6801</v>
      </c>
    </row>
    <row r="14" spans="1:12">
      <c r="A14" s="74">
        <v>2</v>
      </c>
      <c r="B14" s="74" t="s">
        <v>316</v>
      </c>
      <c r="C14" s="74">
        <v>35</v>
      </c>
      <c r="D14" s="72">
        <f>C14/(87/60)</f>
        <v>24.137931034482758</v>
      </c>
      <c r="E14" s="72">
        <f t="shared" si="0"/>
        <v>19.310344827586206</v>
      </c>
      <c r="F14" s="103"/>
      <c r="I14" s="216">
        <v>0.8</v>
      </c>
      <c r="J14" s="74">
        <v>56.12</v>
      </c>
      <c r="K14" s="74">
        <v>4.9000000000000004</v>
      </c>
      <c r="L14" s="74">
        <v>6547</v>
      </c>
    </row>
    <row r="15" spans="1:12">
      <c r="A15" s="74">
        <v>2</v>
      </c>
      <c r="B15" s="74" t="s">
        <v>289</v>
      </c>
      <c r="C15" s="74">
        <v>36</v>
      </c>
      <c r="D15" s="72">
        <f>C15/(96/60)</f>
        <v>22.5</v>
      </c>
      <c r="E15" s="72">
        <f t="shared" si="0"/>
        <v>18</v>
      </c>
      <c r="F15" s="103"/>
      <c r="I15" s="216">
        <v>0.9</v>
      </c>
      <c r="J15" s="74">
        <v>63.14</v>
      </c>
      <c r="K15" s="74">
        <v>4.4000000000000004</v>
      </c>
      <c r="L15" s="74">
        <v>6349</v>
      </c>
    </row>
    <row r="16" spans="1:12">
      <c r="A16" s="74">
        <v>2</v>
      </c>
      <c r="B16" s="74" t="s">
        <v>291</v>
      </c>
      <c r="C16" s="74">
        <v>39</v>
      </c>
      <c r="D16" s="72">
        <f>C16/(33/60)</f>
        <v>70.909090909090907</v>
      </c>
      <c r="E16" s="72">
        <f t="shared" si="0"/>
        <v>56.727272727272727</v>
      </c>
      <c r="F16" s="103"/>
      <c r="I16" s="216">
        <v>1</v>
      </c>
      <c r="J16" s="74">
        <v>70.150000000000006</v>
      </c>
      <c r="K16" s="74">
        <v>3.9</v>
      </c>
      <c r="L16" s="90">
        <v>6191</v>
      </c>
    </row>
    <row r="17" spans="1:20">
      <c r="A17" s="74">
        <v>2</v>
      </c>
      <c r="B17" s="74" t="s">
        <v>227</v>
      </c>
      <c r="C17" s="74">
        <v>41</v>
      </c>
      <c r="D17" s="72">
        <f>C17/(37/60)</f>
        <v>66.486486486486484</v>
      </c>
      <c r="E17" s="72">
        <f t="shared" si="0"/>
        <v>53.189189189189193</v>
      </c>
      <c r="F17" s="103"/>
      <c r="I17" s="336"/>
      <c r="J17" s="100"/>
      <c r="K17" s="102"/>
      <c r="L17" s="233"/>
    </row>
    <row r="18" spans="1:20">
      <c r="A18" s="74">
        <v>2</v>
      </c>
      <c r="B18" s="74" t="s">
        <v>202</v>
      </c>
      <c r="C18" s="74">
        <v>42</v>
      </c>
      <c r="D18" s="72">
        <f>C18/(94/60)</f>
        <v>26.808510638297872</v>
      </c>
      <c r="E18" s="72">
        <f t="shared" si="0"/>
        <v>21.446808510638299</v>
      </c>
      <c r="F18" s="103"/>
      <c r="I18" s="232"/>
      <c r="J18" s="102"/>
      <c r="K18" s="100"/>
      <c r="L18" s="102"/>
    </row>
    <row r="19" spans="1:20">
      <c r="A19" s="74">
        <v>2</v>
      </c>
      <c r="B19" s="74" t="s">
        <v>201</v>
      </c>
      <c r="C19" s="74">
        <v>50</v>
      </c>
      <c r="D19" s="72">
        <f>C19/(105/60)</f>
        <v>28.571428571428573</v>
      </c>
      <c r="E19" s="72">
        <f t="shared" si="0"/>
        <v>22.857142857142861</v>
      </c>
      <c r="F19" s="103"/>
      <c r="I19" s="217" t="s">
        <v>144</v>
      </c>
      <c r="J19" s="116"/>
      <c r="K19" s="81"/>
      <c r="L19" s="81"/>
    </row>
    <row r="20" spans="1:20">
      <c r="A20" s="75" t="s">
        <v>299</v>
      </c>
      <c r="B20" s="75"/>
      <c r="C20" s="75"/>
      <c r="D20" s="78"/>
      <c r="E20" s="78">
        <f>AVERAGE(E11:E19)</f>
        <v>34.755481060044517</v>
      </c>
      <c r="F20" s="104"/>
      <c r="I20" s="77" t="s">
        <v>381</v>
      </c>
      <c r="J20" s="77">
        <v>70.73</v>
      </c>
      <c r="K20" s="81"/>
      <c r="L20" s="81"/>
    </row>
    <row r="21" spans="1:20">
      <c r="A21" s="74">
        <v>3</v>
      </c>
      <c r="B21" s="74" t="s">
        <v>314</v>
      </c>
      <c r="C21" s="74">
        <v>51</v>
      </c>
      <c r="D21" s="72">
        <f>C21/(88/60)</f>
        <v>34.772727272727273</v>
      </c>
      <c r="E21" s="72">
        <f t="shared" ref="E21:E36" si="1">D21*$C$2</f>
        <v>27.81818181818182</v>
      </c>
      <c r="F21" s="103"/>
      <c r="I21" s="75" t="s">
        <v>380</v>
      </c>
      <c r="J21" s="76" t="s">
        <v>372</v>
      </c>
      <c r="K21" s="76" t="s">
        <v>24</v>
      </c>
      <c r="L21" s="76" t="s">
        <v>25</v>
      </c>
    </row>
    <row r="22" spans="1:20">
      <c r="A22" s="74">
        <v>3</v>
      </c>
      <c r="B22" s="74" t="s">
        <v>193</v>
      </c>
      <c r="C22" s="74">
        <v>52</v>
      </c>
      <c r="D22" s="72">
        <f>C22/(109/60)</f>
        <v>28.623853211009173</v>
      </c>
      <c r="E22" s="72">
        <f t="shared" si="1"/>
        <v>22.899082568807341</v>
      </c>
      <c r="F22" s="103"/>
      <c r="I22" s="216">
        <v>0.5</v>
      </c>
      <c r="J22" s="72">
        <v>35.799999999999997</v>
      </c>
      <c r="K22" s="74">
        <v>24.5</v>
      </c>
      <c r="L22" s="74">
        <v>22392</v>
      </c>
    </row>
    <row r="23" spans="1:20">
      <c r="A23" s="74">
        <v>3</v>
      </c>
      <c r="B23" s="74" t="s">
        <v>194</v>
      </c>
      <c r="C23" s="74">
        <v>53</v>
      </c>
      <c r="D23" s="72">
        <f>C23/(105/60)</f>
        <v>30.285714285714285</v>
      </c>
      <c r="E23" s="72">
        <f t="shared" si="1"/>
        <v>24.228571428571428</v>
      </c>
      <c r="F23" s="103"/>
      <c r="I23" s="216">
        <v>0.6</v>
      </c>
      <c r="J23" s="74">
        <v>42.96</v>
      </c>
      <c r="K23" s="74">
        <v>20.399999999999999</v>
      </c>
      <c r="L23" s="74">
        <v>20916</v>
      </c>
    </row>
    <row r="24" spans="1:20">
      <c r="A24" s="74">
        <v>3</v>
      </c>
      <c r="B24" s="74" t="s">
        <v>197</v>
      </c>
      <c r="C24" s="74">
        <v>58</v>
      </c>
      <c r="D24" s="72">
        <f>C24/(114/60)</f>
        <v>30.526315789473685</v>
      </c>
      <c r="E24" s="72">
        <f t="shared" si="1"/>
        <v>24.421052631578949</v>
      </c>
      <c r="F24" s="103"/>
      <c r="I24" s="216">
        <v>0.7</v>
      </c>
      <c r="J24" s="74">
        <v>50.11</v>
      </c>
      <c r="K24" s="74">
        <v>17.5</v>
      </c>
      <c r="L24" s="74">
        <v>19863</v>
      </c>
    </row>
    <row r="25" spans="1:20">
      <c r="A25" s="74">
        <v>3</v>
      </c>
      <c r="B25" s="74" t="s">
        <v>293</v>
      </c>
      <c r="C25" s="74">
        <v>59</v>
      </c>
      <c r="D25" s="72">
        <f>C25/(117/60)</f>
        <v>30.256410256410255</v>
      </c>
      <c r="E25" s="72">
        <f t="shared" si="1"/>
        <v>24.205128205128204</v>
      </c>
      <c r="F25" s="103"/>
      <c r="I25" s="216">
        <v>0.8</v>
      </c>
      <c r="J25" s="74">
        <v>56.59</v>
      </c>
      <c r="K25" s="74">
        <v>15.3</v>
      </c>
      <c r="L25" s="74">
        <v>19072</v>
      </c>
    </row>
    <row r="26" spans="1:20">
      <c r="A26" s="74">
        <v>3</v>
      </c>
      <c r="B26" s="74" t="s">
        <v>209</v>
      </c>
      <c r="C26" s="74">
        <v>59</v>
      </c>
      <c r="D26" s="72">
        <f>C26/(48/60)</f>
        <v>73.75</v>
      </c>
      <c r="E26" s="72">
        <f t="shared" si="1"/>
        <v>59</v>
      </c>
      <c r="F26" s="103"/>
      <c r="I26" s="216">
        <v>0.9</v>
      </c>
      <c r="J26" s="74">
        <v>64.430000000000007</v>
      </c>
      <c r="K26" s="74">
        <v>13.6</v>
      </c>
      <c r="L26" s="74">
        <v>18458</v>
      </c>
      <c r="T26" t="s">
        <v>303</v>
      </c>
    </row>
    <row r="27" spans="1:20">
      <c r="A27" s="74">
        <v>3</v>
      </c>
      <c r="B27" s="74" t="s">
        <v>232</v>
      </c>
      <c r="C27" s="74">
        <v>61</v>
      </c>
      <c r="D27" s="72">
        <f>C27/(62/60)</f>
        <v>59.032258064516121</v>
      </c>
      <c r="E27" s="72">
        <f t="shared" si="1"/>
        <v>47.225806451612897</v>
      </c>
      <c r="F27" s="103"/>
      <c r="I27" s="216">
        <v>1</v>
      </c>
      <c r="J27" s="74">
        <v>70.73</v>
      </c>
      <c r="K27" s="74">
        <v>12.2</v>
      </c>
      <c r="L27" s="74">
        <v>17966</v>
      </c>
    </row>
    <row r="28" spans="1:20">
      <c r="A28" s="74">
        <v>3</v>
      </c>
      <c r="B28" s="74" t="s">
        <v>229</v>
      </c>
      <c r="C28" s="74">
        <v>64</v>
      </c>
      <c r="D28" s="72">
        <f>C28/(48/60)</f>
        <v>80</v>
      </c>
      <c r="E28" s="72">
        <f t="shared" si="1"/>
        <v>64</v>
      </c>
      <c r="F28" s="103"/>
    </row>
    <row r="29" spans="1:20">
      <c r="A29" s="74">
        <v>3</v>
      </c>
      <c r="B29" s="74" t="s">
        <v>198</v>
      </c>
      <c r="C29" s="74">
        <v>65</v>
      </c>
      <c r="D29" s="72">
        <f>C29/(115/60)</f>
        <v>33.913043478260867</v>
      </c>
      <c r="E29" s="72">
        <f t="shared" si="1"/>
        <v>27.130434782608695</v>
      </c>
      <c r="F29" s="103"/>
    </row>
    <row r="30" spans="1:20">
      <c r="A30" s="74">
        <v>3</v>
      </c>
      <c r="B30" s="74" t="s">
        <v>221</v>
      </c>
      <c r="C30" s="74">
        <v>65</v>
      </c>
      <c r="D30" s="72">
        <f>C30/(50/60)</f>
        <v>78</v>
      </c>
      <c r="E30" s="72">
        <f t="shared" si="1"/>
        <v>62.400000000000006</v>
      </c>
      <c r="F30" s="103"/>
    </row>
    <row r="31" spans="1:20">
      <c r="A31" s="74">
        <v>3</v>
      </c>
      <c r="B31" s="74" t="s">
        <v>223</v>
      </c>
      <c r="C31" s="74">
        <v>65</v>
      </c>
      <c r="D31" s="72">
        <f>C31/(71/60)</f>
        <v>54.929577464788728</v>
      </c>
      <c r="E31" s="72">
        <f t="shared" si="1"/>
        <v>43.943661971830984</v>
      </c>
      <c r="F31" s="103"/>
    </row>
    <row r="32" spans="1:20">
      <c r="A32" s="74">
        <v>3</v>
      </c>
      <c r="B32" s="74" t="s">
        <v>318</v>
      </c>
      <c r="C32" s="74">
        <v>70</v>
      </c>
      <c r="D32" s="72">
        <f>C32/(51/60)</f>
        <v>82.352941176470594</v>
      </c>
      <c r="E32" s="72">
        <f t="shared" si="1"/>
        <v>65.882352941176478</v>
      </c>
      <c r="F32" s="103"/>
    </row>
    <row r="33" spans="1:12">
      <c r="A33" s="74">
        <v>3</v>
      </c>
      <c r="B33" s="74" t="s">
        <v>206</v>
      </c>
      <c r="C33" s="74">
        <v>72</v>
      </c>
      <c r="D33" s="72">
        <f>C33/(123/60)</f>
        <v>35.121951219512198</v>
      </c>
      <c r="E33" s="72">
        <f t="shared" si="1"/>
        <v>28.09756097560976</v>
      </c>
      <c r="F33" s="103"/>
    </row>
    <row r="34" spans="1:12">
      <c r="A34" s="74">
        <v>3</v>
      </c>
      <c r="B34" s="74" t="s">
        <v>230</v>
      </c>
      <c r="C34" s="74">
        <v>73</v>
      </c>
      <c r="D34" s="72">
        <f>C34/(55/60)</f>
        <v>79.63636363636364</v>
      </c>
      <c r="E34" s="72">
        <f t="shared" si="1"/>
        <v>63.709090909090918</v>
      </c>
      <c r="F34" s="103"/>
    </row>
    <row r="35" spans="1:12">
      <c r="A35" s="74">
        <v>3</v>
      </c>
      <c r="B35" s="74" t="s">
        <v>294</v>
      </c>
      <c r="C35" s="74">
        <v>74</v>
      </c>
      <c r="D35" s="72">
        <f>C35/(60/60)</f>
        <v>74</v>
      </c>
      <c r="E35" s="72">
        <f t="shared" si="1"/>
        <v>59.2</v>
      </c>
      <c r="F35" s="103"/>
      <c r="I35" s="202"/>
      <c r="J35" s="100"/>
      <c r="K35" s="100"/>
      <c r="L35" s="100"/>
    </row>
    <row r="36" spans="1:12">
      <c r="A36" s="74">
        <v>3</v>
      </c>
      <c r="B36" s="74" t="s">
        <v>222</v>
      </c>
      <c r="C36" s="74">
        <v>75</v>
      </c>
      <c r="D36" s="72">
        <f>C36/(60/60)</f>
        <v>75</v>
      </c>
      <c r="E36" s="72">
        <f t="shared" si="1"/>
        <v>60</v>
      </c>
      <c r="F36" s="103"/>
      <c r="I36" s="202"/>
      <c r="J36" s="100"/>
      <c r="K36" s="100"/>
      <c r="L36" s="100"/>
    </row>
    <row r="37" spans="1:12">
      <c r="A37" s="75" t="str">
        <f>A10</f>
        <v>Gj.sn km/t</v>
      </c>
      <c r="B37" s="75"/>
      <c r="C37" s="75"/>
      <c r="D37" s="78"/>
      <c r="E37" s="78">
        <f>AVERAGE(E21:E36)</f>
        <v>44.010057792762346</v>
      </c>
      <c r="F37" s="104"/>
    </row>
    <row r="38" spans="1:12">
      <c r="A38" s="74">
        <v>4</v>
      </c>
      <c r="B38" s="74" t="s">
        <v>233</v>
      </c>
      <c r="C38" s="74">
        <v>76</v>
      </c>
      <c r="D38" s="72">
        <f>C38/(58/60)</f>
        <v>78.620689655172413</v>
      </c>
      <c r="E38" s="72">
        <f t="shared" ref="E38:E50" si="2">D38*$C$2</f>
        <v>62.896551724137936</v>
      </c>
      <c r="F38" s="103"/>
    </row>
    <row r="39" spans="1:12">
      <c r="A39" s="74">
        <v>4</v>
      </c>
      <c r="B39" s="74" t="s">
        <v>295</v>
      </c>
      <c r="C39" s="74">
        <v>77</v>
      </c>
      <c r="D39" s="72">
        <f>C39/(129/60)</f>
        <v>35.813953488372093</v>
      </c>
      <c r="E39" s="72">
        <f t="shared" si="2"/>
        <v>28.651162790697676</v>
      </c>
      <c r="F39" s="103"/>
    </row>
    <row r="40" spans="1:12">
      <c r="A40" s="74">
        <v>4</v>
      </c>
      <c r="B40" s="74" t="s">
        <v>210</v>
      </c>
      <c r="C40" s="74">
        <v>77</v>
      </c>
      <c r="D40" s="72">
        <f>C40/(70/60)</f>
        <v>66</v>
      </c>
      <c r="E40" s="72">
        <f t="shared" si="2"/>
        <v>52.800000000000004</v>
      </c>
      <c r="F40" s="103"/>
    </row>
    <row r="41" spans="1:12">
      <c r="A41" s="74">
        <v>4</v>
      </c>
      <c r="B41" s="74" t="s">
        <v>204</v>
      </c>
      <c r="C41" s="74">
        <v>77</v>
      </c>
      <c r="D41" s="72">
        <f>C41/(56/60)</f>
        <v>82.5</v>
      </c>
      <c r="E41" s="72">
        <f t="shared" si="2"/>
        <v>66</v>
      </c>
      <c r="F41" s="103"/>
    </row>
    <row r="42" spans="1:12">
      <c r="A42" s="74">
        <v>4</v>
      </c>
      <c r="B42" s="74" t="s">
        <v>199</v>
      </c>
      <c r="C42" s="74">
        <v>78</v>
      </c>
      <c r="D42" s="72">
        <f>C42/(136/60)</f>
        <v>34.411764705882355</v>
      </c>
      <c r="E42" s="72">
        <f t="shared" si="2"/>
        <v>27.529411764705884</v>
      </c>
      <c r="F42" s="103"/>
    </row>
    <row r="43" spans="1:12">
      <c r="A43" s="74">
        <v>4</v>
      </c>
      <c r="B43" s="74" t="s">
        <v>196</v>
      </c>
      <c r="C43" s="74">
        <v>79</v>
      </c>
      <c r="D43" s="72">
        <f>C43/(123/60)</f>
        <v>38.536585365853661</v>
      </c>
      <c r="E43" s="72">
        <f t="shared" si="2"/>
        <v>30.829268292682929</v>
      </c>
      <c r="F43" s="103"/>
    </row>
    <row r="44" spans="1:12">
      <c r="A44" s="74">
        <v>4</v>
      </c>
      <c r="B44" s="74" t="s">
        <v>192</v>
      </c>
      <c r="C44" s="74">
        <v>79</v>
      </c>
      <c r="D44" s="72">
        <f>C44/(129/60)</f>
        <v>36.744186046511629</v>
      </c>
      <c r="E44" s="72">
        <f t="shared" si="2"/>
        <v>29.395348837209305</v>
      </c>
      <c r="F44" s="103"/>
    </row>
    <row r="45" spans="1:12">
      <c r="A45" s="74">
        <v>4</v>
      </c>
      <c r="B45" s="74" t="s">
        <v>203</v>
      </c>
      <c r="C45" s="74">
        <v>86</v>
      </c>
      <c r="D45" s="72">
        <f>C45/(60/60)</f>
        <v>86</v>
      </c>
      <c r="E45" s="72">
        <f t="shared" si="2"/>
        <v>68.8</v>
      </c>
      <c r="F45" s="103"/>
    </row>
    <row r="46" spans="1:12">
      <c r="A46" s="74">
        <v>4</v>
      </c>
      <c r="B46" s="74" t="s">
        <v>236</v>
      </c>
      <c r="C46" s="74">
        <v>97</v>
      </c>
      <c r="D46" s="72">
        <f>C46/(80/60)</f>
        <v>72.75</v>
      </c>
      <c r="E46" s="72">
        <f t="shared" si="2"/>
        <v>58.2</v>
      </c>
      <c r="F46" s="103"/>
    </row>
    <row r="47" spans="1:12">
      <c r="A47" s="74">
        <v>4</v>
      </c>
      <c r="B47" s="74" t="s">
        <v>220</v>
      </c>
      <c r="C47" s="74">
        <v>98</v>
      </c>
      <c r="D47" s="72">
        <f>C47/(81/60)</f>
        <v>72.592592592592581</v>
      </c>
      <c r="E47" s="72">
        <f t="shared" si="2"/>
        <v>58.074074074074069</v>
      </c>
      <c r="F47" s="103"/>
    </row>
    <row r="48" spans="1:12">
      <c r="A48" s="74">
        <v>4</v>
      </c>
      <c r="B48" s="74" t="s">
        <v>195</v>
      </c>
      <c r="C48" s="74">
        <v>99</v>
      </c>
      <c r="D48" s="72">
        <f>C48/(141/60)</f>
        <v>42.127659574468083</v>
      </c>
      <c r="E48" s="72">
        <f t="shared" si="2"/>
        <v>33.702127659574465</v>
      </c>
      <c r="F48" s="103"/>
    </row>
    <row r="49" spans="1:14">
      <c r="A49" s="74">
        <v>4</v>
      </c>
      <c r="B49" s="74" t="s">
        <v>317</v>
      </c>
      <c r="C49" s="74">
        <v>100</v>
      </c>
      <c r="D49" s="72">
        <f>C49/(76/60)</f>
        <v>78.94736842105263</v>
      </c>
      <c r="E49" s="72">
        <f t="shared" si="2"/>
        <v>63.15789473684211</v>
      </c>
      <c r="F49" s="103"/>
    </row>
    <row r="50" spans="1:14">
      <c r="A50" s="74">
        <v>4</v>
      </c>
      <c r="B50" s="74" t="s">
        <v>231</v>
      </c>
      <c r="C50" s="74">
        <v>100</v>
      </c>
      <c r="D50" s="72">
        <f>C50/(93/60)</f>
        <v>64.516129032258064</v>
      </c>
      <c r="E50" s="72">
        <f t="shared" si="2"/>
        <v>51.612903225806456</v>
      </c>
      <c r="F50" s="103"/>
    </row>
    <row r="51" spans="1:14">
      <c r="A51" s="75" t="s">
        <v>299</v>
      </c>
      <c r="B51" s="75"/>
      <c r="C51" s="75"/>
      <c r="D51" s="78"/>
      <c r="E51" s="78">
        <f>AVERAGE(E38:E50)</f>
        <v>48.588364854286993</v>
      </c>
      <c r="F51" s="104"/>
    </row>
    <row r="52" spans="1:14">
      <c r="A52" s="74">
        <v>5</v>
      </c>
      <c r="B52" s="74" t="s">
        <v>234</v>
      </c>
      <c r="C52" s="74">
        <v>106</v>
      </c>
      <c r="D52" s="72">
        <f>C52/(88/60)</f>
        <v>72.27272727272728</v>
      </c>
      <c r="E52" s="72">
        <f t="shared" ref="E52:E60" si="3">D52*$C$2</f>
        <v>57.818181818181827</v>
      </c>
      <c r="F52" s="103"/>
    </row>
    <row r="53" spans="1:14">
      <c r="A53" s="74">
        <v>5</v>
      </c>
      <c r="B53" s="74" t="s">
        <v>212</v>
      </c>
      <c r="C53" s="74">
        <v>107</v>
      </c>
      <c r="D53" s="72">
        <f>C53/(110/60)</f>
        <v>58.363636363636367</v>
      </c>
      <c r="E53" s="72">
        <f t="shared" si="3"/>
        <v>46.690909090909095</v>
      </c>
      <c r="F53" s="103"/>
    </row>
    <row r="54" spans="1:14">
      <c r="A54" s="74">
        <v>5</v>
      </c>
      <c r="B54" s="74" t="s">
        <v>237</v>
      </c>
      <c r="C54" s="74">
        <v>112</v>
      </c>
      <c r="D54" s="72">
        <f>C54/(105/60)</f>
        <v>64</v>
      </c>
      <c r="E54" s="72">
        <f t="shared" si="3"/>
        <v>51.2</v>
      </c>
      <c r="F54" s="103"/>
    </row>
    <row r="55" spans="1:14">
      <c r="A55" s="74">
        <v>5</v>
      </c>
      <c r="B55" s="74" t="s">
        <v>218</v>
      </c>
      <c r="C55" s="74">
        <v>115</v>
      </c>
      <c r="D55" s="72">
        <f>C55/(101/60)</f>
        <v>68.316831683168317</v>
      </c>
      <c r="E55" s="72">
        <f t="shared" si="3"/>
        <v>54.653465346534659</v>
      </c>
      <c r="F55" s="103"/>
    </row>
    <row r="56" spans="1:14">
      <c r="A56" s="74">
        <v>5</v>
      </c>
      <c r="B56" s="74" t="s">
        <v>211</v>
      </c>
      <c r="C56" s="74">
        <v>116</v>
      </c>
      <c r="D56" s="72">
        <f>C56/(139/60)</f>
        <v>50.07194244604316</v>
      </c>
      <c r="E56" s="72">
        <f t="shared" si="3"/>
        <v>40.057553956834532</v>
      </c>
      <c r="F56" s="103"/>
    </row>
    <row r="57" spans="1:14">
      <c r="A57" s="74">
        <v>5</v>
      </c>
      <c r="B57" s="74" t="s">
        <v>207</v>
      </c>
      <c r="C57" s="74">
        <v>116</v>
      </c>
      <c r="D57" s="72">
        <f>C57/(91/60)</f>
        <v>76.483516483516482</v>
      </c>
      <c r="E57" s="72">
        <f t="shared" si="3"/>
        <v>61.18681318681319</v>
      </c>
      <c r="F57" s="103"/>
    </row>
    <row r="58" spans="1:14">
      <c r="A58" s="74">
        <v>5</v>
      </c>
      <c r="B58" s="74" t="s">
        <v>235</v>
      </c>
      <c r="C58" s="74">
        <v>117</v>
      </c>
      <c r="D58" s="72">
        <f>C58/(101/60)</f>
        <v>69.504950495049499</v>
      </c>
      <c r="E58" s="72">
        <f t="shared" si="3"/>
        <v>55.603960396039604</v>
      </c>
      <c r="F58" s="103"/>
    </row>
    <row r="59" spans="1:14">
      <c r="A59" s="74">
        <v>5</v>
      </c>
      <c r="B59" s="74" t="s">
        <v>292</v>
      </c>
      <c r="C59" s="74">
        <v>118</v>
      </c>
      <c r="D59" s="72">
        <f>C59/(105/60)</f>
        <v>67.428571428571431</v>
      </c>
      <c r="E59" s="72">
        <f t="shared" si="3"/>
        <v>53.94285714285715</v>
      </c>
      <c r="F59" s="103"/>
    </row>
    <row r="60" spans="1:14">
      <c r="A60" s="74">
        <v>5</v>
      </c>
      <c r="B60" s="74" t="s">
        <v>239</v>
      </c>
      <c r="C60" s="74">
        <v>122</v>
      </c>
      <c r="D60" s="72">
        <f>C60/(154/60)</f>
        <v>47.532467532467528</v>
      </c>
      <c r="E60" s="72">
        <f t="shared" si="3"/>
        <v>38.025974025974023</v>
      </c>
      <c r="F60" s="103"/>
      <c r="I60" s="99"/>
      <c r="J60" s="99"/>
      <c r="K60" s="99"/>
      <c r="L60" s="99"/>
      <c r="M60" s="99"/>
    </row>
    <row r="61" spans="1:14">
      <c r="A61" s="75" t="str">
        <f>A37</f>
        <v>Gj.sn km/t</v>
      </c>
      <c r="B61" s="75" t="s">
        <v>120</v>
      </c>
      <c r="C61" s="76"/>
      <c r="D61" s="78"/>
      <c r="E61" s="78"/>
      <c r="F61" s="104"/>
      <c r="I61" s="100"/>
      <c r="J61" s="101"/>
      <c r="K61" s="101"/>
      <c r="L61" s="101"/>
      <c r="M61" s="99"/>
    </row>
    <row r="62" spans="1:14">
      <c r="A62" s="74">
        <v>6</v>
      </c>
      <c r="B62" s="74" t="s">
        <v>224</v>
      </c>
      <c r="C62" s="74">
        <v>127</v>
      </c>
      <c r="D62" s="72">
        <f>C62/(125/60)</f>
        <v>60.959999999999994</v>
      </c>
      <c r="E62" s="72">
        <f>D62*$C$2</f>
        <v>48.768000000000001</v>
      </c>
      <c r="F62" s="103"/>
      <c r="I62" s="182"/>
      <c r="J62" s="182"/>
      <c r="K62" s="182"/>
      <c r="L62" s="182"/>
      <c r="M62" s="182"/>
      <c r="N62" s="182"/>
    </row>
    <row r="63" spans="1:14">
      <c r="A63" s="74">
        <v>6</v>
      </c>
      <c r="B63" s="74" t="s">
        <v>219</v>
      </c>
      <c r="C63" s="74">
        <v>135</v>
      </c>
      <c r="D63" s="72">
        <f>C63/(111/60)</f>
        <v>72.972972972972968</v>
      </c>
      <c r="E63" s="72">
        <f>D63*$C$2</f>
        <v>58.378378378378379</v>
      </c>
      <c r="F63" s="103"/>
      <c r="I63" s="100"/>
      <c r="J63" s="202"/>
      <c r="K63" s="330"/>
      <c r="L63" s="330"/>
      <c r="M63" s="104"/>
      <c r="N63" s="182"/>
    </row>
    <row r="64" spans="1:14">
      <c r="A64" s="74">
        <v>6</v>
      </c>
      <c r="B64" s="74" t="s">
        <v>246</v>
      </c>
      <c r="C64" s="74">
        <v>136</v>
      </c>
      <c r="D64" s="72">
        <f>136/(113/60)</f>
        <v>72.212389380530979</v>
      </c>
      <c r="E64" s="72">
        <f>D64*$C$2</f>
        <v>57.769911504424783</v>
      </c>
      <c r="F64" s="103"/>
      <c r="I64" s="102"/>
      <c r="J64" s="102"/>
      <c r="K64" s="103"/>
      <c r="L64" s="103"/>
      <c r="M64" s="103"/>
      <c r="N64" s="182"/>
    </row>
    <row r="65" spans="1:14">
      <c r="A65" s="74">
        <v>6</v>
      </c>
      <c r="B65" s="74" t="s">
        <v>247</v>
      </c>
      <c r="C65" s="74">
        <v>145</v>
      </c>
      <c r="D65" s="72">
        <f>C65/(114/60)</f>
        <v>76.31578947368422</v>
      </c>
      <c r="E65" s="72">
        <f>D65*$C$2</f>
        <v>61.052631578947377</v>
      </c>
      <c r="F65" s="103"/>
      <c r="I65" s="102"/>
      <c r="J65" s="102"/>
      <c r="K65" s="103"/>
      <c r="L65" s="103"/>
      <c r="M65" s="103"/>
      <c r="N65" s="182"/>
    </row>
    <row r="66" spans="1:14">
      <c r="A66" s="74">
        <v>6</v>
      </c>
      <c r="B66" s="74" t="s">
        <v>240</v>
      </c>
      <c r="C66" s="74">
        <v>148</v>
      </c>
      <c r="D66" s="72">
        <f>C66/(130/60)</f>
        <v>68.307692307692307</v>
      </c>
      <c r="E66" s="72">
        <f>D66*$C$2</f>
        <v>54.646153846153851</v>
      </c>
      <c r="F66" s="103"/>
      <c r="I66" s="102"/>
      <c r="J66" s="102"/>
      <c r="K66" s="103"/>
      <c r="L66" s="103"/>
      <c r="M66" s="103"/>
      <c r="N66" s="182"/>
    </row>
    <row r="67" spans="1:14">
      <c r="A67" s="75" t="str">
        <f>A61</f>
        <v>Gj.sn km/t</v>
      </c>
      <c r="B67" s="75"/>
      <c r="C67" s="75"/>
      <c r="D67" s="78">
        <f>AVERAGE(D62:D66)</f>
        <v>70.153768826976091</v>
      </c>
      <c r="E67" s="78">
        <f>AVERAGE(E62:E66)</f>
        <v>56.123015061580872</v>
      </c>
      <c r="F67" s="104"/>
      <c r="I67" s="102"/>
      <c r="J67" s="102"/>
      <c r="K67" s="103"/>
      <c r="L67" s="103"/>
      <c r="M67" s="103"/>
      <c r="N67" s="182"/>
    </row>
    <row r="68" spans="1:14">
      <c r="A68" s="74">
        <v>7</v>
      </c>
      <c r="B68" s="74" t="s">
        <v>205</v>
      </c>
      <c r="C68" s="74">
        <v>157</v>
      </c>
      <c r="D68" s="72">
        <f>C68/(128/60)</f>
        <v>73.59375</v>
      </c>
      <c r="E68" s="72">
        <f t="shared" ref="E68:E73" si="4">D68*$C$2</f>
        <v>58.875</v>
      </c>
      <c r="F68" s="103"/>
      <c r="I68" s="102"/>
      <c r="J68" s="102"/>
      <c r="K68" s="103"/>
      <c r="L68" s="103"/>
      <c r="M68" s="103"/>
      <c r="N68" s="182"/>
    </row>
    <row r="69" spans="1:14">
      <c r="A69" s="74">
        <v>7</v>
      </c>
      <c r="B69" s="74" t="s">
        <v>241</v>
      </c>
      <c r="C69" s="74">
        <v>166</v>
      </c>
      <c r="D69" s="72">
        <f>C69/(144/60)</f>
        <v>69.166666666666671</v>
      </c>
      <c r="E69" s="72">
        <f t="shared" si="4"/>
        <v>55.333333333333343</v>
      </c>
      <c r="F69" s="103"/>
      <c r="I69" s="100"/>
      <c r="J69" s="100"/>
      <c r="K69" s="104"/>
      <c r="L69" s="104"/>
      <c r="M69" s="104"/>
      <c r="N69" s="182"/>
    </row>
    <row r="70" spans="1:14">
      <c r="A70" s="74">
        <v>7</v>
      </c>
      <c r="B70" s="74" t="s">
        <v>315</v>
      </c>
      <c r="C70" s="74">
        <v>170</v>
      </c>
      <c r="D70" s="72">
        <f>C70/(179/60)</f>
        <v>56.983240223463689</v>
      </c>
      <c r="E70" s="72">
        <f t="shared" si="4"/>
        <v>45.586592178770957</v>
      </c>
      <c r="F70" s="103"/>
      <c r="I70" s="100"/>
      <c r="J70" s="136"/>
      <c r="K70" s="136"/>
      <c r="L70" s="136"/>
      <c r="M70" s="100"/>
      <c r="N70" s="182"/>
    </row>
    <row r="71" spans="1:14">
      <c r="A71" s="74">
        <v>7</v>
      </c>
      <c r="B71" s="74" t="s">
        <v>238</v>
      </c>
      <c r="C71" s="74">
        <v>171</v>
      </c>
      <c r="D71" s="72">
        <f>C71/(173/60)</f>
        <v>59.306358381502889</v>
      </c>
      <c r="E71" s="72">
        <f t="shared" si="4"/>
        <v>47.445086705202314</v>
      </c>
      <c r="F71" s="103"/>
      <c r="I71" s="182"/>
      <c r="J71" s="182"/>
      <c r="K71" s="182"/>
      <c r="L71" s="182"/>
      <c r="M71" s="182"/>
      <c r="N71" s="182"/>
    </row>
    <row r="72" spans="1:14">
      <c r="A72" s="74">
        <v>7</v>
      </c>
      <c r="B72" s="74" t="s">
        <v>213</v>
      </c>
      <c r="C72" s="74">
        <v>172</v>
      </c>
      <c r="D72" s="72">
        <f>C72/(153/60)</f>
        <v>67.450980392156865</v>
      </c>
      <c r="E72" s="72">
        <f t="shared" si="4"/>
        <v>53.960784313725497</v>
      </c>
      <c r="F72" s="103"/>
    </row>
    <row r="73" spans="1:14">
      <c r="A73" s="74">
        <v>7</v>
      </c>
      <c r="B73" s="74" t="s">
        <v>248</v>
      </c>
      <c r="C73" s="74">
        <v>175</v>
      </c>
      <c r="D73" s="72">
        <f>C73/(141/60)</f>
        <v>74.468085106382972</v>
      </c>
      <c r="E73" s="72">
        <f t="shared" si="4"/>
        <v>59.574468085106382</v>
      </c>
      <c r="F73" s="103"/>
    </row>
    <row r="74" spans="1:14">
      <c r="A74" s="75" t="str">
        <f>A67</f>
        <v>Gj.sn km/t</v>
      </c>
      <c r="B74" s="75"/>
      <c r="C74" s="75"/>
      <c r="D74" s="78"/>
      <c r="E74" s="78">
        <f>AVERAGE(E68:E73)</f>
        <v>53.462544102689748</v>
      </c>
      <c r="F74" s="104"/>
    </row>
    <row r="75" spans="1:14">
      <c r="A75" s="74">
        <v>8</v>
      </c>
      <c r="B75" s="74" t="s">
        <v>245</v>
      </c>
      <c r="C75" s="74">
        <v>183</v>
      </c>
      <c r="D75" s="72">
        <f>C75/(144/60)</f>
        <v>76.25</v>
      </c>
      <c r="E75" s="72">
        <f>D75*$C$2</f>
        <v>61</v>
      </c>
      <c r="F75" s="103"/>
    </row>
    <row r="76" spans="1:14">
      <c r="A76" s="74">
        <v>8</v>
      </c>
      <c r="B76" s="74" t="s">
        <v>208</v>
      </c>
      <c r="C76" s="74">
        <v>196</v>
      </c>
      <c r="D76" s="72">
        <f>C76/(184/60)</f>
        <v>63.913043478260867</v>
      </c>
      <c r="E76" s="72">
        <f>D76*$C$2</f>
        <v>51.130434782608695</v>
      </c>
      <c r="F76" s="103"/>
    </row>
    <row r="77" spans="1:14">
      <c r="A77" s="74">
        <v>8</v>
      </c>
      <c r="B77" s="74" t="s">
        <v>244</v>
      </c>
      <c r="C77" s="74">
        <v>199</v>
      </c>
      <c r="D77" s="72">
        <f>C77/(175/60)</f>
        <v>68.228571428571428</v>
      </c>
      <c r="E77" s="72">
        <f>D77*$C$2</f>
        <v>54.582857142857144</v>
      </c>
      <c r="F77" s="103"/>
    </row>
    <row r="78" spans="1:14">
      <c r="A78" s="74">
        <v>8</v>
      </c>
      <c r="B78" s="74" t="s">
        <v>243</v>
      </c>
      <c r="C78" s="74">
        <v>200</v>
      </c>
      <c r="D78" s="72">
        <f>C78/(213/60)</f>
        <v>56.338028169014088</v>
      </c>
      <c r="E78" s="72">
        <f>D78*$C$2</f>
        <v>45.070422535211272</v>
      </c>
      <c r="F78" s="103"/>
      <c r="M78" s="33"/>
    </row>
    <row r="79" spans="1:14">
      <c r="A79" s="75" t="str">
        <f>A74</f>
        <v>Gj.sn km/t</v>
      </c>
      <c r="B79" s="75"/>
      <c r="C79" s="75"/>
      <c r="D79" s="78"/>
      <c r="E79" s="78">
        <f>AVERAGE(E75:E78)</f>
        <v>52.945928615169272</v>
      </c>
      <c r="F79" s="104"/>
    </row>
    <row r="80" spans="1:14">
      <c r="A80" s="74">
        <v>9</v>
      </c>
      <c r="B80" s="74" t="s">
        <v>242</v>
      </c>
      <c r="C80" s="74">
        <v>208</v>
      </c>
      <c r="D80" s="72">
        <f>C80/(193/60)</f>
        <v>64.663212435233163</v>
      </c>
      <c r="E80" s="72">
        <f>D80*$C$2</f>
        <v>51.730569948186535</v>
      </c>
      <c r="F80" s="103"/>
    </row>
    <row r="81" spans="1:6">
      <c r="A81" s="74">
        <v>9</v>
      </c>
      <c r="B81" s="74" t="s">
        <v>249</v>
      </c>
      <c r="C81" s="74">
        <v>213</v>
      </c>
      <c r="D81" s="72">
        <f>C81/(200/60)</f>
        <v>63.9</v>
      </c>
      <c r="E81" s="72">
        <f>D81*$C$2</f>
        <v>51.120000000000005</v>
      </c>
      <c r="F81" s="103"/>
    </row>
    <row r="82" spans="1:6">
      <c r="A82" s="74">
        <v>9</v>
      </c>
      <c r="B82" s="74" t="s">
        <v>214</v>
      </c>
      <c r="C82" s="74">
        <v>217</v>
      </c>
      <c r="D82" s="72">
        <f>C82/(187/60)</f>
        <v>69.62566844919786</v>
      </c>
      <c r="E82" s="72">
        <f>D82*$C$2</f>
        <v>55.700534759358291</v>
      </c>
      <c r="F82" s="103"/>
    </row>
    <row r="83" spans="1:6">
      <c r="A83" s="75" t="str">
        <f>A79</f>
        <v>Gj.sn km/t</v>
      </c>
      <c r="B83" s="75"/>
      <c r="C83" s="75"/>
      <c r="D83" s="78"/>
      <c r="E83" s="78">
        <f>AVERAGE(E80:E82)</f>
        <v>52.850368235848272</v>
      </c>
      <c r="F83" s="104"/>
    </row>
    <row r="84" spans="1:6">
      <c r="A84" s="74">
        <v>10</v>
      </c>
      <c r="B84" s="74" t="s">
        <v>263</v>
      </c>
      <c r="C84" s="74">
        <v>230</v>
      </c>
      <c r="D84" s="72">
        <f>C84/(171/60)</f>
        <v>80.701754385964904</v>
      </c>
      <c r="E84" s="72">
        <f t="shared" ref="E84:E89" si="5">D84*$C$2</f>
        <v>64.561403508771932</v>
      </c>
      <c r="F84" s="103"/>
    </row>
    <row r="85" spans="1:6">
      <c r="A85" s="74">
        <v>10</v>
      </c>
      <c r="B85" s="74" t="s">
        <v>255</v>
      </c>
      <c r="C85" s="74">
        <v>233</v>
      </c>
      <c r="D85" s="72">
        <f>C85/(186/60)</f>
        <v>75.161290322580641</v>
      </c>
      <c r="E85" s="72">
        <f t="shared" si="5"/>
        <v>60.129032258064512</v>
      </c>
      <c r="F85" s="103"/>
    </row>
    <row r="86" spans="1:6">
      <c r="A86" s="74">
        <v>10</v>
      </c>
      <c r="B86" s="74" t="s">
        <v>216</v>
      </c>
      <c r="C86" s="74">
        <v>241</v>
      </c>
      <c r="D86" s="72">
        <f>C86/(210/60)</f>
        <v>68.857142857142861</v>
      </c>
      <c r="E86" s="72">
        <f t="shared" si="5"/>
        <v>55.085714285714289</v>
      </c>
      <c r="F86" s="103"/>
    </row>
    <row r="87" spans="1:6">
      <c r="A87" s="132">
        <v>10</v>
      </c>
      <c r="B87" s="132" t="s">
        <v>256</v>
      </c>
      <c r="C87" s="132">
        <v>244</v>
      </c>
      <c r="D87" s="91">
        <f>C87/(190/60)</f>
        <v>77.05263157894737</v>
      </c>
      <c r="E87" s="72">
        <f t="shared" si="5"/>
        <v>61.642105263157902</v>
      </c>
      <c r="F87" s="103"/>
    </row>
    <row r="88" spans="1:6">
      <c r="A88" s="74">
        <v>10</v>
      </c>
      <c r="B88" s="74" t="s">
        <v>215</v>
      </c>
      <c r="C88" s="74">
        <v>246</v>
      </c>
      <c r="D88" s="72">
        <f>C88/(220/60)</f>
        <v>67.090909090909093</v>
      </c>
      <c r="E88" s="72">
        <f t="shared" si="5"/>
        <v>53.672727272727279</v>
      </c>
      <c r="F88" s="103"/>
    </row>
    <row r="89" spans="1:6">
      <c r="A89" s="74">
        <v>10</v>
      </c>
      <c r="B89" s="74" t="s">
        <v>250</v>
      </c>
      <c r="C89" s="74">
        <v>249</v>
      </c>
      <c r="D89" s="72">
        <f>C89/(201/60)</f>
        <v>74.328358208955223</v>
      </c>
      <c r="E89" s="72">
        <f t="shared" si="5"/>
        <v>59.462686567164184</v>
      </c>
      <c r="F89" s="103"/>
    </row>
    <row r="90" spans="1:6">
      <c r="A90" s="75" t="str">
        <f>A79</f>
        <v>Gj.sn km/t</v>
      </c>
      <c r="B90" s="75"/>
      <c r="C90" s="75"/>
      <c r="D90" s="78"/>
      <c r="E90" s="78">
        <f>AVERAGE(E84:E88)</f>
        <v>59.01819651768718</v>
      </c>
      <c r="F90" s="104"/>
    </row>
    <row r="91" spans="1:6">
      <c r="A91" s="74">
        <v>11</v>
      </c>
      <c r="B91" s="74" t="s">
        <v>217</v>
      </c>
      <c r="C91" s="74">
        <v>251</v>
      </c>
      <c r="D91" s="72">
        <f>C91/(263/60)</f>
        <v>57.262357414448665</v>
      </c>
      <c r="E91" s="72">
        <f>D91*$C$2</f>
        <v>45.809885931558938</v>
      </c>
      <c r="F91" s="103"/>
    </row>
    <row r="92" spans="1:6">
      <c r="A92" s="74">
        <v>11</v>
      </c>
      <c r="B92" s="74" t="s">
        <v>296</v>
      </c>
      <c r="C92" s="74">
        <v>255</v>
      </c>
      <c r="D92" s="72">
        <f>C92/(198/60)</f>
        <v>77.27272727272728</v>
      </c>
      <c r="E92" s="72">
        <f>D92*$C$2</f>
        <v>61.818181818181827</v>
      </c>
      <c r="F92" s="103"/>
    </row>
    <row r="93" spans="1:6">
      <c r="A93" s="74">
        <v>11</v>
      </c>
      <c r="B93" s="74" t="s">
        <v>257</v>
      </c>
      <c r="C93" s="74">
        <v>270</v>
      </c>
      <c r="D93" s="72">
        <f>C93/(229/60)</f>
        <v>70.742358078602621</v>
      </c>
      <c r="E93" s="72">
        <f>D93*$C$2</f>
        <v>56.593886462882097</v>
      </c>
      <c r="F93" s="103"/>
    </row>
    <row r="94" spans="1:6">
      <c r="A94" s="132">
        <v>11</v>
      </c>
      <c r="B94" s="132" t="s">
        <v>252</v>
      </c>
      <c r="C94" s="132">
        <v>270</v>
      </c>
      <c r="D94" s="91">
        <f>C94/(213/60)</f>
        <v>76.056338028169023</v>
      </c>
      <c r="E94" s="72">
        <f>D94*$C$2</f>
        <v>60.845070422535223</v>
      </c>
      <c r="F94" s="103"/>
    </row>
    <row r="95" spans="1:6">
      <c r="A95" s="75" t="str">
        <f>A90</f>
        <v>Gj.sn km/t</v>
      </c>
      <c r="B95" s="75"/>
      <c r="C95" s="75"/>
      <c r="D95" s="78"/>
      <c r="E95" s="78">
        <f>AVERAGE(E92:E93)</f>
        <v>59.206034140531962</v>
      </c>
      <c r="F95" s="104"/>
    </row>
    <row r="96" spans="1:6">
      <c r="A96" s="74">
        <v>12</v>
      </c>
      <c r="B96" s="74" t="s">
        <v>251</v>
      </c>
      <c r="C96" s="74">
        <v>279</v>
      </c>
      <c r="D96" s="72">
        <f>C96/(232/60)</f>
        <v>72.155172413793096</v>
      </c>
      <c r="E96" s="72">
        <f>D96*$C$2</f>
        <v>57.724137931034477</v>
      </c>
      <c r="F96" s="103"/>
    </row>
    <row r="97" spans="1:6">
      <c r="A97" s="74">
        <v>12</v>
      </c>
      <c r="B97" s="74" t="s">
        <v>259</v>
      </c>
      <c r="C97" s="74">
        <v>282</v>
      </c>
      <c r="D97" s="72">
        <f>C97/(267/60)</f>
        <v>63.370786516853933</v>
      </c>
      <c r="E97" s="72">
        <f>D97*$C$2</f>
        <v>50.696629213483149</v>
      </c>
      <c r="F97" s="103"/>
    </row>
    <row r="98" spans="1:6">
      <c r="A98" s="132">
        <v>12</v>
      </c>
      <c r="B98" s="132" t="s">
        <v>258</v>
      </c>
      <c r="C98" s="132">
        <v>284</v>
      </c>
      <c r="D98" s="91">
        <f>C98/(229/60)</f>
        <v>74.410480349344979</v>
      </c>
      <c r="E98" s="72">
        <f>D98*$C$2</f>
        <v>59.528384279475986</v>
      </c>
      <c r="F98" s="103"/>
    </row>
    <row r="99" spans="1:6">
      <c r="A99" s="74">
        <v>12</v>
      </c>
      <c r="B99" s="74" t="s">
        <v>261</v>
      </c>
      <c r="C99" s="74">
        <v>296</v>
      </c>
      <c r="D99" s="72">
        <f>C99/(255/60)</f>
        <v>69.647058823529406</v>
      </c>
      <c r="E99" s="72">
        <f>D99*$C$2</f>
        <v>55.71764705882353</v>
      </c>
      <c r="F99" s="103"/>
    </row>
    <row r="100" spans="1:6">
      <c r="A100" s="75" t="str">
        <f>A95</f>
        <v>Gj.sn km/t</v>
      </c>
      <c r="B100" s="75"/>
      <c r="C100" s="75"/>
      <c r="D100" s="78"/>
      <c r="E100" s="78">
        <f>AVERAGE(E96:E99)</f>
        <v>55.916699620704286</v>
      </c>
      <c r="F100" s="104"/>
    </row>
    <row r="101" spans="1:6">
      <c r="A101" s="132">
        <v>13</v>
      </c>
      <c r="B101" s="132" t="s">
        <v>260</v>
      </c>
      <c r="C101" s="132">
        <v>302</v>
      </c>
      <c r="D101" s="91">
        <f>C101/(242/60)</f>
        <v>74.876033057851245</v>
      </c>
      <c r="E101" s="72">
        <f>D101*$C$2</f>
        <v>59.900826446281002</v>
      </c>
      <c r="F101" s="103"/>
    </row>
    <row r="102" spans="1:6">
      <c r="A102" s="74">
        <v>13</v>
      </c>
      <c r="B102" s="74" t="s">
        <v>253</v>
      </c>
      <c r="C102" s="74">
        <v>319</v>
      </c>
      <c r="D102" s="72">
        <f>C102/(270/60)</f>
        <v>70.888888888888886</v>
      </c>
      <c r="E102" s="72">
        <f>D102*C2</f>
        <v>56.711111111111109</v>
      </c>
      <c r="F102" s="103"/>
    </row>
    <row r="103" spans="1:6">
      <c r="A103" s="75" t="str">
        <f>A100</f>
        <v>Gj.sn km/t</v>
      </c>
      <c r="B103" s="75"/>
      <c r="C103" s="75"/>
      <c r="D103" s="78"/>
      <c r="E103" s="78">
        <f>AVERAGE(E102:E102)</f>
        <v>56.711111111111109</v>
      </c>
      <c r="F103" s="104"/>
    </row>
    <row r="104" spans="1:6">
      <c r="A104" s="74">
        <v>14</v>
      </c>
      <c r="B104" s="74" t="s">
        <v>262</v>
      </c>
      <c r="C104" s="74">
        <v>327</v>
      </c>
      <c r="D104" s="72">
        <f>C104/(272/60)</f>
        <v>72.132352941176478</v>
      </c>
      <c r="E104" s="72">
        <f t="shared" ref="E104:E109" si="6">D104*$C$2</f>
        <v>57.705882352941188</v>
      </c>
      <c r="F104" s="103"/>
    </row>
    <row r="105" spans="1:6">
      <c r="A105" s="132">
        <v>14</v>
      </c>
      <c r="B105" s="132" t="s">
        <v>285</v>
      </c>
      <c r="C105" s="132">
        <v>328</v>
      </c>
      <c r="D105" s="91">
        <f>C105/(288/60)</f>
        <v>68.333333333333343</v>
      </c>
      <c r="E105" s="72">
        <f t="shared" si="6"/>
        <v>54.666666666666679</v>
      </c>
      <c r="F105" s="103"/>
    </row>
    <row r="106" spans="1:6">
      <c r="A106" s="74">
        <v>14</v>
      </c>
      <c r="B106" s="74" t="s">
        <v>281</v>
      </c>
      <c r="C106" s="74">
        <v>333</v>
      </c>
      <c r="D106" s="72">
        <f>C106/(303/60)</f>
        <v>65.940594059405939</v>
      </c>
      <c r="E106" s="72">
        <f t="shared" si="6"/>
        <v>52.752475247524757</v>
      </c>
      <c r="F106" s="103"/>
    </row>
    <row r="107" spans="1:6">
      <c r="A107" s="74">
        <v>14</v>
      </c>
      <c r="B107" s="74" t="s">
        <v>254</v>
      </c>
      <c r="C107" s="74">
        <v>336</v>
      </c>
      <c r="D107" s="72">
        <f>C107/(282/60)</f>
        <v>71.489361702127653</v>
      </c>
      <c r="E107" s="72">
        <f t="shared" si="6"/>
        <v>57.191489361702125</v>
      </c>
      <c r="F107" s="103"/>
    </row>
    <row r="108" spans="1:6">
      <c r="A108" s="74">
        <v>14</v>
      </c>
      <c r="B108" s="74" t="s">
        <v>274</v>
      </c>
      <c r="C108" s="74">
        <v>338</v>
      </c>
      <c r="D108" s="72">
        <f>C108/(381/60)</f>
        <v>53.228346456692918</v>
      </c>
      <c r="E108" s="72">
        <f t="shared" si="6"/>
        <v>42.58267716535434</v>
      </c>
      <c r="F108" s="103"/>
    </row>
    <row r="109" spans="1:6">
      <c r="A109" s="132">
        <v>14</v>
      </c>
      <c r="B109" s="132" t="s">
        <v>284</v>
      </c>
      <c r="C109" s="132">
        <v>343</v>
      </c>
      <c r="D109" s="91">
        <f>C109/(305/60)</f>
        <v>67.47540983606558</v>
      </c>
      <c r="E109" s="72">
        <f t="shared" si="6"/>
        <v>53.98032786885247</v>
      </c>
      <c r="F109" s="103"/>
    </row>
    <row r="110" spans="1:6">
      <c r="A110" s="75" t="str">
        <f>A103</f>
        <v>Gj.sn km/t</v>
      </c>
      <c r="B110" s="75"/>
      <c r="C110" s="75"/>
      <c r="D110" s="78"/>
      <c r="E110" s="78">
        <f>AVERAGE(E104:E108)</f>
        <v>52.979838158837808</v>
      </c>
      <c r="F110" s="104"/>
    </row>
    <row r="111" spans="1:6">
      <c r="A111" s="74">
        <v>15</v>
      </c>
      <c r="B111" s="74" t="s">
        <v>283</v>
      </c>
      <c r="C111" s="74">
        <v>356</v>
      </c>
      <c r="D111" s="72">
        <f>C111/(345/60)</f>
        <v>61.913043478260867</v>
      </c>
      <c r="E111" s="72">
        <f>D111*$C$2</f>
        <v>49.530434782608694</v>
      </c>
      <c r="F111" s="103"/>
    </row>
    <row r="112" spans="1:6">
      <c r="A112" s="74">
        <v>15</v>
      </c>
      <c r="B112" s="74" t="s">
        <v>266</v>
      </c>
      <c r="C112" s="74">
        <v>359</v>
      </c>
      <c r="D112" s="72">
        <f>C112/(315/60)</f>
        <v>68.38095238095238</v>
      </c>
      <c r="E112" s="72">
        <f>D112*$C$2</f>
        <v>54.704761904761909</v>
      </c>
      <c r="F112" s="103"/>
    </row>
    <row r="113" spans="1:19">
      <c r="A113" s="74">
        <v>15</v>
      </c>
      <c r="B113" s="74" t="s">
        <v>273</v>
      </c>
      <c r="C113" s="74">
        <v>365</v>
      </c>
      <c r="D113" s="72">
        <f>C113/(311/60)</f>
        <v>70.418006430868161</v>
      </c>
      <c r="E113" s="72">
        <f>D113*C2</f>
        <v>56.334405144694529</v>
      </c>
      <c r="F113" s="103"/>
    </row>
    <row r="114" spans="1:19">
      <c r="A114" s="74">
        <v>15</v>
      </c>
      <c r="B114" s="74" t="s">
        <v>278</v>
      </c>
      <c r="C114" s="74">
        <v>370</v>
      </c>
      <c r="D114" s="72">
        <f>C114/(329/60)</f>
        <v>67.477203647416417</v>
      </c>
      <c r="E114" s="72">
        <f>D114*C2</f>
        <v>53.981762917933139</v>
      </c>
      <c r="F114" s="103"/>
    </row>
    <row r="115" spans="1:19">
      <c r="A115" s="74">
        <v>15</v>
      </c>
      <c r="B115" s="74" t="s">
        <v>265</v>
      </c>
      <c r="C115" s="74">
        <v>373</v>
      </c>
      <c r="D115" s="72">
        <f>C115/(333/60)</f>
        <v>67.207207207207205</v>
      </c>
      <c r="E115" s="72">
        <f>D115*C2</f>
        <v>53.765765765765764</v>
      </c>
      <c r="F115" s="103"/>
    </row>
    <row r="116" spans="1:19">
      <c r="A116" s="75" t="str">
        <f>A110</f>
        <v>Gj.sn km/t</v>
      </c>
      <c r="B116" s="75"/>
      <c r="C116" s="75"/>
      <c r="D116" s="78"/>
      <c r="E116" s="78">
        <f>AVERAGE(E112:E115)</f>
        <v>54.696673933288835</v>
      </c>
      <c r="F116" s="104"/>
    </row>
    <row r="117" spans="1:19">
      <c r="A117" s="74">
        <v>16</v>
      </c>
      <c r="B117" s="74" t="s">
        <v>280</v>
      </c>
      <c r="C117" s="74">
        <v>378</v>
      </c>
      <c r="D117" s="74">
        <f>C117/(375/60)</f>
        <v>60.48</v>
      </c>
      <c r="E117" s="72">
        <f>D117*$C$2</f>
        <v>48.384</v>
      </c>
      <c r="F117" s="103"/>
    </row>
    <row r="118" spans="1:19">
      <c r="A118" s="74">
        <v>16</v>
      </c>
      <c r="B118" s="74" t="s">
        <v>282</v>
      </c>
      <c r="C118" s="74">
        <v>380</v>
      </c>
      <c r="D118" s="72">
        <f>C118/(366/60)</f>
        <v>62.295081967213122</v>
      </c>
      <c r="E118" s="72">
        <f>D118*$C$2</f>
        <v>49.836065573770497</v>
      </c>
      <c r="F118" s="103"/>
    </row>
    <row r="119" spans="1:19">
      <c r="A119" s="74">
        <v>16</v>
      </c>
      <c r="B119" s="74" t="s">
        <v>286</v>
      </c>
      <c r="C119" s="74">
        <v>383</v>
      </c>
      <c r="D119" s="72">
        <f>C119/(376/60)</f>
        <v>61.117021276595743</v>
      </c>
      <c r="E119" s="72">
        <f>D119*$C$2</f>
        <v>48.893617021276597</v>
      </c>
      <c r="F119" s="103"/>
    </row>
    <row r="120" spans="1:19">
      <c r="A120" s="74">
        <v>16</v>
      </c>
      <c r="B120" s="74" t="s">
        <v>277</v>
      </c>
      <c r="C120" s="74">
        <v>392</v>
      </c>
      <c r="D120" s="72">
        <f>C120/(346/60)</f>
        <v>67.97687861271676</v>
      </c>
      <c r="E120" s="72">
        <f>D120*$C$2</f>
        <v>54.381502890173408</v>
      </c>
      <c r="F120" s="103"/>
    </row>
    <row r="121" spans="1:19">
      <c r="A121" s="75" t="str">
        <f>A116</f>
        <v>Gj.sn km/t</v>
      </c>
      <c r="B121" s="75"/>
      <c r="C121" s="75"/>
      <c r="D121" s="78"/>
      <c r="E121" s="78">
        <f>AVERAGE(E118:E120)</f>
        <v>51.037061828406841</v>
      </c>
      <c r="F121" s="104"/>
    </row>
    <row r="122" spans="1:19">
      <c r="A122" s="74">
        <v>17</v>
      </c>
      <c r="B122" s="74" t="s">
        <v>272</v>
      </c>
      <c r="C122" s="74">
        <v>404</v>
      </c>
      <c r="D122" s="72">
        <f>C122/(397/60)</f>
        <v>61.057934508816125</v>
      </c>
      <c r="E122" s="72">
        <f>D122*$C$2</f>
        <v>48.846347607052905</v>
      </c>
      <c r="F122" s="103"/>
    </row>
    <row r="123" spans="1:19">
      <c r="A123" s="74">
        <v>17</v>
      </c>
      <c r="B123" s="74" t="s">
        <v>297</v>
      </c>
      <c r="C123" s="74">
        <v>406</v>
      </c>
      <c r="D123" s="72">
        <f>C123/(326/60)</f>
        <v>74.723926380368098</v>
      </c>
      <c r="E123" s="72">
        <f>D123*$C$2</f>
        <v>59.779141104294482</v>
      </c>
      <c r="F123" s="103"/>
    </row>
    <row r="124" spans="1:19">
      <c r="A124" s="74">
        <v>17</v>
      </c>
      <c r="B124" s="74" t="s">
        <v>267</v>
      </c>
      <c r="C124" s="74">
        <v>410</v>
      </c>
      <c r="D124" s="72">
        <f>C124/(344/60)</f>
        <v>71.511627906976742</v>
      </c>
      <c r="E124" s="72">
        <f>D124*$C$2</f>
        <v>57.209302325581397</v>
      </c>
      <c r="F124" s="103"/>
    </row>
    <row r="125" spans="1:19">
      <c r="A125" s="74">
        <v>17</v>
      </c>
      <c r="B125" s="74" t="s">
        <v>275</v>
      </c>
      <c r="C125" s="74">
        <v>416</v>
      </c>
      <c r="D125" s="72">
        <f>C125/(403/60)</f>
        <v>61.935483870967744</v>
      </c>
      <c r="E125" s="72">
        <f>D125*$C$2</f>
        <v>49.548387096774199</v>
      </c>
      <c r="F125" s="103"/>
    </row>
    <row r="126" spans="1:19">
      <c r="A126" s="74">
        <v>17</v>
      </c>
      <c r="B126" s="74" t="s">
        <v>276</v>
      </c>
      <c r="C126" s="74">
        <v>417</v>
      </c>
      <c r="D126" s="72">
        <f>C126/(382/60)</f>
        <v>65.497382198952877</v>
      </c>
      <c r="E126" s="72">
        <f>D126*$C$2</f>
        <v>52.397905759162306</v>
      </c>
      <c r="F126" s="103"/>
    </row>
    <row r="127" spans="1:19">
      <c r="A127" s="75" t="str">
        <f>A121</f>
        <v>Gj.sn km/t</v>
      </c>
      <c r="B127" s="75"/>
      <c r="C127" s="75"/>
      <c r="D127" s="78"/>
      <c r="E127" s="78">
        <f>AVERAGE(E122:E125)</f>
        <v>53.845794533425746</v>
      </c>
      <c r="F127" s="104"/>
      <c r="S127" t="s">
        <v>298</v>
      </c>
    </row>
    <row r="128" spans="1:19">
      <c r="A128" s="74">
        <v>18</v>
      </c>
      <c r="B128" s="74" t="s">
        <v>279</v>
      </c>
      <c r="C128" s="74">
        <v>430</v>
      </c>
      <c r="D128" s="72">
        <f>C128/(387/60)</f>
        <v>66.666666666666671</v>
      </c>
      <c r="E128" s="72">
        <f t="shared" ref="E128:E133" si="7">D128*$C$2</f>
        <v>53.333333333333343</v>
      </c>
      <c r="F128" s="103"/>
    </row>
    <row r="129" spans="1:6">
      <c r="A129" s="74">
        <v>18</v>
      </c>
      <c r="B129" s="74" t="s">
        <v>271</v>
      </c>
      <c r="C129" s="74">
        <v>433</v>
      </c>
      <c r="D129" s="72">
        <f>C129/(364/60)</f>
        <v>71.373626373626379</v>
      </c>
      <c r="E129" s="72">
        <f t="shared" si="7"/>
        <v>57.098901098901109</v>
      </c>
      <c r="F129" s="103"/>
    </row>
    <row r="130" spans="1:6">
      <c r="A130" s="74">
        <v>18</v>
      </c>
      <c r="B130" s="74" t="s">
        <v>268</v>
      </c>
      <c r="C130" s="74">
        <v>440</v>
      </c>
      <c r="D130" s="72">
        <f>C130/(369/60)</f>
        <v>71.544715447154474</v>
      </c>
      <c r="E130" s="72">
        <f t="shared" si="7"/>
        <v>57.235772357723583</v>
      </c>
      <c r="F130" s="103"/>
    </row>
    <row r="131" spans="1:6">
      <c r="A131" s="74">
        <v>18</v>
      </c>
      <c r="B131" s="74" t="s">
        <v>270</v>
      </c>
      <c r="C131" s="74">
        <v>447</v>
      </c>
      <c r="D131" s="72">
        <f>C131/(369/60)</f>
        <v>72.682926829268283</v>
      </c>
      <c r="E131" s="72">
        <f t="shared" si="7"/>
        <v>58.146341463414629</v>
      </c>
      <c r="F131" s="103"/>
    </row>
    <row r="132" spans="1:6">
      <c r="A132" s="74">
        <v>18</v>
      </c>
      <c r="B132" s="74" t="s">
        <v>269</v>
      </c>
      <c r="C132" s="74">
        <v>449</v>
      </c>
      <c r="D132" s="72">
        <f>C132/(382/60)</f>
        <v>70.52356020942409</v>
      </c>
      <c r="E132" s="72">
        <f t="shared" si="7"/>
        <v>56.418848167539274</v>
      </c>
      <c r="F132" s="103"/>
    </row>
    <row r="133" spans="1:6">
      <c r="A133" s="133">
        <v>18</v>
      </c>
      <c r="B133" s="133" t="s">
        <v>264</v>
      </c>
      <c r="C133" s="133">
        <v>450</v>
      </c>
      <c r="D133" s="134">
        <f>C133/(377/60)</f>
        <v>71.618037135278513</v>
      </c>
      <c r="E133" s="134">
        <f t="shared" si="7"/>
        <v>57.294429708222815</v>
      </c>
      <c r="F133" s="103"/>
    </row>
    <row r="134" spans="1:6">
      <c r="A134" s="75" t="s">
        <v>299</v>
      </c>
      <c r="B134" s="75"/>
      <c r="C134" s="75"/>
      <c r="D134" s="78">
        <f>AVERAGE(D128:D133)</f>
        <v>70.734922110236411</v>
      </c>
      <c r="E134" s="78">
        <f>AVERAGE(E128:E133)</f>
        <v>56.587937688189129</v>
      </c>
      <c r="F134" s="104"/>
    </row>
    <row r="135" spans="1:6">
      <c r="A135" s="57"/>
      <c r="B135" s="31"/>
      <c r="C135" s="31"/>
      <c r="D135" s="2"/>
      <c r="E135" s="2"/>
    </row>
    <row r="136" spans="1:6">
      <c r="A136" s="56" t="s">
        <v>301</v>
      </c>
      <c r="B136" s="46"/>
      <c r="C136" s="46"/>
      <c r="E136" s="2"/>
    </row>
    <row r="137" spans="1:6">
      <c r="A137" s="57"/>
      <c r="B137" s="31"/>
      <c r="C137" s="31"/>
      <c r="E137" s="2"/>
    </row>
    <row r="138" spans="1:6">
      <c r="A138" s="56"/>
      <c r="B138" s="49"/>
      <c r="C138" s="49"/>
      <c r="E138" s="2"/>
    </row>
    <row r="139" spans="1:6">
      <c r="A139" s="57"/>
      <c r="B139" s="48"/>
      <c r="C139" s="48"/>
      <c r="E139" s="2"/>
    </row>
    <row r="140" spans="1:6">
      <c r="A140" s="56"/>
      <c r="B140" s="49"/>
      <c r="C140" s="49"/>
    </row>
    <row r="141" spans="1:6">
      <c r="A141" s="57"/>
      <c r="B141" s="31"/>
      <c r="C141" s="31"/>
    </row>
    <row r="142" spans="1:6">
      <c r="A142" s="56"/>
      <c r="B142" s="46"/>
      <c r="C142" s="46"/>
    </row>
    <row r="143" spans="1:6">
      <c r="A143" s="57"/>
      <c r="B143" s="48"/>
      <c r="C143" s="48"/>
    </row>
    <row r="144" spans="1:6">
      <c r="A144" s="56"/>
      <c r="B144" s="46"/>
      <c r="C144" s="46"/>
    </row>
    <row r="145" spans="1:15">
      <c r="A145" s="57"/>
      <c r="B145" s="48"/>
      <c r="C145" s="48"/>
    </row>
    <row r="146" spans="1:15">
      <c r="A146" s="56"/>
      <c r="B146" s="46"/>
      <c r="C146" s="46"/>
    </row>
    <row r="147" spans="1:15">
      <c r="A147" s="57"/>
      <c r="B147" s="48"/>
      <c r="C147" s="48"/>
    </row>
    <row r="148" spans="1:15">
      <c r="A148" s="56"/>
      <c r="B148" s="49"/>
      <c r="C148" s="49"/>
    </row>
    <row r="149" spans="1:15">
      <c r="A149" s="57"/>
      <c r="B149" s="31"/>
      <c r="C149" s="31"/>
    </row>
    <row r="150" spans="1:15">
      <c r="A150" s="56"/>
      <c r="B150" s="49"/>
      <c r="C150" s="49"/>
    </row>
    <row r="151" spans="1:15">
      <c r="A151" s="57"/>
      <c r="B151" s="48"/>
      <c r="C151" s="48"/>
    </row>
    <row r="152" spans="1:15">
      <c r="A152" s="56"/>
      <c r="B152" s="46"/>
      <c r="C152" s="46"/>
    </row>
    <row r="153" spans="1:15">
      <c r="A153" s="57"/>
      <c r="B153" s="31"/>
      <c r="C153" s="31"/>
      <c r="N153" s="2"/>
      <c r="O153" s="2"/>
    </row>
    <row r="154" spans="1:15">
      <c r="A154" s="56"/>
      <c r="B154" s="46"/>
      <c r="C154" s="46"/>
    </row>
    <row r="155" spans="1:15">
      <c r="A155" s="57"/>
      <c r="B155" s="31"/>
      <c r="C155" s="31"/>
    </row>
    <row r="156" spans="1:15">
      <c r="A156" s="56"/>
      <c r="B156" s="49"/>
      <c r="C156" s="49"/>
    </row>
    <row r="157" spans="1:15">
      <c r="A157" s="57"/>
      <c r="B157" s="31"/>
      <c r="C157" s="31"/>
    </row>
    <row r="158" spans="1:15">
      <c r="A158" s="56"/>
      <c r="B158" s="49"/>
      <c r="C158" s="49"/>
    </row>
    <row r="159" spans="1:15">
      <c r="A159" s="57"/>
      <c r="B159" s="48"/>
      <c r="C159" s="48"/>
    </row>
    <row r="160" spans="1:15">
      <c r="A160" s="56"/>
      <c r="B160" s="46"/>
      <c r="C160" s="46"/>
    </row>
    <row r="161" spans="1:3">
      <c r="A161" s="57"/>
      <c r="B161" s="48"/>
      <c r="C161" s="48"/>
    </row>
    <row r="162" spans="1:3">
      <c r="A162" s="56"/>
      <c r="B162" s="46"/>
      <c r="C162" s="46"/>
    </row>
    <row r="163" spans="1:3">
      <c r="A163" s="57"/>
      <c r="B163" s="48"/>
      <c r="C163" s="48"/>
    </row>
    <row r="164" spans="1:3">
      <c r="A164" s="56"/>
      <c r="B164" s="49"/>
      <c r="C164" s="49"/>
    </row>
    <row r="165" spans="1:3">
      <c r="A165" s="57"/>
      <c r="B165" s="48"/>
      <c r="C165" s="48"/>
    </row>
    <row r="166" spans="1:3">
      <c r="A166" s="56"/>
      <c r="B166" s="49"/>
      <c r="C166" s="49"/>
    </row>
    <row r="167" spans="1:3">
      <c r="A167" s="57"/>
      <c r="B167" s="31"/>
      <c r="C167" s="31"/>
    </row>
    <row r="168" spans="1:3">
      <c r="A168" s="56"/>
      <c r="B168" s="46"/>
      <c r="C168" s="46"/>
    </row>
    <row r="169" spans="1:3">
      <c r="A169" s="57"/>
      <c r="B169" s="31"/>
      <c r="C169" s="31"/>
    </row>
    <row r="170" spans="1:3">
      <c r="A170" s="56"/>
      <c r="B170" s="46"/>
      <c r="C170" s="46"/>
    </row>
    <row r="171" spans="1:3">
      <c r="A171" s="57"/>
      <c r="B171" s="48"/>
      <c r="C171" s="48"/>
    </row>
    <row r="172" spans="1:3">
      <c r="A172" s="56"/>
      <c r="B172" s="46"/>
      <c r="C172" s="46"/>
    </row>
    <row r="173" spans="1:3">
      <c r="A173" s="57"/>
      <c r="B173" s="31"/>
      <c r="C173" s="31"/>
    </row>
    <row r="174" spans="1:3">
      <c r="A174" s="56"/>
      <c r="B174" s="49"/>
      <c r="C174" s="49"/>
    </row>
    <row r="175" spans="1:3">
      <c r="A175" s="57"/>
      <c r="B175" s="31"/>
      <c r="C175" s="31"/>
    </row>
    <row r="176" spans="1:3">
      <c r="A176" s="56"/>
      <c r="B176" s="49"/>
      <c r="C176" s="49"/>
    </row>
    <row r="177" spans="1:3">
      <c r="A177" s="57"/>
      <c r="B177" s="48"/>
      <c r="C177" s="48"/>
    </row>
    <row r="178" spans="1:3">
      <c r="A178" s="56"/>
      <c r="B178" s="46"/>
      <c r="C178" s="46"/>
    </row>
    <row r="179" spans="1:3">
      <c r="A179" s="57"/>
      <c r="B179" s="31"/>
      <c r="C179" s="31"/>
    </row>
    <row r="180" spans="1:3">
      <c r="A180" s="56"/>
      <c r="B180" s="46"/>
      <c r="C180" s="46"/>
    </row>
    <row r="181" spans="1:3">
      <c r="A181" s="57"/>
      <c r="B181" s="31"/>
      <c r="C181" s="31"/>
    </row>
    <row r="182" spans="1:3">
      <c r="A182" s="56"/>
      <c r="B182" s="46"/>
      <c r="C182" s="46"/>
    </row>
    <row r="183" spans="1:3">
      <c r="A183" s="57"/>
      <c r="B183" s="48"/>
      <c r="C183" s="48"/>
    </row>
    <row r="184" spans="1:3">
      <c r="A184" s="56"/>
      <c r="B184" s="46"/>
      <c r="C184" s="46"/>
    </row>
    <row r="185" spans="1:3">
      <c r="A185" s="57"/>
      <c r="B185" s="31"/>
      <c r="C185" s="31"/>
    </row>
    <row r="186" spans="1:3">
      <c r="A186" s="56"/>
      <c r="B186" s="46"/>
      <c r="C186" s="46"/>
    </row>
    <row r="187" spans="1:3">
      <c r="A187" s="57"/>
      <c r="B187" s="31"/>
      <c r="C187" s="31"/>
    </row>
    <row r="188" spans="1:3">
      <c r="A188" s="56"/>
      <c r="B188" s="49"/>
      <c r="C188" s="49"/>
    </row>
    <row r="189" spans="1:3">
      <c r="A189" s="57"/>
      <c r="B189" s="31"/>
      <c r="C189" s="31"/>
    </row>
    <row r="190" spans="1:3">
      <c r="A190" s="56"/>
      <c r="B190" s="46"/>
      <c r="C190" s="46"/>
    </row>
    <row r="191" spans="1:3">
      <c r="A191" s="57"/>
      <c r="B191" s="31"/>
      <c r="C191" s="31"/>
    </row>
    <row r="192" spans="1:3">
      <c r="A192" s="56"/>
      <c r="B192" s="46"/>
      <c r="C192" s="46"/>
    </row>
    <row r="193" spans="1:3">
      <c r="A193" s="57"/>
      <c r="B193" s="48"/>
      <c r="C193" s="48"/>
    </row>
    <row r="194" spans="1:3">
      <c r="A194" s="56"/>
      <c r="B194" s="49"/>
      <c r="C194" s="49"/>
    </row>
    <row r="195" spans="1:3">
      <c r="A195" s="57"/>
      <c r="B195" s="31"/>
      <c r="C195" s="31"/>
    </row>
    <row r="196" spans="1:3">
      <c r="A196" s="56"/>
      <c r="B196" s="46"/>
      <c r="C196" s="46"/>
    </row>
    <row r="197" spans="1:3">
      <c r="A197" s="57"/>
      <c r="B197" s="48"/>
      <c r="C197" s="48"/>
    </row>
    <row r="198" spans="1:3">
      <c r="A198" s="56"/>
      <c r="B198" s="49"/>
      <c r="C198" s="49"/>
    </row>
    <row r="199" spans="1:3">
      <c r="A199" s="57"/>
      <c r="B199" s="48"/>
      <c r="C199" s="48"/>
    </row>
    <row r="200" spans="1:3">
      <c r="A200" s="56"/>
      <c r="B200" s="49"/>
      <c r="C200" s="49"/>
    </row>
    <row r="201" spans="1:3">
      <c r="A201" s="57"/>
      <c r="B201" s="31"/>
      <c r="C201" s="31"/>
    </row>
    <row r="202" spans="1:3">
      <c r="A202" s="56"/>
      <c r="B202" s="46"/>
      <c r="C202" s="46"/>
    </row>
    <row r="203" spans="1:3">
      <c r="A203" s="57"/>
      <c r="B203" s="31"/>
      <c r="C203" s="31"/>
    </row>
    <row r="204" spans="1:3">
      <c r="A204" s="56"/>
      <c r="B204" s="46"/>
      <c r="C204" s="46"/>
    </row>
    <row r="205" spans="1:3">
      <c r="A205" s="57"/>
      <c r="B205" s="48"/>
      <c r="C205" s="48"/>
    </row>
    <row r="206" spans="1:3">
      <c r="A206" s="56"/>
      <c r="B206" s="46"/>
      <c r="C206" s="46"/>
    </row>
    <row r="207" spans="1:3">
      <c r="A207" s="57"/>
      <c r="B207" s="48"/>
      <c r="C207" s="48"/>
    </row>
    <row r="208" spans="1:3">
      <c r="A208" s="56"/>
      <c r="B208" s="49"/>
      <c r="C208" s="49"/>
    </row>
    <row r="209" spans="1:3">
      <c r="A209" s="57"/>
      <c r="B209" s="31"/>
      <c r="C209" s="31"/>
    </row>
    <row r="210" spans="1:3">
      <c r="A210" s="56"/>
      <c r="B210" s="49"/>
      <c r="C210" s="49"/>
    </row>
    <row r="211" spans="1:3">
      <c r="A211" s="57"/>
      <c r="B211" s="31"/>
      <c r="C211" s="31"/>
    </row>
    <row r="212" spans="1:3">
      <c r="A212" s="56"/>
      <c r="B212" s="46"/>
      <c r="C212" s="46"/>
    </row>
    <row r="213" spans="1:3">
      <c r="A213" s="57"/>
      <c r="B213" s="31"/>
      <c r="C213" s="31"/>
    </row>
    <row r="214" spans="1:3">
      <c r="A214" s="56"/>
      <c r="B214" s="46"/>
      <c r="C214" s="46"/>
    </row>
    <row r="215" spans="1:3">
      <c r="A215" s="57"/>
      <c r="B215" s="48"/>
      <c r="C215" s="48"/>
    </row>
    <row r="216" spans="1:3">
      <c r="A216" s="56"/>
      <c r="B216" s="46"/>
      <c r="C216" s="46"/>
    </row>
    <row r="217" spans="1:3">
      <c r="A217" s="57"/>
      <c r="B217" s="31"/>
      <c r="C217" s="31"/>
    </row>
    <row r="218" spans="1:3">
      <c r="A218" s="56"/>
      <c r="B218" s="49"/>
      <c r="C218" s="49"/>
    </row>
    <row r="219" spans="1:3">
      <c r="A219" s="57"/>
      <c r="B219" s="31"/>
      <c r="C219" s="31"/>
    </row>
    <row r="220" spans="1:3">
      <c r="A220" s="56"/>
      <c r="B220" s="46"/>
      <c r="C220" s="46"/>
    </row>
    <row r="221" spans="1:3">
      <c r="A221" s="57"/>
      <c r="B221" s="48"/>
      <c r="C221" s="48"/>
    </row>
    <row r="222" spans="1:3">
      <c r="A222" s="56"/>
      <c r="B222" s="49"/>
      <c r="C222" s="49"/>
    </row>
    <row r="223" spans="1:3">
      <c r="A223" s="57"/>
      <c r="B223" s="31"/>
      <c r="C223" s="31"/>
    </row>
    <row r="224" spans="1:3">
      <c r="A224" s="56"/>
      <c r="B224" s="49"/>
      <c r="C224" s="49"/>
    </row>
    <row r="225" spans="1:3">
      <c r="A225" s="57"/>
      <c r="B225" s="31"/>
      <c r="C225" s="31"/>
    </row>
    <row r="226" spans="1:3">
      <c r="A226" s="56"/>
      <c r="B226" s="49"/>
      <c r="C226" s="49"/>
    </row>
    <row r="227" spans="1:3">
      <c r="A227" s="57"/>
      <c r="B227" s="31"/>
      <c r="C227" s="31"/>
    </row>
    <row r="228" spans="1:3">
      <c r="A228" s="56"/>
      <c r="B228" s="46"/>
      <c r="C228" s="46"/>
    </row>
    <row r="229" spans="1:3">
      <c r="A229" s="57"/>
      <c r="B229" s="48"/>
      <c r="C229" s="48"/>
    </row>
    <row r="230" spans="1:3">
      <c r="A230" s="56"/>
      <c r="B230" s="49"/>
      <c r="C230" s="49"/>
    </row>
    <row r="231" spans="1:3">
      <c r="A231" s="57"/>
      <c r="B231" s="48"/>
      <c r="C231" s="48"/>
    </row>
    <row r="232" spans="1:3">
      <c r="A232" s="56"/>
      <c r="B232" s="49"/>
      <c r="C232" s="49"/>
    </row>
    <row r="233" spans="1:3">
      <c r="A233" s="57"/>
      <c r="B233" s="31"/>
      <c r="C233" s="31"/>
    </row>
    <row r="234" spans="1:3">
      <c r="A234" s="56"/>
      <c r="B234" s="46"/>
      <c r="C234" s="46"/>
    </row>
    <row r="235" spans="1:3">
      <c r="A235" s="57"/>
      <c r="B235" s="31"/>
      <c r="C235" s="31"/>
    </row>
    <row r="236" spans="1:3">
      <c r="A236" s="56"/>
      <c r="B236" s="46"/>
      <c r="C236" s="46"/>
    </row>
    <row r="237" spans="1:3">
      <c r="A237" s="57"/>
      <c r="B237" s="31"/>
      <c r="C237" s="31"/>
    </row>
    <row r="238" spans="1:3">
      <c r="A238" s="56"/>
      <c r="B238" s="46"/>
      <c r="C238" s="46"/>
    </row>
    <row r="239" spans="1:3">
      <c r="A239" s="57"/>
      <c r="B239" s="48"/>
      <c r="C239" s="48"/>
    </row>
    <row r="240" spans="1:3">
      <c r="A240" s="56"/>
      <c r="B240" s="49"/>
      <c r="C240" s="49"/>
    </row>
    <row r="241" spans="1:3">
      <c r="A241" s="57"/>
      <c r="B241" s="31"/>
      <c r="C241" s="31"/>
    </row>
    <row r="242" spans="1:3">
      <c r="A242" s="56"/>
      <c r="B242" s="46"/>
      <c r="C242" s="46"/>
    </row>
    <row r="243" spans="1:3">
      <c r="A243" s="57"/>
      <c r="B243" s="31"/>
      <c r="C243" s="31"/>
    </row>
    <row r="244" spans="1:3">
      <c r="A244" s="56"/>
      <c r="B244" s="49"/>
      <c r="C244" s="49"/>
    </row>
    <row r="245" spans="1:3">
      <c r="A245" s="57"/>
      <c r="B245" s="31"/>
      <c r="C245" s="31"/>
    </row>
    <row r="246" spans="1:3">
      <c r="A246" s="56"/>
      <c r="B246" s="46"/>
      <c r="C246" s="46"/>
    </row>
    <row r="247" spans="1:3">
      <c r="A247" s="57"/>
      <c r="B247" s="48"/>
      <c r="C247" s="48"/>
    </row>
    <row r="248" spans="1:3">
      <c r="A248" s="56"/>
      <c r="B248" s="49"/>
      <c r="C248" s="49"/>
    </row>
    <row r="249" spans="1:3">
      <c r="A249" s="57"/>
      <c r="B249" s="31"/>
      <c r="C249" s="31"/>
    </row>
    <row r="250" spans="1:3">
      <c r="A250" s="56"/>
      <c r="B250" s="46"/>
      <c r="C250" s="46"/>
    </row>
    <row r="251" spans="1:3">
      <c r="A251" s="57"/>
      <c r="B251" s="31"/>
      <c r="C251" s="31"/>
    </row>
    <row r="252" spans="1:3">
      <c r="A252" s="56"/>
      <c r="B252" s="49"/>
      <c r="C252" s="49"/>
    </row>
    <row r="253" spans="1:3">
      <c r="A253" s="57"/>
      <c r="B253" s="31"/>
      <c r="C253" s="31"/>
    </row>
    <row r="254" spans="1:3">
      <c r="A254" s="56"/>
      <c r="B254" s="46"/>
      <c r="C254" s="46"/>
    </row>
    <row r="255" spans="1:3">
      <c r="A255" s="57"/>
      <c r="B255" s="31"/>
      <c r="C255" s="31"/>
    </row>
    <row r="256" spans="1:3">
      <c r="A256" s="56"/>
      <c r="B256" s="46"/>
      <c r="C256" s="46"/>
    </row>
    <row r="257" spans="1:3">
      <c r="A257" s="57"/>
      <c r="B257" s="31"/>
      <c r="C257" s="31"/>
    </row>
    <row r="258" spans="1:3">
      <c r="A258" s="56"/>
      <c r="B258" s="49"/>
      <c r="C258" s="49"/>
    </row>
    <row r="259" spans="1:3">
      <c r="A259" s="57"/>
      <c r="B259" s="48"/>
      <c r="C259" s="48"/>
    </row>
    <row r="260" spans="1:3">
      <c r="A260" s="56"/>
      <c r="B260" s="46"/>
      <c r="C260" s="46"/>
    </row>
    <row r="261" spans="1:3">
      <c r="A261" s="57"/>
      <c r="B261" s="48"/>
      <c r="C261" s="48"/>
    </row>
    <row r="262" spans="1:3">
      <c r="A262" s="56"/>
      <c r="B262" s="49"/>
      <c r="C262" s="49"/>
    </row>
    <row r="263" spans="1:3">
      <c r="A263" s="57"/>
      <c r="B263" s="31"/>
      <c r="C263" s="31"/>
    </row>
    <row r="264" spans="1:3">
      <c r="A264" s="56"/>
      <c r="B264" s="46"/>
      <c r="C264" s="46"/>
    </row>
    <row r="265" spans="1:3">
      <c r="A265" s="57"/>
      <c r="B265" s="48"/>
      <c r="C265" s="48"/>
    </row>
    <row r="266" spans="1:3">
      <c r="A266" s="56"/>
      <c r="B266" s="46"/>
      <c r="C266" s="46"/>
    </row>
    <row r="267" spans="1:3">
      <c r="A267" s="57"/>
      <c r="B267" s="31"/>
      <c r="C267" s="31"/>
    </row>
    <row r="268" spans="1:3">
      <c r="A268" s="56"/>
      <c r="B268" s="46"/>
      <c r="C268" s="46"/>
    </row>
    <row r="269" spans="1:3">
      <c r="A269" s="57"/>
      <c r="B269" s="31"/>
      <c r="C269" s="31"/>
    </row>
    <row r="270" spans="1:3">
      <c r="A270" s="56"/>
      <c r="B270" s="46"/>
      <c r="C270" s="46"/>
    </row>
    <row r="271" spans="1:3">
      <c r="A271" s="57"/>
      <c r="B271" s="31"/>
      <c r="C271" s="31"/>
    </row>
    <row r="272" spans="1:3">
      <c r="A272" s="56"/>
      <c r="B272" s="46"/>
      <c r="C272" s="46"/>
    </row>
    <row r="273" spans="1:3">
      <c r="A273" s="57"/>
      <c r="B273" s="31"/>
      <c r="C273" s="31"/>
    </row>
    <row r="274" spans="1:3">
      <c r="A274" s="56"/>
      <c r="B274" s="49"/>
      <c r="C274" s="49"/>
    </row>
    <row r="275" spans="1:3">
      <c r="A275" s="57"/>
      <c r="B275" s="48"/>
      <c r="C275" s="48"/>
    </row>
    <row r="276" spans="1:3">
      <c r="A276" s="56"/>
      <c r="B276" s="49"/>
      <c r="C276" s="49"/>
    </row>
    <row r="277" spans="1:3">
      <c r="A277" s="57"/>
      <c r="B277" s="48"/>
      <c r="C277" s="48"/>
    </row>
    <row r="278" spans="1:3">
      <c r="A278" s="56"/>
      <c r="B278" s="49"/>
      <c r="C278" s="49"/>
    </row>
    <row r="279" spans="1:3">
      <c r="A279" s="57"/>
      <c r="B279" s="48"/>
      <c r="C279" s="48"/>
    </row>
    <row r="280" spans="1:3">
      <c r="A280" s="56"/>
      <c r="B280" s="46"/>
      <c r="C280" s="46"/>
    </row>
    <row r="281" spans="1:3">
      <c r="A281" s="57"/>
      <c r="B281" s="31"/>
      <c r="C281" s="31"/>
    </row>
    <row r="282" spans="1:3">
      <c r="A282" s="56"/>
      <c r="B282" s="49"/>
      <c r="C282" s="49"/>
    </row>
    <row r="283" spans="1:3">
      <c r="A283" s="57"/>
      <c r="B283" s="31"/>
      <c r="C283" s="31"/>
    </row>
    <row r="284" spans="1:3">
      <c r="A284" s="56"/>
      <c r="B284" s="49"/>
      <c r="C284" s="49"/>
    </row>
    <row r="285" spans="1:3">
      <c r="A285" s="57"/>
      <c r="B285" s="31"/>
      <c r="C285" s="31"/>
    </row>
    <row r="286" spans="1:3">
      <c r="A286" s="56"/>
      <c r="B286" s="49"/>
      <c r="C286" s="49"/>
    </row>
    <row r="287" spans="1:3">
      <c r="A287" s="57"/>
      <c r="B287" s="48"/>
      <c r="C287" s="48"/>
    </row>
    <row r="288" spans="1:3">
      <c r="A288" s="56"/>
      <c r="B288" s="46"/>
      <c r="C288" s="46"/>
    </row>
    <row r="289" spans="1:3">
      <c r="A289" s="57"/>
      <c r="B289" s="31"/>
      <c r="C289" s="31"/>
    </row>
    <row r="290" spans="1:3">
      <c r="A290" s="56"/>
      <c r="B290" s="46"/>
      <c r="C290" s="46"/>
    </row>
    <row r="291" spans="1:3">
      <c r="A291" s="57"/>
      <c r="B291" s="31"/>
      <c r="C291" s="31"/>
    </row>
    <row r="292" spans="1:3">
      <c r="A292" s="56"/>
      <c r="B292" s="46"/>
      <c r="C292" s="46"/>
    </row>
    <row r="293" spans="1:3">
      <c r="A293" s="57"/>
      <c r="B293" s="31"/>
      <c r="C293" s="31"/>
    </row>
    <row r="294" spans="1:3">
      <c r="A294" s="56"/>
      <c r="B294" s="46"/>
      <c r="C294" s="46"/>
    </row>
    <row r="295" spans="1:3">
      <c r="A295" s="57"/>
      <c r="B295" s="48"/>
      <c r="C295" s="48"/>
    </row>
    <row r="296" spans="1:3">
      <c r="A296" s="56"/>
      <c r="B296" s="46"/>
      <c r="C296" s="46"/>
    </row>
    <row r="297" spans="1:3">
      <c r="A297" s="57"/>
      <c r="B297" s="31"/>
      <c r="C297" s="31"/>
    </row>
    <row r="298" spans="1:3">
      <c r="A298" s="56"/>
      <c r="B298" s="46"/>
      <c r="C298" s="46"/>
    </row>
    <row r="299" spans="1:3">
      <c r="A299" s="57"/>
      <c r="B299" s="31"/>
      <c r="C299" s="31"/>
    </row>
    <row r="300" spans="1:3">
      <c r="A300" s="56"/>
      <c r="B300" s="49"/>
      <c r="C300" s="49"/>
    </row>
    <row r="301" spans="1:3">
      <c r="A301" s="57"/>
      <c r="B301" s="31"/>
      <c r="C301" s="31"/>
    </row>
    <row r="302" spans="1:3">
      <c r="A302" s="56"/>
      <c r="B302" s="49"/>
      <c r="C302" s="49"/>
    </row>
    <row r="303" spans="1:3">
      <c r="A303" s="57"/>
      <c r="B303" s="31"/>
      <c r="C303" s="31"/>
    </row>
    <row r="304" spans="1:3">
      <c r="A304" s="56"/>
      <c r="B304" s="49"/>
      <c r="C304" s="49"/>
    </row>
    <row r="305" spans="1:3">
      <c r="A305" s="57"/>
      <c r="B305" s="31"/>
      <c r="C305" s="31"/>
    </row>
    <row r="306" spans="1:3">
      <c r="A306" s="56"/>
      <c r="B306" s="46"/>
      <c r="C306" s="46"/>
    </row>
    <row r="307" spans="1:3">
      <c r="A307" s="57"/>
      <c r="B307" s="31"/>
      <c r="C307" s="31"/>
    </row>
    <row r="308" spans="1:3">
      <c r="A308" s="56"/>
      <c r="B308" s="46"/>
      <c r="C308" s="46"/>
    </row>
    <row r="309" spans="1:3">
      <c r="A309" s="57"/>
      <c r="B309" s="48"/>
      <c r="C309" s="48"/>
    </row>
    <row r="310" spans="1:3">
      <c r="A310" s="56"/>
      <c r="B310" s="49"/>
      <c r="C310" s="49"/>
    </row>
    <row r="311" spans="1:3">
      <c r="A311" s="57"/>
      <c r="B311" s="31"/>
      <c r="C311" s="31"/>
    </row>
    <row r="312" spans="1:3">
      <c r="A312" s="56"/>
      <c r="B312" s="46"/>
      <c r="C312" s="46"/>
    </row>
    <row r="313" spans="1:3">
      <c r="A313" s="57"/>
      <c r="B313" s="31"/>
      <c r="C313" s="31"/>
    </row>
    <row r="314" spans="1:3">
      <c r="A314" s="56"/>
      <c r="B314" s="46"/>
      <c r="C314" s="46"/>
    </row>
    <row r="315" spans="1:3">
      <c r="A315" s="57"/>
      <c r="B315" s="31"/>
      <c r="C315" s="31"/>
    </row>
    <row r="316" spans="1:3">
      <c r="A316" s="56"/>
      <c r="B316" s="46"/>
      <c r="C316" s="46"/>
    </row>
    <row r="317" spans="1:3">
      <c r="A317" s="57"/>
      <c r="B317" s="31"/>
      <c r="C317" s="31"/>
    </row>
    <row r="318" spans="1:3">
      <c r="A318" s="56"/>
      <c r="B318" s="46"/>
      <c r="C318" s="46"/>
    </row>
    <row r="319" spans="1:3">
      <c r="A319" s="57"/>
      <c r="B319" s="31"/>
      <c r="C319" s="31"/>
    </row>
    <row r="320" spans="1:3">
      <c r="A320" s="56"/>
      <c r="B320" s="46"/>
      <c r="C320" s="46"/>
    </row>
    <row r="321" spans="1:3">
      <c r="A321" s="57"/>
      <c r="B321" s="31"/>
      <c r="C321" s="31"/>
    </row>
    <row r="322" spans="1:3">
      <c r="A322" s="56"/>
      <c r="B322" s="49"/>
      <c r="C322" s="49"/>
    </row>
    <row r="323" spans="1:3">
      <c r="A323" s="57"/>
      <c r="B323" s="31"/>
      <c r="C323" s="31"/>
    </row>
    <row r="324" spans="1:3">
      <c r="A324" s="56"/>
      <c r="B324" s="49"/>
      <c r="C324" s="49"/>
    </row>
    <row r="325" spans="1:3">
      <c r="A325" s="57"/>
      <c r="B325" s="31"/>
      <c r="C325" s="31"/>
    </row>
    <row r="326" spans="1:3">
      <c r="A326" s="56"/>
      <c r="B326" s="46"/>
      <c r="C326" s="46"/>
    </row>
    <row r="327" spans="1:3">
      <c r="A327" s="57"/>
      <c r="B327" s="31"/>
      <c r="C327" s="31"/>
    </row>
    <row r="328" spans="1:3">
      <c r="A328" s="56"/>
      <c r="B328" s="49"/>
      <c r="C328" s="49"/>
    </row>
    <row r="329" spans="1:3">
      <c r="A329" s="57"/>
      <c r="B329" s="31"/>
      <c r="C329" s="31"/>
    </row>
    <row r="330" spans="1:3">
      <c r="A330" s="56"/>
      <c r="B330" s="49"/>
      <c r="C330" s="49"/>
    </row>
    <row r="331" spans="1:3">
      <c r="A331" s="57"/>
      <c r="B331" s="31"/>
      <c r="C331" s="31"/>
    </row>
    <row r="332" spans="1:3">
      <c r="A332" s="56"/>
      <c r="B332" s="46"/>
      <c r="C332" s="46"/>
    </row>
    <row r="333" spans="1:3">
      <c r="A333" s="57"/>
      <c r="B333" s="48"/>
      <c r="C333" s="48"/>
    </row>
    <row r="334" spans="1:3">
      <c r="A334" s="56"/>
      <c r="B334" s="49"/>
      <c r="C334" s="49"/>
    </row>
    <row r="335" spans="1:3">
      <c r="A335" s="57"/>
      <c r="B335" s="31"/>
      <c r="C335" s="31"/>
    </row>
    <row r="336" spans="1:3">
      <c r="A336" s="56"/>
      <c r="B336" s="46"/>
      <c r="C336" s="46"/>
    </row>
    <row r="337" spans="1:3">
      <c r="A337" s="57"/>
      <c r="B337" s="31"/>
      <c r="C337" s="31"/>
    </row>
    <row r="338" spans="1:3">
      <c r="A338" s="56"/>
      <c r="B338" s="46"/>
      <c r="C338" s="46"/>
    </row>
    <row r="339" spans="1:3">
      <c r="A339" s="57"/>
      <c r="B339" s="48"/>
      <c r="C339" s="48"/>
    </row>
    <row r="340" spans="1:3">
      <c r="A340" s="56"/>
      <c r="B340" s="49"/>
      <c r="C340" s="49"/>
    </row>
    <row r="341" spans="1:3">
      <c r="A341" s="57"/>
      <c r="B341" s="31"/>
      <c r="C341" s="31"/>
    </row>
    <row r="342" spans="1:3">
      <c r="A342" s="56"/>
      <c r="B342" s="46"/>
      <c r="C342" s="46"/>
    </row>
    <row r="343" spans="1:3">
      <c r="A343" s="57"/>
      <c r="B343" s="48"/>
      <c r="C343" s="48"/>
    </row>
    <row r="344" spans="1:3">
      <c r="A344" s="56"/>
      <c r="B344" s="46"/>
      <c r="C344" s="46"/>
    </row>
    <row r="345" spans="1:3">
      <c r="A345" s="57"/>
      <c r="B345" s="31"/>
      <c r="C345" s="31"/>
    </row>
    <row r="346" spans="1:3">
      <c r="A346" s="56"/>
      <c r="B346" s="46"/>
      <c r="C346" s="46"/>
    </row>
    <row r="347" spans="1:3">
      <c r="A347" s="57"/>
      <c r="B347" s="31"/>
      <c r="C347" s="31"/>
    </row>
    <row r="348" spans="1:3">
      <c r="A348" s="56"/>
      <c r="B348" s="46"/>
      <c r="C348" s="46"/>
    </row>
    <row r="349" spans="1:3">
      <c r="A349" s="57"/>
      <c r="B349" s="48"/>
      <c r="C349" s="48"/>
    </row>
    <row r="350" spans="1:3">
      <c r="A350" s="56"/>
      <c r="B350" s="49"/>
      <c r="C350" s="49"/>
    </row>
    <row r="351" spans="1:3">
      <c r="A351" s="57"/>
      <c r="B351" s="31"/>
      <c r="C351" s="31"/>
    </row>
    <row r="352" spans="1:3">
      <c r="A352" s="56"/>
      <c r="B352" s="49"/>
      <c r="C352" s="49"/>
    </row>
    <row r="353" spans="1:3">
      <c r="A353" s="57"/>
      <c r="B353" s="31"/>
      <c r="C353" s="31"/>
    </row>
    <row r="354" spans="1:3">
      <c r="A354" s="56"/>
      <c r="B354" s="46"/>
      <c r="C354" s="46"/>
    </row>
    <row r="355" spans="1:3">
      <c r="A355" s="57"/>
      <c r="B355" s="31"/>
      <c r="C355" s="31"/>
    </row>
    <row r="356" spans="1:3">
      <c r="A356" s="56"/>
      <c r="B356" s="49"/>
      <c r="C356" s="49"/>
    </row>
    <row r="357" spans="1:3">
      <c r="A357" s="57"/>
      <c r="B357" s="31"/>
      <c r="C357" s="31"/>
    </row>
    <row r="358" spans="1:3">
      <c r="A358" s="56"/>
      <c r="B358" s="46"/>
      <c r="C358" s="46"/>
    </row>
    <row r="359" spans="1:3">
      <c r="A359" s="57"/>
      <c r="B359" s="31"/>
      <c r="C359" s="31"/>
    </row>
    <row r="360" spans="1:3">
      <c r="A360" s="56"/>
      <c r="B360" s="46"/>
      <c r="C360" s="46"/>
    </row>
    <row r="361" spans="1:3">
      <c r="A361" s="57"/>
      <c r="B361" s="31"/>
      <c r="C361" s="31"/>
    </row>
    <row r="362" spans="1:3">
      <c r="A362" s="56"/>
      <c r="B362" s="49"/>
      <c r="C362" s="49"/>
    </row>
    <row r="363" spans="1:3">
      <c r="A363" s="57"/>
      <c r="B363" s="31"/>
      <c r="C363" s="31"/>
    </row>
    <row r="364" spans="1:3">
      <c r="A364" s="56"/>
      <c r="B364" s="46"/>
      <c r="C364" s="46"/>
    </row>
    <row r="365" spans="1:3">
      <c r="A365" s="57"/>
      <c r="B365" s="31"/>
      <c r="C365" s="31"/>
    </row>
    <row r="366" spans="1:3">
      <c r="A366" s="56"/>
      <c r="B366" s="46"/>
      <c r="C366" s="46"/>
    </row>
    <row r="367" spans="1:3">
      <c r="A367" s="57"/>
      <c r="B367" s="31"/>
      <c r="C367" s="31"/>
    </row>
    <row r="368" spans="1:3">
      <c r="A368" s="56"/>
      <c r="B368" s="46"/>
      <c r="C368" s="46"/>
    </row>
    <row r="369" spans="1:3">
      <c r="A369" s="57"/>
      <c r="B369" s="31"/>
      <c r="C369" s="31"/>
    </row>
    <row r="370" spans="1:3">
      <c r="A370" s="56"/>
      <c r="B370" s="49"/>
      <c r="C370" s="49"/>
    </row>
    <row r="371" spans="1:3">
      <c r="A371" s="57"/>
      <c r="B371" s="31"/>
      <c r="C371" s="31"/>
    </row>
    <row r="372" spans="1:3">
      <c r="A372" s="56"/>
      <c r="B372" s="46"/>
      <c r="C372" s="46"/>
    </row>
    <row r="373" spans="1:3">
      <c r="A373" s="57"/>
      <c r="B373" s="31"/>
      <c r="C373" s="31"/>
    </row>
    <row r="374" spans="1:3">
      <c r="A374" s="56"/>
      <c r="B374" s="49"/>
      <c r="C374" s="49"/>
    </row>
    <row r="375" spans="1:3">
      <c r="A375" s="57"/>
      <c r="B375" s="48"/>
      <c r="C375" s="48"/>
    </row>
    <row r="376" spans="1:3">
      <c r="A376" s="56"/>
      <c r="B376" s="46"/>
      <c r="C376" s="46"/>
    </row>
    <row r="377" spans="1:3">
      <c r="A377" s="57"/>
      <c r="B377" s="31"/>
      <c r="C377" s="31"/>
    </row>
    <row r="378" spans="1:3">
      <c r="A378" s="56"/>
      <c r="B378" s="46"/>
      <c r="C378" s="46"/>
    </row>
    <row r="379" spans="1:3">
      <c r="A379" s="57"/>
      <c r="B379" s="31"/>
      <c r="C379" s="31"/>
    </row>
    <row r="380" spans="1:3">
      <c r="A380" s="56"/>
      <c r="B380" s="46"/>
      <c r="C380" s="46"/>
    </row>
    <row r="381" spans="1:3">
      <c r="A381" s="57"/>
      <c r="B381" s="31"/>
      <c r="C381" s="31"/>
    </row>
    <row r="382" spans="1:3">
      <c r="A382" s="56"/>
      <c r="B382" s="46"/>
      <c r="C382" s="46"/>
    </row>
    <row r="383" spans="1:3">
      <c r="A383" s="57"/>
      <c r="B383" s="31"/>
      <c r="C383" s="31"/>
    </row>
    <row r="384" spans="1:3">
      <c r="A384" s="56"/>
      <c r="B384" s="46"/>
      <c r="C384" s="46"/>
    </row>
    <row r="385" spans="1:3">
      <c r="A385" s="57"/>
      <c r="B385" s="31"/>
      <c r="C385" s="31"/>
    </row>
    <row r="386" spans="1:3">
      <c r="A386" s="56"/>
      <c r="B386" s="46"/>
      <c r="C386" s="46"/>
    </row>
    <row r="387" spans="1:3">
      <c r="A387" s="57"/>
      <c r="B387" s="31"/>
      <c r="C387" s="31"/>
    </row>
    <row r="388" spans="1:3">
      <c r="A388" s="56"/>
      <c r="B388" s="46"/>
      <c r="C388" s="46"/>
    </row>
    <row r="389" spans="1:3">
      <c r="A389" s="57"/>
      <c r="B389" s="31"/>
      <c r="C389" s="31"/>
    </row>
    <row r="390" spans="1:3">
      <c r="A390" s="56"/>
      <c r="B390" s="46"/>
      <c r="C390" s="46"/>
    </row>
    <row r="391" spans="1:3">
      <c r="A391" s="57"/>
      <c r="B391" s="31"/>
      <c r="C391" s="31"/>
    </row>
    <row r="392" spans="1:3">
      <c r="A392" s="56"/>
      <c r="B392" s="46"/>
      <c r="C392" s="46"/>
    </row>
    <row r="393" spans="1:3">
      <c r="A393" s="57"/>
      <c r="B393" s="48"/>
      <c r="C393" s="48"/>
    </row>
    <row r="394" spans="1:3">
      <c r="A394" s="56"/>
      <c r="B394" s="46"/>
      <c r="C394" s="46"/>
    </row>
    <row r="395" spans="1:3">
      <c r="A395" s="57"/>
      <c r="B395" s="48"/>
      <c r="C395" s="48"/>
    </row>
    <row r="396" spans="1:3">
      <c r="A396" s="56"/>
      <c r="B396" s="46"/>
      <c r="C396" s="46"/>
    </row>
    <row r="397" spans="1:3">
      <c r="A397" s="57"/>
      <c r="B397" s="48"/>
      <c r="C397" s="48"/>
    </row>
    <row r="398" spans="1:3">
      <c r="A398" s="56"/>
      <c r="B398" s="49"/>
      <c r="C398" s="49"/>
    </row>
    <row r="399" spans="1:3">
      <c r="A399" s="57"/>
      <c r="B399" s="31"/>
      <c r="C399" s="31"/>
    </row>
    <row r="400" spans="1:3">
      <c r="A400" s="56"/>
      <c r="B400" s="49"/>
      <c r="C400" s="49"/>
    </row>
    <row r="401" spans="1:3">
      <c r="A401" s="57"/>
      <c r="B401" s="31"/>
      <c r="C401" s="31"/>
    </row>
    <row r="402" spans="1:3">
      <c r="A402" s="56"/>
      <c r="B402" s="46"/>
      <c r="C402" s="46"/>
    </row>
    <row r="403" spans="1:3">
      <c r="A403" s="57"/>
      <c r="B403" s="48"/>
      <c r="C403" s="48"/>
    </row>
    <row r="404" spans="1:3">
      <c r="A404" s="56"/>
      <c r="B404" s="46"/>
      <c r="C404" s="46"/>
    </row>
    <row r="405" spans="1:3">
      <c r="A405" s="57"/>
      <c r="B405" s="31"/>
      <c r="C405" s="31"/>
    </row>
    <row r="406" spans="1:3">
      <c r="A406" s="56"/>
      <c r="B406" s="46"/>
      <c r="C406" s="46"/>
    </row>
    <row r="407" spans="1:3">
      <c r="A407" s="57"/>
      <c r="B407" s="48"/>
      <c r="C407" s="48"/>
    </row>
    <row r="408" spans="1:3">
      <c r="A408" s="56"/>
      <c r="B408" s="46"/>
      <c r="C408" s="46"/>
    </row>
    <row r="409" spans="1:3">
      <c r="A409" s="57"/>
      <c r="B409" s="31"/>
      <c r="C409" s="31"/>
    </row>
    <row r="410" spans="1:3">
      <c r="A410" s="56"/>
      <c r="B410" s="46"/>
      <c r="C410" s="46"/>
    </row>
    <row r="411" spans="1:3">
      <c r="A411" s="57"/>
      <c r="B411" s="31"/>
      <c r="C411" s="31"/>
    </row>
    <row r="412" spans="1:3">
      <c r="A412" s="56"/>
      <c r="B412" s="46"/>
      <c r="C412" s="46"/>
    </row>
    <row r="413" spans="1:3">
      <c r="A413" s="57"/>
      <c r="B413" s="31"/>
      <c r="C413" s="31"/>
    </row>
    <row r="414" spans="1:3">
      <c r="A414" s="56"/>
      <c r="B414" s="46"/>
      <c r="C414" s="46"/>
    </row>
    <row r="415" spans="1:3">
      <c r="A415" s="57"/>
      <c r="B415" s="31"/>
      <c r="C415" s="31"/>
    </row>
    <row r="416" spans="1:3">
      <c r="A416" s="56"/>
      <c r="B416" s="49"/>
      <c r="C416" s="49"/>
    </row>
    <row r="417" spans="1:3">
      <c r="A417" s="57"/>
      <c r="B417" s="48"/>
      <c r="C417" s="48"/>
    </row>
    <row r="418" spans="1:3">
      <c r="A418" s="56"/>
      <c r="B418" s="49"/>
      <c r="C418" s="49"/>
    </row>
    <row r="419" spans="1:3">
      <c r="A419" s="57"/>
      <c r="B419" s="31"/>
      <c r="C419" s="31"/>
    </row>
    <row r="420" spans="1:3">
      <c r="A420" s="56"/>
      <c r="B420" s="46"/>
      <c r="C420" s="46"/>
    </row>
    <row r="421" spans="1:3">
      <c r="A421" s="57"/>
      <c r="B421" s="31"/>
      <c r="C421" s="31"/>
    </row>
    <row r="422" spans="1:3">
      <c r="A422" s="56"/>
      <c r="B422" s="46"/>
      <c r="C422" s="46"/>
    </row>
    <row r="423" spans="1:3">
      <c r="A423" s="57"/>
      <c r="B423" s="48"/>
      <c r="C423" s="48"/>
    </row>
    <row r="424" spans="1:3">
      <c r="A424" s="56"/>
      <c r="B424" s="46"/>
      <c r="C424" s="46"/>
    </row>
    <row r="425" spans="1:3">
      <c r="A425" s="57"/>
      <c r="B425" s="48"/>
      <c r="C425" s="48"/>
    </row>
    <row r="426" spans="1:3">
      <c r="A426" s="56"/>
      <c r="B426" s="46"/>
      <c r="C426" s="46"/>
    </row>
    <row r="427" spans="1:3">
      <c r="A427" s="57"/>
      <c r="B427" s="31"/>
      <c r="C427" s="31"/>
    </row>
    <row r="428" spans="1:3">
      <c r="A428" s="56"/>
      <c r="B428" s="49"/>
      <c r="C428" s="49"/>
    </row>
    <row r="429" spans="1:3">
      <c r="A429" s="57"/>
      <c r="B429" s="31"/>
      <c r="C429" s="31"/>
    </row>
    <row r="430" spans="1:3">
      <c r="A430" s="56"/>
      <c r="B430" s="46"/>
      <c r="C430" s="46"/>
    </row>
    <row r="431" spans="1:3">
      <c r="A431" s="57"/>
      <c r="B431" s="31"/>
      <c r="C431" s="31"/>
    </row>
    <row r="432" spans="1:3">
      <c r="A432" s="56"/>
      <c r="B432" s="46"/>
      <c r="C432" s="46"/>
    </row>
    <row r="433" spans="1:3">
      <c r="A433" s="57"/>
      <c r="B433" s="48"/>
      <c r="C433" s="48"/>
    </row>
    <row r="434" spans="1:3">
      <c r="A434" s="56"/>
      <c r="B434" s="46"/>
      <c r="C434" s="46"/>
    </row>
    <row r="435" spans="1:3">
      <c r="A435" s="58"/>
      <c r="B435" s="47"/>
      <c r="C435" s="47"/>
    </row>
    <row r="437" spans="1:3">
      <c r="A437" s="57"/>
      <c r="B437" s="31"/>
      <c r="C437" s="31"/>
    </row>
    <row r="438" spans="1:3">
      <c r="A438" s="56"/>
      <c r="B438" s="46"/>
      <c r="C438" s="46"/>
    </row>
    <row r="441" spans="1:3">
      <c r="A441" s="56"/>
      <c r="B441" s="49"/>
      <c r="C441" s="49"/>
    </row>
    <row r="442" spans="1:3">
      <c r="A442" s="56"/>
      <c r="B442" s="46"/>
      <c r="C442" s="46"/>
    </row>
    <row r="467" spans="1:3">
      <c r="A467" s="12"/>
      <c r="B467" s="48"/>
      <c r="C467" s="29"/>
    </row>
    <row r="468" spans="1:3">
      <c r="A468" s="12"/>
      <c r="B468" s="31"/>
      <c r="C468" s="29"/>
    </row>
    <row r="469" spans="1:3">
      <c r="A469" s="12"/>
      <c r="B469" s="48"/>
    </row>
  </sheetData>
  <sortState xmlns:xlrd2="http://schemas.microsoft.com/office/spreadsheetml/2017/richdata2" ref="A4:D429">
    <sortCondition ref="D42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3C3E1-CD40-6E43-AF5F-5FCB21D84B97}">
  <dimension ref="A1:U308"/>
  <sheetViews>
    <sheetView topLeftCell="A25" zoomScale="124" workbookViewId="0">
      <selection activeCell="G28" sqref="G28"/>
    </sheetView>
  </sheetViews>
  <sheetFormatPr baseColWidth="10" defaultRowHeight="15"/>
  <cols>
    <col min="1" max="1" width="18.33203125" customWidth="1"/>
    <col min="4" max="4" width="10.83203125" customWidth="1"/>
    <col min="5" max="5" width="25.83203125" customWidth="1"/>
    <col min="6" max="6" width="27.33203125" customWidth="1"/>
    <col min="7" max="7" width="22.5" customWidth="1"/>
    <col min="8" max="8" width="7" customWidth="1"/>
    <col min="9" max="9" width="21.33203125" customWidth="1"/>
    <col min="10" max="10" width="18.1640625" style="2" customWidth="1"/>
    <col min="11" max="11" width="13.83203125" customWidth="1"/>
    <col min="12" max="12" width="17.6640625" style="53" customWidth="1"/>
    <col min="13" max="13" width="17.1640625" customWidth="1"/>
  </cols>
  <sheetData>
    <row r="1" spans="1:19" ht="18">
      <c r="A1" s="141" t="s">
        <v>424</v>
      </c>
      <c r="B1" s="141"/>
    </row>
    <row r="2" spans="1:19">
      <c r="G2" s="2"/>
      <c r="H2" s="2"/>
      <c r="I2" s="2"/>
      <c r="K2" s="2"/>
      <c r="M2" s="2"/>
      <c r="N2" s="2"/>
      <c r="O2" s="2"/>
      <c r="P2" s="2"/>
      <c r="Q2" s="2"/>
      <c r="R2" s="2"/>
      <c r="S2" s="2"/>
    </row>
    <row r="3" spans="1:19">
      <c r="A3" s="85" t="s">
        <v>159</v>
      </c>
      <c r="B3" s="76" t="s">
        <v>152</v>
      </c>
      <c r="C3" s="76" t="s">
        <v>151</v>
      </c>
      <c r="D3" s="76" t="s">
        <v>166</v>
      </c>
      <c r="E3" s="119" t="s">
        <v>168</v>
      </c>
      <c r="F3" s="118"/>
    </row>
    <row r="4" spans="1:19">
      <c r="A4" s="85">
        <v>1</v>
      </c>
      <c r="B4" s="74">
        <v>0</v>
      </c>
      <c r="C4" s="74">
        <v>25</v>
      </c>
      <c r="D4" s="74">
        <v>25</v>
      </c>
      <c r="E4" s="74">
        <f t="shared" ref="E4:E21" si="0">C4+D4</f>
        <v>50</v>
      </c>
      <c r="F4" s="81"/>
    </row>
    <row r="5" spans="1:19">
      <c r="A5" s="85">
        <v>2</v>
      </c>
      <c r="B5" s="74">
        <v>26</v>
      </c>
      <c r="C5" s="74">
        <v>50</v>
      </c>
      <c r="D5" s="74">
        <v>25</v>
      </c>
      <c r="E5" s="74">
        <f t="shared" si="0"/>
        <v>75</v>
      </c>
      <c r="F5" s="81"/>
    </row>
    <row r="6" spans="1:19">
      <c r="A6" s="85">
        <v>3</v>
      </c>
      <c r="B6" s="74">
        <v>51</v>
      </c>
      <c r="C6" s="74">
        <v>75</v>
      </c>
      <c r="D6" s="74">
        <v>25</v>
      </c>
      <c r="E6" s="74">
        <f t="shared" si="0"/>
        <v>100</v>
      </c>
      <c r="F6" s="81"/>
    </row>
    <row r="7" spans="1:19">
      <c r="A7" s="85">
        <v>4</v>
      </c>
      <c r="B7" s="74">
        <v>76</v>
      </c>
      <c r="C7" s="74">
        <v>100</v>
      </c>
      <c r="D7" s="74">
        <v>25</v>
      </c>
      <c r="E7" s="74">
        <f t="shared" si="0"/>
        <v>125</v>
      </c>
      <c r="F7" s="81"/>
    </row>
    <row r="8" spans="1:19">
      <c r="A8" s="85">
        <v>5</v>
      </c>
      <c r="B8" s="74">
        <v>101</v>
      </c>
      <c r="C8" s="74">
        <v>125</v>
      </c>
      <c r="D8" s="74">
        <v>25</v>
      </c>
      <c r="E8" s="74">
        <f t="shared" si="0"/>
        <v>150</v>
      </c>
      <c r="F8" s="81"/>
      <c r="G8" s="97"/>
      <c r="H8" s="97"/>
    </row>
    <row r="9" spans="1:19">
      <c r="A9" s="85">
        <v>6</v>
      </c>
      <c r="B9" s="74">
        <v>126</v>
      </c>
      <c r="C9" s="74">
        <v>150</v>
      </c>
      <c r="D9" s="74">
        <v>25</v>
      </c>
      <c r="E9" s="74">
        <f t="shared" si="0"/>
        <v>175</v>
      </c>
      <c r="F9" s="81"/>
    </row>
    <row r="10" spans="1:19">
      <c r="A10" s="85">
        <v>7</v>
      </c>
      <c r="B10" s="74">
        <v>151</v>
      </c>
      <c r="C10" s="74">
        <v>175</v>
      </c>
      <c r="D10" s="74">
        <v>25</v>
      </c>
      <c r="E10" s="74">
        <f t="shared" si="0"/>
        <v>200</v>
      </c>
      <c r="F10" s="81"/>
    </row>
    <row r="11" spans="1:19">
      <c r="A11" s="85">
        <v>8</v>
      </c>
      <c r="B11" s="74">
        <v>176</v>
      </c>
      <c r="C11" s="74">
        <v>200</v>
      </c>
      <c r="D11" s="74">
        <v>25</v>
      </c>
      <c r="E11" s="74">
        <f t="shared" si="0"/>
        <v>225</v>
      </c>
      <c r="F11" s="81"/>
    </row>
    <row r="12" spans="1:19">
      <c r="A12" s="85">
        <v>9</v>
      </c>
      <c r="B12" s="74">
        <v>201</v>
      </c>
      <c r="C12" s="74">
        <v>225</v>
      </c>
      <c r="D12" s="74">
        <v>25</v>
      </c>
      <c r="E12" s="74">
        <f t="shared" si="0"/>
        <v>250</v>
      </c>
      <c r="F12" s="81"/>
    </row>
    <row r="13" spans="1:19">
      <c r="A13" s="85">
        <v>10</v>
      </c>
      <c r="B13" s="74">
        <v>226</v>
      </c>
      <c r="C13" s="74">
        <v>250</v>
      </c>
      <c r="D13" s="74">
        <v>25</v>
      </c>
      <c r="E13" s="74">
        <f t="shared" si="0"/>
        <v>275</v>
      </c>
      <c r="F13" s="81"/>
    </row>
    <row r="14" spans="1:19">
      <c r="A14" s="85">
        <v>11</v>
      </c>
      <c r="B14" s="74">
        <v>251</v>
      </c>
      <c r="C14" s="74">
        <v>275</v>
      </c>
      <c r="D14" s="74">
        <v>25</v>
      </c>
      <c r="E14" s="74">
        <f t="shared" si="0"/>
        <v>300</v>
      </c>
      <c r="F14" s="81"/>
    </row>
    <row r="15" spans="1:19">
      <c r="A15" s="85">
        <v>12</v>
      </c>
      <c r="B15" s="74">
        <v>276</v>
      </c>
      <c r="C15" s="74">
        <v>300</v>
      </c>
      <c r="D15" s="74">
        <v>25</v>
      </c>
      <c r="E15" s="74">
        <f>C15+D15</f>
        <v>325</v>
      </c>
      <c r="F15" s="81"/>
    </row>
    <row r="16" spans="1:19">
      <c r="A16" s="85">
        <v>13</v>
      </c>
      <c r="B16" s="74">
        <v>301</v>
      </c>
      <c r="C16" s="74">
        <v>325</v>
      </c>
      <c r="D16" s="74">
        <v>25</v>
      </c>
      <c r="E16" s="74">
        <f t="shared" si="0"/>
        <v>350</v>
      </c>
      <c r="F16" s="81"/>
    </row>
    <row r="17" spans="1:12">
      <c r="A17" s="85">
        <v>14</v>
      </c>
      <c r="B17" s="74">
        <v>326</v>
      </c>
      <c r="C17" s="74">
        <v>350</v>
      </c>
      <c r="D17" s="74">
        <v>25</v>
      </c>
      <c r="E17" s="74">
        <f t="shared" si="0"/>
        <v>375</v>
      </c>
      <c r="F17" s="81"/>
    </row>
    <row r="18" spans="1:12">
      <c r="A18" s="85">
        <v>15</v>
      </c>
      <c r="B18" s="74">
        <v>351</v>
      </c>
      <c r="C18" s="74">
        <v>375</v>
      </c>
      <c r="D18" s="74">
        <v>25</v>
      </c>
      <c r="E18" s="74">
        <f t="shared" si="0"/>
        <v>400</v>
      </c>
      <c r="F18" s="81"/>
    </row>
    <row r="19" spans="1:12">
      <c r="A19" s="85">
        <v>16</v>
      </c>
      <c r="B19" s="74">
        <v>376</v>
      </c>
      <c r="C19" s="74">
        <v>400</v>
      </c>
      <c r="D19" s="74">
        <v>25</v>
      </c>
      <c r="E19" s="74">
        <f t="shared" si="0"/>
        <v>425</v>
      </c>
      <c r="F19" s="81"/>
    </row>
    <row r="20" spans="1:12">
      <c r="A20" s="85">
        <v>17</v>
      </c>
      <c r="B20" s="74">
        <v>401</v>
      </c>
      <c r="C20" s="74">
        <v>425</v>
      </c>
      <c r="D20" s="74">
        <v>25</v>
      </c>
      <c r="E20" s="74">
        <f t="shared" si="0"/>
        <v>450</v>
      </c>
      <c r="F20" s="81"/>
    </row>
    <row r="21" spans="1:12">
      <c r="A21" s="85">
        <v>18</v>
      </c>
      <c r="B21" s="74">
        <v>426</v>
      </c>
      <c r="C21" s="74">
        <v>450</v>
      </c>
      <c r="D21" s="74">
        <v>25</v>
      </c>
      <c r="E21" s="74">
        <f t="shared" si="0"/>
        <v>475</v>
      </c>
      <c r="F21" s="81"/>
    </row>
    <row r="22" spans="1:12">
      <c r="H22" s="30"/>
    </row>
    <row r="23" spans="1:12">
      <c r="H23" s="30"/>
    </row>
    <row r="24" spans="1:12">
      <c r="I24" s="2"/>
      <c r="J24"/>
      <c r="K24" s="53"/>
      <c r="L24"/>
    </row>
    <row r="25" spans="1:12">
      <c r="A25" s="305" t="s">
        <v>311</v>
      </c>
      <c r="B25" s="306">
        <f>120</f>
        <v>120</v>
      </c>
      <c r="I25" s="2"/>
      <c r="J25"/>
      <c r="K25" s="53"/>
      <c r="L25"/>
    </row>
    <row r="26" spans="1:12">
      <c r="A26" s="305" t="s">
        <v>161</v>
      </c>
      <c r="B26" s="304">
        <v>0.87</v>
      </c>
      <c r="G26" s="2"/>
      <c r="I26" s="2"/>
      <c r="J26"/>
      <c r="K26" s="53"/>
      <c r="L26"/>
    </row>
    <row r="27" spans="1:12">
      <c r="A27" s="73" t="s">
        <v>334</v>
      </c>
      <c r="B27" s="74">
        <f>B25*B26</f>
        <v>104.4</v>
      </c>
      <c r="G27" s="2"/>
      <c r="I27" s="2"/>
      <c r="J27"/>
      <c r="K27" s="53"/>
      <c r="L27"/>
    </row>
    <row r="28" spans="1:12">
      <c r="A28" s="117" t="s">
        <v>333</v>
      </c>
      <c r="B28" s="74">
        <v>2</v>
      </c>
      <c r="I28" s="2"/>
      <c r="J28"/>
      <c r="K28" s="53"/>
      <c r="L28"/>
    </row>
    <row r="29" spans="1:12">
      <c r="I29" s="2"/>
      <c r="J29"/>
      <c r="K29" s="53"/>
      <c r="L29"/>
    </row>
    <row r="30" spans="1:12" ht="18">
      <c r="A30" s="141" t="s">
        <v>425</v>
      </c>
      <c r="H30" s="2"/>
      <c r="J30" s="53"/>
      <c r="L30"/>
    </row>
    <row r="31" spans="1:12">
      <c r="A31" s="340" t="s">
        <v>159</v>
      </c>
      <c r="B31" s="340" t="s">
        <v>306</v>
      </c>
      <c r="C31" s="340" t="s">
        <v>307</v>
      </c>
      <c r="D31" s="340" t="s">
        <v>287</v>
      </c>
      <c r="E31" s="340" t="s">
        <v>184</v>
      </c>
      <c r="F31" s="340" t="s">
        <v>190</v>
      </c>
      <c r="G31" s="340" t="s">
        <v>312</v>
      </c>
      <c r="H31" s="341" t="s">
        <v>185</v>
      </c>
      <c r="I31" s="340" t="s">
        <v>172</v>
      </c>
      <c r="J31" s="342" t="s">
        <v>309</v>
      </c>
      <c r="K31" s="340" t="s">
        <v>163</v>
      </c>
      <c r="L31" s="340" t="s">
        <v>310</v>
      </c>
    </row>
    <row r="32" spans="1:12">
      <c r="A32" s="33">
        <v>1</v>
      </c>
      <c r="B32" s="33" t="s">
        <v>155</v>
      </c>
      <c r="C32" s="33" t="s">
        <v>228</v>
      </c>
      <c r="D32" s="33">
        <v>17</v>
      </c>
      <c r="E32" s="33">
        <f>D32*$B$28</f>
        <v>34</v>
      </c>
      <c r="F32" s="34">
        <f>D32/$D$4</f>
        <v>0.68</v>
      </c>
      <c r="G32" s="36">
        <f>'V5  Ark 2, beregning hastighet'!E7</f>
        <v>45.333333333333343</v>
      </c>
      <c r="H32" s="36">
        <f>'V5  Ark 2, beregning hastighet'!F7</f>
        <v>0</v>
      </c>
      <c r="I32" s="151">
        <v>25647</v>
      </c>
      <c r="J32" s="151">
        <v>529</v>
      </c>
      <c r="K32" s="36">
        <f>I32/J32</f>
        <v>48.482041587901705</v>
      </c>
      <c r="L32" s="34">
        <f>K32/$B$25</f>
        <v>0.40401701323251421</v>
      </c>
    </row>
    <row r="33" spans="1:21">
      <c r="A33" s="33">
        <v>1</v>
      </c>
      <c r="B33" s="33" t="s">
        <v>155</v>
      </c>
      <c r="C33" s="33" t="s">
        <v>308</v>
      </c>
      <c r="D33" s="33">
        <v>19</v>
      </c>
      <c r="E33" s="33">
        <f>D33*$B$28</f>
        <v>38</v>
      </c>
      <c r="F33" s="34">
        <f>D33/$D$4</f>
        <v>0.76</v>
      </c>
      <c r="G33" s="36">
        <f>'V5  Ark 2, beregning hastighet'!E8</f>
        <v>36.480000000000004</v>
      </c>
      <c r="H33" s="36">
        <f>'V5  Ark 2, beregning hastighet'!F8</f>
        <v>0</v>
      </c>
      <c r="I33" s="151">
        <v>1698</v>
      </c>
      <c r="J33" s="151">
        <v>67</v>
      </c>
      <c r="K33" s="36">
        <f>I33/J33</f>
        <v>25.343283582089551</v>
      </c>
      <c r="L33" s="34">
        <f>K33/$B$25</f>
        <v>0.21119402985074626</v>
      </c>
      <c r="N33" s="32"/>
    </row>
    <row r="34" spans="1:21">
      <c r="A34" s="33">
        <v>1</v>
      </c>
      <c r="B34" s="33" t="s">
        <v>155</v>
      </c>
      <c r="C34" s="33" t="s">
        <v>155</v>
      </c>
      <c r="D34" s="33">
        <v>22</v>
      </c>
      <c r="E34" s="33">
        <f>D34*$B$28</f>
        <v>44</v>
      </c>
      <c r="F34" s="34">
        <f>D34/$D$4</f>
        <v>0.88</v>
      </c>
      <c r="G34" s="36">
        <f>'V5  Ark 2, beregning hastighet'!E9</f>
        <v>52.800000000000004</v>
      </c>
      <c r="H34" s="36">
        <f>'V5  Ark 2, beregning hastighet'!F9</f>
        <v>0</v>
      </c>
      <c r="I34" s="151">
        <v>8116</v>
      </c>
      <c r="J34" s="151">
        <v>179</v>
      </c>
      <c r="K34" s="36">
        <f>I34/J34</f>
        <v>45.340782122905026</v>
      </c>
      <c r="L34" s="34">
        <f>K34/$B$25</f>
        <v>0.37783985102420853</v>
      </c>
    </row>
    <row r="35" spans="1:21">
      <c r="A35" s="33" t="s">
        <v>313</v>
      </c>
      <c r="B35" s="37"/>
      <c r="C35" s="37"/>
      <c r="D35" s="37"/>
      <c r="E35" s="37"/>
      <c r="F35" s="152">
        <f>AVERAGE(F32:F34)</f>
        <v>0.77333333333333332</v>
      </c>
      <c r="G35" s="39">
        <f>AVERAGE(G32:G34)</f>
        <v>44.871111111111112</v>
      </c>
      <c r="H35" s="39">
        <f>AVERAGE(H32:H34)</f>
        <v>0</v>
      </c>
      <c r="I35" s="153"/>
      <c r="J35" s="153"/>
      <c r="K35" s="39">
        <f>AVERAGE(K32:K34)</f>
        <v>39.722035764298759</v>
      </c>
      <c r="L35" s="38">
        <f>AVERAGE(L32:L34)</f>
        <v>0.33101696470248965</v>
      </c>
    </row>
    <row r="36" spans="1:21">
      <c r="A36" s="33">
        <v>2</v>
      </c>
      <c r="B36" s="33" t="s">
        <v>155</v>
      </c>
      <c r="C36" s="33" t="s">
        <v>290</v>
      </c>
      <c r="D36" s="33">
        <v>27</v>
      </c>
      <c r="E36" s="33">
        <f t="shared" ref="E36:E43" si="1">D36*$B$28</f>
        <v>54</v>
      </c>
      <c r="F36" s="34">
        <f t="shared" ref="F36:F44" si="2">(D36-$B$5)/$D$5</f>
        <v>0.04</v>
      </c>
      <c r="G36" s="36">
        <f>'V5  Ark 2, beregning hastighet'!E11</f>
        <v>51.84</v>
      </c>
      <c r="H36" s="36">
        <f>'V5  Ark 2, beregning hastighet'!F11</f>
        <v>0</v>
      </c>
      <c r="I36" s="154">
        <v>8766</v>
      </c>
      <c r="J36" s="151">
        <v>132</v>
      </c>
      <c r="K36" s="36">
        <f t="shared" ref="K36" si="3">I36/J36</f>
        <v>66.409090909090907</v>
      </c>
      <c r="L36" s="34">
        <f t="shared" ref="L36:L44" si="4">K36/$B$25</f>
        <v>0.55340909090909085</v>
      </c>
    </row>
    <row r="37" spans="1:21">
      <c r="A37" s="33">
        <v>2</v>
      </c>
      <c r="B37" s="33" t="s">
        <v>155</v>
      </c>
      <c r="C37" s="33" t="s">
        <v>226</v>
      </c>
      <c r="D37" s="33">
        <v>27</v>
      </c>
      <c r="E37" s="33">
        <f t="shared" si="1"/>
        <v>54</v>
      </c>
      <c r="F37" s="34">
        <f t="shared" si="2"/>
        <v>0.04</v>
      </c>
      <c r="G37" s="36">
        <f>'V5  Ark 2, beregning hastighet'!E12</f>
        <v>54</v>
      </c>
      <c r="H37" s="36">
        <f>'V5  Ark 2, beregning hastighet'!F12</f>
        <v>0</v>
      </c>
      <c r="I37" s="151">
        <v>28418</v>
      </c>
      <c r="J37" s="151">
        <v>661</v>
      </c>
      <c r="K37" s="36">
        <f t="shared" ref="K37:K43" si="5">I37/J37</f>
        <v>42.992435703479579</v>
      </c>
      <c r="L37" s="34">
        <f t="shared" si="4"/>
        <v>0.35827029752899647</v>
      </c>
    </row>
    <row r="38" spans="1:21">
      <c r="A38" s="33">
        <v>2</v>
      </c>
      <c r="B38" s="33" t="s">
        <v>155</v>
      </c>
      <c r="C38" s="33" t="s">
        <v>200</v>
      </c>
      <c r="D38" s="33">
        <v>27</v>
      </c>
      <c r="E38" s="33">
        <f t="shared" si="1"/>
        <v>54</v>
      </c>
      <c r="F38" s="34">
        <f t="shared" si="2"/>
        <v>0.04</v>
      </c>
      <c r="G38" s="36">
        <f>'V5  Ark 2, beregning hastighet'!E13</f>
        <v>15.428571428571431</v>
      </c>
      <c r="H38" s="36">
        <f>'V5  Ark 2, beregning hastighet'!F13</f>
        <v>0</v>
      </c>
      <c r="I38" s="151">
        <v>84</v>
      </c>
      <c r="J38" s="151">
        <v>8</v>
      </c>
      <c r="K38" s="36">
        <f t="shared" si="5"/>
        <v>10.5</v>
      </c>
      <c r="L38" s="34">
        <f t="shared" si="4"/>
        <v>8.7499999999999994E-2</v>
      </c>
      <c r="P38" s="97"/>
      <c r="Q38" s="97"/>
      <c r="R38" s="97"/>
      <c r="S38" s="98"/>
      <c r="T38" s="98"/>
      <c r="U38" s="98"/>
    </row>
    <row r="39" spans="1:21">
      <c r="A39" s="33">
        <v>2</v>
      </c>
      <c r="B39" s="33" t="s">
        <v>155</v>
      </c>
      <c r="C39" s="33" t="s">
        <v>316</v>
      </c>
      <c r="D39" s="33">
        <v>35</v>
      </c>
      <c r="E39" s="33">
        <f t="shared" si="1"/>
        <v>70</v>
      </c>
      <c r="F39" s="34">
        <f t="shared" si="2"/>
        <v>0.36</v>
      </c>
      <c r="G39" s="36">
        <f>'V5  Ark 2, beregning hastighet'!E14</f>
        <v>19.310344827586206</v>
      </c>
      <c r="H39" s="36">
        <f>'V5  Ark 2, beregning hastighet'!F14</f>
        <v>0</v>
      </c>
      <c r="I39" s="151">
        <v>6371</v>
      </c>
      <c r="J39" s="151">
        <v>107</v>
      </c>
      <c r="K39" s="36">
        <f t="shared" si="5"/>
        <v>59.542056074766357</v>
      </c>
      <c r="L39" s="34">
        <f t="shared" si="4"/>
        <v>0.49618380062305295</v>
      </c>
      <c r="P39" s="97"/>
      <c r="Q39" s="97"/>
      <c r="R39" s="97"/>
      <c r="S39" s="98"/>
      <c r="T39" s="98"/>
      <c r="U39" s="98"/>
    </row>
    <row r="40" spans="1:21">
      <c r="A40" s="33">
        <v>2</v>
      </c>
      <c r="B40" s="33" t="s">
        <v>155</v>
      </c>
      <c r="C40" s="33" t="s">
        <v>289</v>
      </c>
      <c r="D40" s="33">
        <v>36</v>
      </c>
      <c r="E40" s="33">
        <f t="shared" si="1"/>
        <v>72</v>
      </c>
      <c r="F40" s="34">
        <f t="shared" si="2"/>
        <v>0.4</v>
      </c>
      <c r="G40" s="36">
        <f>'V5  Ark 2, beregning hastighet'!E15</f>
        <v>18</v>
      </c>
      <c r="H40" s="36">
        <f>'V5  Ark 2, beregning hastighet'!F15</f>
        <v>0</v>
      </c>
      <c r="I40" s="154">
        <v>454</v>
      </c>
      <c r="J40" s="151">
        <v>39</v>
      </c>
      <c r="K40" s="36">
        <f t="shared" si="5"/>
        <v>11.641025641025641</v>
      </c>
      <c r="L40" s="34">
        <f t="shared" si="4"/>
        <v>9.7008547008547011E-2</v>
      </c>
      <c r="P40" s="97"/>
      <c r="Q40" s="97"/>
      <c r="R40" s="97"/>
      <c r="S40" s="98"/>
      <c r="T40" s="98"/>
      <c r="U40" s="98"/>
    </row>
    <row r="41" spans="1:21">
      <c r="A41" s="33">
        <v>2</v>
      </c>
      <c r="B41" s="33" t="s">
        <v>155</v>
      </c>
      <c r="C41" s="33" t="s">
        <v>291</v>
      </c>
      <c r="D41" s="33">
        <v>39</v>
      </c>
      <c r="E41" s="33">
        <f t="shared" si="1"/>
        <v>78</v>
      </c>
      <c r="F41" s="34">
        <f t="shared" si="2"/>
        <v>0.52</v>
      </c>
      <c r="G41" s="36">
        <f>'V5  Ark 2, beregning hastighet'!E16</f>
        <v>56.727272727272727</v>
      </c>
      <c r="H41" s="36">
        <f>'V5  Ark 2, beregning hastighet'!F16</f>
        <v>0</v>
      </c>
      <c r="I41" s="154">
        <v>9483</v>
      </c>
      <c r="J41" s="151">
        <v>219</v>
      </c>
      <c r="K41" s="36">
        <f t="shared" si="5"/>
        <v>43.301369863013697</v>
      </c>
      <c r="L41" s="34">
        <f t="shared" si="4"/>
        <v>0.36084474885844747</v>
      </c>
      <c r="P41" s="97"/>
      <c r="Q41" s="97"/>
      <c r="R41" s="97"/>
      <c r="S41" s="98"/>
      <c r="T41" s="98"/>
      <c r="U41" s="98"/>
    </row>
    <row r="42" spans="1:21">
      <c r="A42" s="33">
        <v>2</v>
      </c>
      <c r="B42" s="33" t="s">
        <v>155</v>
      </c>
      <c r="C42" s="33" t="s">
        <v>227</v>
      </c>
      <c r="D42" s="33">
        <v>41</v>
      </c>
      <c r="E42" s="33">
        <f t="shared" si="1"/>
        <v>82</v>
      </c>
      <c r="F42" s="34">
        <f t="shared" si="2"/>
        <v>0.6</v>
      </c>
      <c r="G42" s="36">
        <f>'V5  Ark 2, beregning hastighet'!E17</f>
        <v>53.189189189189193</v>
      </c>
      <c r="H42" s="36">
        <f>'V5  Ark 2, beregning hastighet'!F17</f>
        <v>0</v>
      </c>
      <c r="I42" s="151">
        <v>485</v>
      </c>
      <c r="J42" s="151">
        <v>7</v>
      </c>
      <c r="K42" s="36">
        <f t="shared" si="5"/>
        <v>69.285714285714292</v>
      </c>
      <c r="L42" s="34">
        <f t="shared" si="4"/>
        <v>0.57738095238095244</v>
      </c>
      <c r="P42" s="97"/>
      <c r="Q42" s="97"/>
      <c r="R42" s="97"/>
      <c r="S42" s="98"/>
      <c r="T42" s="98"/>
      <c r="U42" s="98"/>
    </row>
    <row r="43" spans="1:21">
      <c r="A43" s="33">
        <v>2</v>
      </c>
      <c r="B43" s="33" t="s">
        <v>155</v>
      </c>
      <c r="C43" s="33" t="s">
        <v>202</v>
      </c>
      <c r="D43" s="33">
        <v>42</v>
      </c>
      <c r="E43" s="33">
        <f t="shared" si="1"/>
        <v>84</v>
      </c>
      <c r="F43" s="34">
        <f t="shared" si="2"/>
        <v>0.64</v>
      </c>
      <c r="G43" s="36">
        <f>'V5  Ark 2, beregning hastighet'!E18</f>
        <v>21.446808510638299</v>
      </c>
      <c r="H43" s="36">
        <f>'V5  Ark 2, beregning hastighet'!F18</f>
        <v>0</v>
      </c>
      <c r="I43" s="154">
        <v>406</v>
      </c>
      <c r="J43" s="151">
        <v>24</v>
      </c>
      <c r="K43" s="36">
        <f t="shared" si="5"/>
        <v>16.916666666666668</v>
      </c>
      <c r="L43" s="34">
        <f t="shared" si="4"/>
        <v>0.14097222222222222</v>
      </c>
      <c r="P43" s="97"/>
      <c r="Q43" s="97"/>
      <c r="R43" s="97"/>
      <c r="S43" s="98"/>
      <c r="T43" s="98"/>
      <c r="U43" s="98"/>
    </row>
    <row r="44" spans="1:21">
      <c r="A44" s="35">
        <v>2</v>
      </c>
      <c r="B44" s="35" t="s">
        <v>155</v>
      </c>
      <c r="C44" s="35" t="s">
        <v>201</v>
      </c>
      <c r="D44">
        <f>'V5  Ark 2, beregning hastighet'!C19</f>
        <v>50</v>
      </c>
      <c r="E44" s="35">
        <f>D44*B28</f>
        <v>100</v>
      </c>
      <c r="F44" s="34">
        <f t="shared" si="2"/>
        <v>0.96</v>
      </c>
      <c r="G44" s="36">
        <f>'V5  Ark 2, beregning hastighet'!E19</f>
        <v>22.857142857142861</v>
      </c>
      <c r="H44" s="36">
        <f>'V5  Ark 2, beregning hastighet'!F19</f>
        <v>0</v>
      </c>
      <c r="I44" s="175">
        <v>232</v>
      </c>
      <c r="J44" s="2">
        <v>16</v>
      </c>
      <c r="K44" s="52">
        <f>I44/J44</f>
        <v>14.5</v>
      </c>
      <c r="L44" s="30">
        <f t="shared" si="4"/>
        <v>0.12083333333333333</v>
      </c>
      <c r="P44" s="97"/>
      <c r="Q44" s="97"/>
      <c r="R44" s="97"/>
      <c r="S44" s="98"/>
      <c r="T44" s="98"/>
      <c r="U44" s="98"/>
    </row>
    <row r="45" spans="1:21">
      <c r="A45" s="33" t="s">
        <v>313</v>
      </c>
      <c r="B45" s="37"/>
      <c r="C45" s="37"/>
      <c r="D45" s="37"/>
      <c r="E45" s="37">
        <f>AVERAGE(E36:E44)</f>
        <v>72</v>
      </c>
      <c r="F45" s="152">
        <f>AVERAGE(F36:F43)</f>
        <v>0.33</v>
      </c>
      <c r="G45" s="39">
        <f>AVERAGE(G36:G44)</f>
        <v>34.755481060044517</v>
      </c>
      <c r="H45" s="39">
        <f>AVERAGE(H36:H43)</f>
        <v>0</v>
      </c>
      <c r="I45" s="153"/>
      <c r="J45" s="153"/>
      <c r="K45" s="39">
        <f>AVERAGE(K36:K43)</f>
        <v>40.073544892969643</v>
      </c>
      <c r="L45" s="38">
        <f>AVERAGE(L36:L43)</f>
        <v>0.33394620744141368</v>
      </c>
      <c r="P45" s="97"/>
      <c r="Q45" s="97"/>
      <c r="R45" s="97"/>
      <c r="S45" s="98"/>
      <c r="T45" s="98"/>
      <c r="U45" s="98"/>
    </row>
    <row r="46" spans="1:21">
      <c r="A46" s="33">
        <v>3</v>
      </c>
      <c r="B46" s="33" t="s">
        <v>155</v>
      </c>
      <c r="C46" s="33" t="s">
        <v>314</v>
      </c>
      <c r="D46" s="33">
        <v>51</v>
      </c>
      <c r="E46" s="33">
        <f t="shared" ref="E46:E61" si="6">D46*$B$28</f>
        <v>102</v>
      </c>
      <c r="F46" s="34">
        <f t="shared" ref="F46:F61" si="7">(D46-$B$6)/$D$6</f>
        <v>0</v>
      </c>
      <c r="G46" s="36">
        <f>'V5  Ark 2, beregning hastighet'!E21</f>
        <v>27.81818181818182</v>
      </c>
      <c r="H46" s="36">
        <f>'V5  Ark 2, beregning hastighet'!F21</f>
        <v>0</v>
      </c>
      <c r="I46" s="151">
        <v>2945</v>
      </c>
      <c r="J46" s="151">
        <v>97</v>
      </c>
      <c r="K46" s="36">
        <f t="shared" ref="K46" si="8">I46/J46</f>
        <v>30.36082474226804</v>
      </c>
      <c r="L46" s="34">
        <f t="shared" ref="L46:L61" si="9">K46/$B$25</f>
        <v>0.25300687285223367</v>
      </c>
      <c r="P46" s="97"/>
      <c r="Q46" s="97"/>
      <c r="R46" s="97"/>
      <c r="S46" s="98"/>
      <c r="T46" s="98"/>
      <c r="U46" s="98"/>
    </row>
    <row r="47" spans="1:21">
      <c r="A47" s="33">
        <v>3</v>
      </c>
      <c r="B47" s="33" t="s">
        <v>155</v>
      </c>
      <c r="C47" s="33" t="s">
        <v>193</v>
      </c>
      <c r="D47" s="33">
        <v>52</v>
      </c>
      <c r="E47" s="33">
        <f t="shared" si="6"/>
        <v>104</v>
      </c>
      <c r="F47" s="34">
        <f t="shared" si="7"/>
        <v>0.04</v>
      </c>
      <c r="G47" s="36">
        <f>'V5  Ark 2, beregning hastighet'!E22</f>
        <v>22.899082568807341</v>
      </c>
      <c r="H47" s="36">
        <f>'V5  Ark 2, beregning hastighet'!F22</f>
        <v>0</v>
      </c>
      <c r="I47" s="151">
        <v>5835</v>
      </c>
      <c r="J47" s="151">
        <v>111</v>
      </c>
      <c r="K47" s="36">
        <f t="shared" ref="K47:K61" si="10">I47/J47</f>
        <v>52.567567567567565</v>
      </c>
      <c r="L47" s="34">
        <f t="shared" si="9"/>
        <v>0.43806306306306303</v>
      </c>
    </row>
    <row r="48" spans="1:21">
      <c r="A48" s="33">
        <v>3</v>
      </c>
      <c r="B48" s="33" t="s">
        <v>155</v>
      </c>
      <c r="C48" s="33" t="s">
        <v>194</v>
      </c>
      <c r="D48" s="33">
        <v>53</v>
      </c>
      <c r="E48" s="33">
        <f t="shared" si="6"/>
        <v>106</v>
      </c>
      <c r="F48" s="34">
        <f t="shared" si="7"/>
        <v>0.08</v>
      </c>
      <c r="G48" s="36">
        <f>'V5  Ark 2, beregning hastighet'!E23</f>
        <v>24.228571428571428</v>
      </c>
      <c r="H48" s="36">
        <f>'V5  Ark 2, beregning hastighet'!F23</f>
        <v>0</v>
      </c>
      <c r="I48" s="151">
        <v>923</v>
      </c>
      <c r="J48" s="151">
        <v>28</v>
      </c>
      <c r="K48" s="36">
        <f t="shared" si="10"/>
        <v>32.964285714285715</v>
      </c>
      <c r="L48" s="34">
        <f t="shared" si="9"/>
        <v>0.27470238095238098</v>
      </c>
    </row>
    <row r="49" spans="1:14">
      <c r="A49" s="33">
        <v>3</v>
      </c>
      <c r="B49" s="33" t="s">
        <v>155</v>
      </c>
      <c r="C49" s="33" t="s">
        <v>197</v>
      </c>
      <c r="D49" s="33">
        <v>58</v>
      </c>
      <c r="E49" s="33">
        <f t="shared" si="6"/>
        <v>116</v>
      </c>
      <c r="F49" s="34">
        <f t="shared" si="7"/>
        <v>0.28000000000000003</v>
      </c>
      <c r="G49" s="36">
        <f>'V5  Ark 2, beregning hastighet'!E24</f>
        <v>24.421052631578949</v>
      </c>
      <c r="H49" s="36">
        <f>'V5  Ark 2, beregning hastighet'!F24</f>
        <v>0</v>
      </c>
      <c r="I49" s="151">
        <v>4109</v>
      </c>
      <c r="J49" s="151">
        <v>59</v>
      </c>
      <c r="K49" s="36">
        <f t="shared" si="10"/>
        <v>69.644067796610173</v>
      </c>
      <c r="L49" s="34">
        <f t="shared" si="9"/>
        <v>0.58036723163841808</v>
      </c>
    </row>
    <row r="50" spans="1:14">
      <c r="A50" s="33">
        <v>3</v>
      </c>
      <c r="B50" s="33" t="s">
        <v>155</v>
      </c>
      <c r="C50" s="33" t="s">
        <v>293</v>
      </c>
      <c r="D50" s="33">
        <v>59</v>
      </c>
      <c r="E50" s="33">
        <f t="shared" si="6"/>
        <v>118</v>
      </c>
      <c r="F50" s="34">
        <f t="shared" si="7"/>
        <v>0.32</v>
      </c>
      <c r="G50" s="36">
        <f>'V5  Ark 2, beregning hastighet'!E25</f>
        <v>24.205128205128204</v>
      </c>
      <c r="H50" s="36">
        <f>'V5  Ark 2, beregning hastighet'!F25</f>
        <v>0</v>
      </c>
      <c r="I50" s="151">
        <v>3424</v>
      </c>
      <c r="J50" s="151">
        <v>74</v>
      </c>
      <c r="K50" s="36">
        <f t="shared" si="10"/>
        <v>46.270270270270274</v>
      </c>
      <c r="L50" s="34">
        <f t="shared" si="9"/>
        <v>0.38558558558558559</v>
      </c>
    </row>
    <row r="51" spans="1:14">
      <c r="A51" s="33">
        <v>3</v>
      </c>
      <c r="B51" s="33" t="s">
        <v>155</v>
      </c>
      <c r="C51" s="33" t="s">
        <v>209</v>
      </c>
      <c r="D51" s="33">
        <v>59</v>
      </c>
      <c r="E51" s="33">
        <f t="shared" si="6"/>
        <v>118</v>
      </c>
      <c r="F51" s="34">
        <f t="shared" si="7"/>
        <v>0.32</v>
      </c>
      <c r="G51" s="36">
        <f>'V5  Ark 2, beregning hastighet'!E26</f>
        <v>59</v>
      </c>
      <c r="H51" s="36">
        <f>'V5  Ark 2, beregning hastighet'!F26</f>
        <v>0</v>
      </c>
      <c r="I51" s="151">
        <v>20</v>
      </c>
      <c r="J51" s="151">
        <v>2</v>
      </c>
      <c r="K51" s="36">
        <f t="shared" si="10"/>
        <v>10</v>
      </c>
      <c r="L51" s="34">
        <f t="shared" si="9"/>
        <v>8.3333333333333329E-2</v>
      </c>
    </row>
    <row r="52" spans="1:14">
      <c r="A52" s="33">
        <v>3</v>
      </c>
      <c r="B52" s="33" t="s">
        <v>155</v>
      </c>
      <c r="C52" s="33" t="s">
        <v>232</v>
      </c>
      <c r="D52" s="33">
        <v>61</v>
      </c>
      <c r="E52" s="33">
        <f t="shared" si="6"/>
        <v>122</v>
      </c>
      <c r="F52" s="34">
        <f t="shared" si="7"/>
        <v>0.4</v>
      </c>
      <c r="G52" s="36">
        <f>'V5  Ark 2, beregning hastighet'!E27</f>
        <v>47.225806451612897</v>
      </c>
      <c r="H52" s="36">
        <f>'V5  Ark 2, beregning hastighet'!F27</f>
        <v>0</v>
      </c>
      <c r="I52" s="151">
        <v>2214</v>
      </c>
      <c r="J52" s="151">
        <v>35</v>
      </c>
      <c r="K52" s="36">
        <f t="shared" si="10"/>
        <v>63.25714285714286</v>
      </c>
      <c r="L52" s="34">
        <f t="shared" si="9"/>
        <v>0.52714285714285714</v>
      </c>
    </row>
    <row r="53" spans="1:14">
      <c r="A53" s="33">
        <v>3</v>
      </c>
      <c r="B53" s="33" t="s">
        <v>155</v>
      </c>
      <c r="C53" s="33" t="s">
        <v>229</v>
      </c>
      <c r="D53" s="33">
        <v>64</v>
      </c>
      <c r="E53" s="33">
        <f t="shared" si="6"/>
        <v>128</v>
      </c>
      <c r="F53" s="34">
        <f t="shared" si="7"/>
        <v>0.52</v>
      </c>
      <c r="G53" s="36">
        <f>'V5  Ark 2, beregning hastighet'!E28</f>
        <v>64</v>
      </c>
      <c r="H53" s="36">
        <f>'V5  Ark 2, beregning hastighet'!F28</f>
        <v>0</v>
      </c>
      <c r="I53" s="151">
        <v>292</v>
      </c>
      <c r="J53" s="151">
        <v>8</v>
      </c>
      <c r="K53" s="36">
        <f t="shared" si="10"/>
        <v>36.5</v>
      </c>
      <c r="L53" s="34">
        <f t="shared" si="9"/>
        <v>0.30416666666666664</v>
      </c>
    </row>
    <row r="54" spans="1:14">
      <c r="A54" s="33">
        <v>3</v>
      </c>
      <c r="B54" s="33" t="s">
        <v>155</v>
      </c>
      <c r="C54" s="33" t="s">
        <v>198</v>
      </c>
      <c r="D54" s="33">
        <v>65</v>
      </c>
      <c r="E54" s="33">
        <f t="shared" si="6"/>
        <v>130</v>
      </c>
      <c r="F54" s="34">
        <f t="shared" si="7"/>
        <v>0.56000000000000005</v>
      </c>
      <c r="G54" s="36">
        <f>'V5  Ark 2, beregning hastighet'!E29</f>
        <v>27.130434782608695</v>
      </c>
      <c r="H54" s="36">
        <f>'V5  Ark 2, beregning hastighet'!F29</f>
        <v>0</v>
      </c>
      <c r="I54" s="151">
        <v>2006</v>
      </c>
      <c r="J54" s="151">
        <v>39</v>
      </c>
      <c r="K54" s="36">
        <f t="shared" si="10"/>
        <v>51.435897435897438</v>
      </c>
      <c r="L54" s="34">
        <f t="shared" si="9"/>
        <v>0.42863247863247866</v>
      </c>
    </row>
    <row r="55" spans="1:14">
      <c r="A55" s="33">
        <v>3</v>
      </c>
      <c r="B55" s="33" t="s">
        <v>155</v>
      </c>
      <c r="C55" s="33" t="s">
        <v>221</v>
      </c>
      <c r="D55" s="33">
        <v>65</v>
      </c>
      <c r="E55" s="33">
        <f t="shared" si="6"/>
        <v>130</v>
      </c>
      <c r="F55" s="34">
        <f t="shared" si="7"/>
        <v>0.56000000000000005</v>
      </c>
      <c r="G55" s="36">
        <f>'V5  Ark 2, beregning hastighet'!E30</f>
        <v>62.400000000000006</v>
      </c>
      <c r="H55" s="36">
        <f>'V5  Ark 2, beregning hastighet'!F30</f>
        <v>0</v>
      </c>
      <c r="I55" s="151">
        <v>2</v>
      </c>
      <c r="J55" s="151">
        <v>1</v>
      </c>
      <c r="K55" s="36">
        <f t="shared" si="10"/>
        <v>2</v>
      </c>
      <c r="L55" s="34">
        <f t="shared" si="9"/>
        <v>1.6666666666666666E-2</v>
      </c>
    </row>
    <row r="56" spans="1:14">
      <c r="A56" s="33">
        <v>3</v>
      </c>
      <c r="B56" s="33" t="s">
        <v>155</v>
      </c>
      <c r="C56" s="33" t="s">
        <v>223</v>
      </c>
      <c r="D56" s="33">
        <v>65</v>
      </c>
      <c r="E56" s="33">
        <f t="shared" si="6"/>
        <v>130</v>
      </c>
      <c r="F56" s="34">
        <f t="shared" si="7"/>
        <v>0.56000000000000005</v>
      </c>
      <c r="G56" s="36">
        <f>'V5  Ark 2, beregning hastighet'!E31</f>
        <v>43.943661971830984</v>
      </c>
      <c r="H56" s="36">
        <f>'V5  Ark 2, beregning hastighet'!F31</f>
        <v>0</v>
      </c>
      <c r="I56" s="151">
        <v>267</v>
      </c>
      <c r="J56" s="151">
        <v>17</v>
      </c>
      <c r="K56" s="36">
        <f t="shared" si="10"/>
        <v>15.705882352941176</v>
      </c>
      <c r="L56" s="34">
        <f t="shared" si="9"/>
        <v>0.13088235294117648</v>
      </c>
    </row>
    <row r="57" spans="1:14">
      <c r="A57" s="33">
        <v>3</v>
      </c>
      <c r="B57" s="33" t="s">
        <v>155</v>
      </c>
      <c r="C57" s="33" t="s">
        <v>318</v>
      </c>
      <c r="D57" s="33">
        <v>70</v>
      </c>
      <c r="E57" s="33">
        <f t="shared" si="6"/>
        <v>140</v>
      </c>
      <c r="F57" s="34">
        <f t="shared" si="7"/>
        <v>0.76</v>
      </c>
      <c r="G57" s="36">
        <f>'V5  Ark 2, beregning hastighet'!E32</f>
        <v>65.882352941176478</v>
      </c>
      <c r="H57" s="36">
        <f>'V5  Ark 2, beregning hastighet'!F32</f>
        <v>0</v>
      </c>
      <c r="I57" s="151">
        <v>330</v>
      </c>
      <c r="J57" s="151">
        <v>46</v>
      </c>
      <c r="K57" s="36">
        <f t="shared" si="10"/>
        <v>7.1739130434782608</v>
      </c>
      <c r="L57" s="34">
        <f t="shared" si="9"/>
        <v>5.9782608695652176E-2</v>
      </c>
    </row>
    <row r="58" spans="1:14">
      <c r="A58" s="33">
        <v>3</v>
      </c>
      <c r="B58" s="33" t="s">
        <v>155</v>
      </c>
      <c r="C58" s="33" t="s">
        <v>206</v>
      </c>
      <c r="D58" s="33">
        <v>72</v>
      </c>
      <c r="E58" s="33">
        <f t="shared" si="6"/>
        <v>144</v>
      </c>
      <c r="F58" s="34">
        <f t="shared" si="7"/>
        <v>0.84</v>
      </c>
      <c r="G58" s="36">
        <f>'V5  Ark 2, beregning hastighet'!E33</f>
        <v>28.09756097560976</v>
      </c>
      <c r="H58" s="36">
        <f>'V5  Ark 2, beregning hastighet'!F33</f>
        <v>0</v>
      </c>
      <c r="I58" s="151">
        <v>3</v>
      </c>
      <c r="J58" s="151">
        <v>1</v>
      </c>
      <c r="K58" s="36">
        <f t="shared" si="10"/>
        <v>3</v>
      </c>
      <c r="L58" s="34">
        <f t="shared" si="9"/>
        <v>2.5000000000000001E-2</v>
      </c>
    </row>
    <row r="59" spans="1:14">
      <c r="A59" s="33">
        <v>3</v>
      </c>
      <c r="B59" s="33" t="s">
        <v>155</v>
      </c>
      <c r="C59" s="33" t="s">
        <v>230</v>
      </c>
      <c r="D59" s="33">
        <v>73</v>
      </c>
      <c r="E59" s="33">
        <f t="shared" si="6"/>
        <v>146</v>
      </c>
      <c r="F59" s="34">
        <f t="shared" si="7"/>
        <v>0.88</v>
      </c>
      <c r="G59" s="36">
        <f>'V5  Ark 2, beregning hastighet'!E34</f>
        <v>63.709090909090918</v>
      </c>
      <c r="H59" s="36">
        <f>'V5  Ark 2, beregning hastighet'!F34</f>
        <v>0</v>
      </c>
      <c r="I59" s="36">
        <v>1362</v>
      </c>
      <c r="J59" s="151">
        <v>18</v>
      </c>
      <c r="K59" s="36">
        <f t="shared" si="10"/>
        <v>75.666666666666671</v>
      </c>
      <c r="L59" s="34">
        <f t="shared" si="9"/>
        <v>0.63055555555555565</v>
      </c>
    </row>
    <row r="60" spans="1:14">
      <c r="A60" s="33">
        <v>3</v>
      </c>
      <c r="B60" s="33" t="s">
        <v>155</v>
      </c>
      <c r="C60" s="33" t="s">
        <v>319</v>
      </c>
      <c r="D60" s="33">
        <v>74</v>
      </c>
      <c r="E60" s="33">
        <f t="shared" si="6"/>
        <v>148</v>
      </c>
      <c r="F60" s="34">
        <f t="shared" si="7"/>
        <v>0.92</v>
      </c>
      <c r="G60" s="36">
        <f>'V5  Ark 2, beregning hastighet'!E35</f>
        <v>59.2</v>
      </c>
      <c r="H60" s="36">
        <f>'V5  Ark 2, beregning hastighet'!F35</f>
        <v>0</v>
      </c>
      <c r="I60" s="151">
        <v>2692</v>
      </c>
      <c r="J60" s="151">
        <v>23</v>
      </c>
      <c r="K60" s="36">
        <f t="shared" si="10"/>
        <v>117.04347826086956</v>
      </c>
      <c r="L60" s="34">
        <f t="shared" si="9"/>
        <v>0.97536231884057967</v>
      </c>
    </row>
    <row r="61" spans="1:14">
      <c r="A61" s="33">
        <v>3</v>
      </c>
      <c r="B61" s="33" t="s">
        <v>155</v>
      </c>
      <c r="C61" s="33" t="s">
        <v>222</v>
      </c>
      <c r="D61" s="33">
        <v>75</v>
      </c>
      <c r="E61" s="33">
        <f t="shared" si="6"/>
        <v>150</v>
      </c>
      <c r="F61" s="34">
        <f t="shared" si="7"/>
        <v>0.96</v>
      </c>
      <c r="G61" s="36">
        <f>'V5  Ark 2, beregning hastighet'!E36</f>
        <v>60</v>
      </c>
      <c r="H61" s="36">
        <f>'V5  Ark 2, beregning hastighet'!F36</f>
        <v>0</v>
      </c>
      <c r="I61" s="151">
        <v>766</v>
      </c>
      <c r="J61" s="151">
        <v>27</v>
      </c>
      <c r="K61" s="36">
        <f t="shared" si="10"/>
        <v>28.37037037037037</v>
      </c>
      <c r="L61" s="34">
        <f t="shared" si="9"/>
        <v>0.23641975308641974</v>
      </c>
    </row>
    <row r="62" spans="1:14">
      <c r="A62" s="33" t="s">
        <v>313</v>
      </c>
      <c r="B62" s="37"/>
      <c r="C62" s="37"/>
      <c r="D62" s="37"/>
      <c r="E62" s="37"/>
      <c r="F62" s="38">
        <f>AVERAGE(F46:F59)</f>
        <v>0.43714285714285717</v>
      </c>
      <c r="G62" s="39">
        <f>AVERAGE(G46:G61)</f>
        <v>44.010057792762346</v>
      </c>
      <c r="H62" s="39">
        <f>AVERAGE(H46:H59)</f>
        <v>0</v>
      </c>
      <c r="I62" s="153"/>
      <c r="J62" s="153"/>
      <c r="K62" s="39">
        <f>AVERAGE(K46:K60)</f>
        <v>40.905999780533179</v>
      </c>
      <c r="L62" s="152">
        <f>AVERAGE(L46:L60)</f>
        <v>0.34088333150444322</v>
      </c>
    </row>
    <row r="63" spans="1:14">
      <c r="A63" s="33">
        <v>4</v>
      </c>
      <c r="B63" s="59" t="s">
        <v>155</v>
      </c>
      <c r="C63" s="59" t="s">
        <v>233</v>
      </c>
      <c r="D63" s="59">
        <v>76</v>
      </c>
      <c r="E63" s="33">
        <f t="shared" ref="E63:E75" si="11">D63*$B$28</f>
        <v>152</v>
      </c>
      <c r="F63" s="34">
        <f t="shared" ref="F63:F75" si="12">(D63-$B$7)/$D$7</f>
        <v>0</v>
      </c>
      <c r="G63" s="36">
        <f>'V5  Ark 2, beregning hastighet'!E38</f>
        <v>62.896551724137936</v>
      </c>
      <c r="H63" s="36">
        <f>'V5  Ark 2, beregning hastighet'!F38</f>
        <v>0</v>
      </c>
      <c r="I63" s="155">
        <v>1</v>
      </c>
      <c r="J63" s="155">
        <v>1</v>
      </c>
      <c r="K63" s="36">
        <f t="shared" ref="K63:K75" si="13">I63/J63</f>
        <v>1</v>
      </c>
      <c r="L63" s="34">
        <f t="shared" ref="L63:L75" si="14">K63/$B$25</f>
        <v>8.3333333333333332E-3</v>
      </c>
      <c r="N63" s="60"/>
    </row>
    <row r="64" spans="1:14">
      <c r="A64" s="33">
        <v>4</v>
      </c>
      <c r="B64" s="33" t="s">
        <v>155</v>
      </c>
      <c r="C64" s="33" t="s">
        <v>295</v>
      </c>
      <c r="D64" s="33">
        <v>77</v>
      </c>
      <c r="E64" s="33">
        <f t="shared" si="11"/>
        <v>154</v>
      </c>
      <c r="F64" s="34">
        <f t="shared" si="12"/>
        <v>0.04</v>
      </c>
      <c r="G64" s="36">
        <f>'V5  Ark 2, beregning hastighet'!E39</f>
        <v>28.651162790697676</v>
      </c>
      <c r="H64" s="36">
        <f>'V5  Ark 2, beregning hastighet'!F39</f>
        <v>0</v>
      </c>
      <c r="I64" s="151">
        <v>7810</v>
      </c>
      <c r="J64" s="151">
        <v>137</v>
      </c>
      <c r="K64" s="36">
        <f t="shared" si="13"/>
        <v>57.007299270072991</v>
      </c>
      <c r="L64" s="34">
        <f t="shared" si="14"/>
        <v>0.47506082725060828</v>
      </c>
      <c r="N64" s="97"/>
    </row>
    <row r="65" spans="1:14">
      <c r="A65" s="33">
        <v>4</v>
      </c>
      <c r="B65" s="33" t="s">
        <v>155</v>
      </c>
      <c r="C65" s="33" t="s">
        <v>210</v>
      </c>
      <c r="D65" s="33">
        <v>77</v>
      </c>
      <c r="E65" s="33">
        <f t="shared" si="11"/>
        <v>154</v>
      </c>
      <c r="F65" s="34">
        <f t="shared" si="12"/>
        <v>0.04</v>
      </c>
      <c r="G65" s="36">
        <f>'V5  Ark 2, beregning hastighet'!E40</f>
        <v>52.800000000000004</v>
      </c>
      <c r="H65" s="36">
        <f>'V5  Ark 2, beregning hastighet'!F40</f>
        <v>0</v>
      </c>
      <c r="I65" s="151">
        <v>1755</v>
      </c>
      <c r="J65" s="151">
        <v>35</v>
      </c>
      <c r="K65" s="36">
        <f t="shared" si="13"/>
        <v>50.142857142857146</v>
      </c>
      <c r="L65" s="34">
        <f t="shared" si="14"/>
        <v>0.41785714285714287</v>
      </c>
      <c r="N65" s="97"/>
    </row>
    <row r="66" spans="1:14">
      <c r="A66" s="33">
        <v>4</v>
      </c>
      <c r="B66" s="33" t="s">
        <v>155</v>
      </c>
      <c r="C66" s="33" t="s">
        <v>204</v>
      </c>
      <c r="D66" s="33">
        <v>77</v>
      </c>
      <c r="E66" s="33">
        <f t="shared" si="11"/>
        <v>154</v>
      </c>
      <c r="F66" s="34">
        <f t="shared" si="12"/>
        <v>0.04</v>
      </c>
      <c r="G66" s="36">
        <f>'V5  Ark 2, beregning hastighet'!E41</f>
        <v>66</v>
      </c>
      <c r="H66" s="36">
        <f>'V5  Ark 2, beregning hastighet'!F41</f>
        <v>0</v>
      </c>
      <c r="I66" s="151">
        <v>9</v>
      </c>
      <c r="J66" s="151">
        <v>4</v>
      </c>
      <c r="K66" s="36">
        <f t="shared" si="13"/>
        <v>2.25</v>
      </c>
      <c r="L66" s="34">
        <f t="shared" si="14"/>
        <v>1.8749999999999999E-2</v>
      </c>
      <c r="N66" s="97"/>
    </row>
    <row r="67" spans="1:14">
      <c r="A67" s="33">
        <v>4</v>
      </c>
      <c r="B67" s="33" t="s">
        <v>155</v>
      </c>
      <c r="C67" s="33" t="s">
        <v>199</v>
      </c>
      <c r="D67" s="33">
        <v>78</v>
      </c>
      <c r="E67" s="33">
        <f t="shared" si="11"/>
        <v>156</v>
      </c>
      <c r="F67" s="34">
        <f t="shared" si="12"/>
        <v>0.08</v>
      </c>
      <c r="G67" s="36">
        <f>'V5  Ark 2, beregning hastighet'!E42</f>
        <v>27.529411764705884</v>
      </c>
      <c r="H67" s="36">
        <f>'V5  Ark 2, beregning hastighet'!F42</f>
        <v>0</v>
      </c>
      <c r="I67" s="151">
        <v>23912</v>
      </c>
      <c r="J67" s="151">
        <v>435</v>
      </c>
      <c r="K67" s="36">
        <f t="shared" si="13"/>
        <v>54.970114942528738</v>
      </c>
      <c r="L67" s="34">
        <f t="shared" si="14"/>
        <v>0.45808429118773947</v>
      </c>
      <c r="N67" s="97"/>
    </row>
    <row r="68" spans="1:14">
      <c r="A68" s="33">
        <v>4</v>
      </c>
      <c r="B68" s="33" t="s">
        <v>155</v>
      </c>
      <c r="C68" s="33" t="s">
        <v>196</v>
      </c>
      <c r="D68" s="33">
        <v>79</v>
      </c>
      <c r="E68" s="33">
        <f t="shared" si="11"/>
        <v>158</v>
      </c>
      <c r="F68" s="34">
        <f t="shared" si="12"/>
        <v>0.12</v>
      </c>
      <c r="G68" s="36">
        <f>'V5  Ark 2, beregning hastighet'!E43</f>
        <v>30.829268292682929</v>
      </c>
      <c r="H68" s="36">
        <f>'V5  Ark 2, beregning hastighet'!F43</f>
        <v>0</v>
      </c>
      <c r="I68" s="151">
        <v>2230</v>
      </c>
      <c r="J68" s="151">
        <v>96</v>
      </c>
      <c r="K68" s="36">
        <f t="shared" si="13"/>
        <v>23.229166666666668</v>
      </c>
      <c r="L68" s="34">
        <f t="shared" si="14"/>
        <v>0.1935763888888889</v>
      </c>
      <c r="N68" s="97"/>
    </row>
    <row r="69" spans="1:14">
      <c r="A69" s="33">
        <v>4</v>
      </c>
      <c r="B69" s="33" t="s">
        <v>155</v>
      </c>
      <c r="C69" s="33" t="s">
        <v>192</v>
      </c>
      <c r="D69" s="33">
        <v>79</v>
      </c>
      <c r="E69" s="33">
        <f t="shared" si="11"/>
        <v>158</v>
      </c>
      <c r="F69" s="34">
        <f t="shared" si="12"/>
        <v>0.12</v>
      </c>
      <c r="G69" s="36">
        <f>'V5  Ark 2, beregning hastighet'!E44</f>
        <v>29.395348837209305</v>
      </c>
      <c r="H69" s="36">
        <f>'V5  Ark 2, beregning hastighet'!F44</f>
        <v>0</v>
      </c>
      <c r="I69" s="151">
        <v>8428</v>
      </c>
      <c r="J69" s="151">
        <v>176</v>
      </c>
      <c r="K69" s="36">
        <f t="shared" si="13"/>
        <v>47.886363636363633</v>
      </c>
      <c r="L69" s="34">
        <f t="shared" si="14"/>
        <v>0.3990530303030303</v>
      </c>
      <c r="N69" s="97"/>
    </row>
    <row r="70" spans="1:14">
      <c r="A70" s="33">
        <v>4</v>
      </c>
      <c r="B70" s="33" t="s">
        <v>155</v>
      </c>
      <c r="C70" s="33" t="s">
        <v>203</v>
      </c>
      <c r="D70" s="33">
        <v>86</v>
      </c>
      <c r="E70" s="33">
        <f t="shared" si="11"/>
        <v>172</v>
      </c>
      <c r="F70" s="34">
        <f t="shared" si="12"/>
        <v>0.4</v>
      </c>
      <c r="G70" s="36">
        <f>'V5  Ark 2, beregning hastighet'!E45</f>
        <v>68.8</v>
      </c>
      <c r="H70" s="36">
        <f>'V5  Ark 2, beregning hastighet'!F45</f>
        <v>0</v>
      </c>
      <c r="I70" s="151">
        <v>263</v>
      </c>
      <c r="J70" s="151">
        <v>13</v>
      </c>
      <c r="K70" s="36">
        <f t="shared" si="13"/>
        <v>20.23076923076923</v>
      </c>
      <c r="L70" s="34">
        <f t="shared" si="14"/>
        <v>0.16858974358974357</v>
      </c>
      <c r="N70" s="97"/>
    </row>
    <row r="71" spans="1:14">
      <c r="A71" s="33">
        <v>4</v>
      </c>
      <c r="B71" s="33" t="s">
        <v>155</v>
      </c>
      <c r="C71" s="33" t="s">
        <v>236</v>
      </c>
      <c r="D71" s="33">
        <v>97</v>
      </c>
      <c r="E71" s="33">
        <f t="shared" si="11"/>
        <v>194</v>
      </c>
      <c r="F71" s="34">
        <f t="shared" si="12"/>
        <v>0.84</v>
      </c>
      <c r="G71" s="36">
        <f>'V5  Ark 2, beregning hastighet'!E46</f>
        <v>58.2</v>
      </c>
      <c r="H71" s="36">
        <f>'V5  Ark 2, beregning hastighet'!F46</f>
        <v>0</v>
      </c>
      <c r="I71" s="151">
        <v>1356</v>
      </c>
      <c r="J71" s="151">
        <v>26</v>
      </c>
      <c r="K71" s="36">
        <f t="shared" si="13"/>
        <v>52.153846153846153</v>
      </c>
      <c r="L71" s="34">
        <f t="shared" si="14"/>
        <v>0.43461538461538463</v>
      </c>
      <c r="N71" s="97"/>
    </row>
    <row r="72" spans="1:14">
      <c r="A72" s="33">
        <v>4</v>
      </c>
      <c r="B72" s="33" t="s">
        <v>155</v>
      </c>
      <c r="C72" s="33" t="s">
        <v>220</v>
      </c>
      <c r="D72" s="33">
        <v>98</v>
      </c>
      <c r="E72" s="33">
        <f t="shared" si="11"/>
        <v>196</v>
      </c>
      <c r="F72" s="34">
        <f t="shared" si="12"/>
        <v>0.88</v>
      </c>
      <c r="G72" s="36">
        <f>'V5  Ark 2, beregning hastighet'!E47</f>
        <v>58.074074074074069</v>
      </c>
      <c r="H72" s="36">
        <f>'V5  Ark 2, beregning hastighet'!F47</f>
        <v>0</v>
      </c>
      <c r="I72" s="151">
        <v>493</v>
      </c>
      <c r="J72" s="151">
        <v>34</v>
      </c>
      <c r="K72" s="36">
        <f t="shared" si="13"/>
        <v>14.5</v>
      </c>
      <c r="L72" s="34">
        <f t="shared" si="14"/>
        <v>0.12083333333333333</v>
      </c>
      <c r="N72" s="97"/>
    </row>
    <row r="73" spans="1:14">
      <c r="A73" s="33">
        <v>4</v>
      </c>
      <c r="B73" s="33" t="s">
        <v>155</v>
      </c>
      <c r="C73" s="33" t="s">
        <v>195</v>
      </c>
      <c r="D73" s="33">
        <v>99</v>
      </c>
      <c r="E73" s="33">
        <f t="shared" si="11"/>
        <v>198</v>
      </c>
      <c r="F73" s="34">
        <f t="shared" si="12"/>
        <v>0.92</v>
      </c>
      <c r="G73" s="36">
        <f>'V5  Ark 2, beregning hastighet'!E48</f>
        <v>33.702127659574465</v>
      </c>
      <c r="H73" s="36">
        <f>'V5  Ark 2, beregning hastighet'!F48</f>
        <v>0</v>
      </c>
      <c r="I73" s="151">
        <v>11360</v>
      </c>
      <c r="J73" s="151">
        <v>223</v>
      </c>
      <c r="K73" s="36">
        <f t="shared" si="13"/>
        <v>50.941704035874437</v>
      </c>
      <c r="L73" s="34">
        <f t="shared" si="14"/>
        <v>0.42451420029895365</v>
      </c>
      <c r="N73" s="97"/>
    </row>
    <row r="74" spans="1:14">
      <c r="A74" s="33">
        <v>4</v>
      </c>
      <c r="B74" s="33" t="s">
        <v>155</v>
      </c>
      <c r="C74" s="33" t="s">
        <v>317</v>
      </c>
      <c r="D74" s="33">
        <v>100</v>
      </c>
      <c r="E74" s="33">
        <f t="shared" si="11"/>
        <v>200</v>
      </c>
      <c r="F74" s="34">
        <f t="shared" si="12"/>
        <v>0.96</v>
      </c>
      <c r="G74" s="36">
        <f>'V5  Ark 2, beregning hastighet'!E49</f>
        <v>63.15789473684211</v>
      </c>
      <c r="H74" s="36">
        <f>'V5  Ark 2, beregning hastighet'!F49</f>
        <v>0</v>
      </c>
      <c r="I74" s="151">
        <v>21</v>
      </c>
      <c r="J74" s="151">
        <v>10</v>
      </c>
      <c r="K74" s="36">
        <f t="shared" si="13"/>
        <v>2.1</v>
      </c>
      <c r="L74" s="34">
        <f t="shared" si="14"/>
        <v>1.7500000000000002E-2</v>
      </c>
      <c r="N74" s="97"/>
    </row>
    <row r="75" spans="1:14">
      <c r="A75" s="33">
        <v>4</v>
      </c>
      <c r="B75" s="33" t="s">
        <v>155</v>
      </c>
      <c r="C75" s="33" t="s">
        <v>320</v>
      </c>
      <c r="D75" s="33">
        <v>100</v>
      </c>
      <c r="E75" s="33">
        <f t="shared" si="11"/>
        <v>200</v>
      </c>
      <c r="F75" s="34">
        <f t="shared" si="12"/>
        <v>0.96</v>
      </c>
      <c r="G75" s="36">
        <f>'V5  Ark 2, beregning hastighet'!E50</f>
        <v>51.612903225806456</v>
      </c>
      <c r="H75" s="36">
        <f>'V5  Ark 2, beregning hastighet'!F50</f>
        <v>0</v>
      </c>
      <c r="I75" s="151">
        <v>8</v>
      </c>
      <c r="J75" s="151">
        <v>3</v>
      </c>
      <c r="K75" s="36">
        <f t="shared" si="13"/>
        <v>2.6666666666666665</v>
      </c>
      <c r="L75" s="34">
        <f t="shared" si="14"/>
        <v>2.222222222222222E-2</v>
      </c>
      <c r="N75" s="97"/>
    </row>
    <row r="76" spans="1:14">
      <c r="A76" s="33" t="s">
        <v>313</v>
      </c>
      <c r="B76" s="37"/>
      <c r="C76" s="37"/>
      <c r="D76" s="37"/>
      <c r="E76" s="37"/>
      <c r="F76" s="38">
        <f>AVERAGE(F64:F75)</f>
        <v>0.44999999999999996</v>
      </c>
      <c r="G76" s="39">
        <f>AVERAGE(G63:G75)</f>
        <v>48.588364854286993</v>
      </c>
      <c r="H76" s="39">
        <f>AVERAGE(H64:H73)</f>
        <v>0</v>
      </c>
      <c r="I76" s="153"/>
      <c r="J76" s="153"/>
      <c r="K76" s="39">
        <f>AVERAGE(K64:K73)</f>
        <v>37.331212107897898</v>
      </c>
      <c r="L76" s="152">
        <f>AVERAGE(L64:L73)</f>
        <v>0.31109343423248242</v>
      </c>
      <c r="N76" s="97"/>
    </row>
    <row r="77" spans="1:14">
      <c r="A77" s="59">
        <v>5</v>
      </c>
      <c r="B77" s="59" t="s">
        <v>155</v>
      </c>
      <c r="C77" s="59" t="s">
        <v>234</v>
      </c>
      <c r="D77" s="59">
        <v>106</v>
      </c>
      <c r="E77" s="33">
        <f t="shared" ref="E77:E85" si="15">D77*$B$28</f>
        <v>212</v>
      </c>
      <c r="F77" s="34">
        <f t="shared" ref="F77:F85" si="16">(D77-$B$8)/$D$8</f>
        <v>0.2</v>
      </c>
      <c r="G77" s="36">
        <f>'V5  Ark 2, beregning hastighet'!E52</f>
        <v>57.818181818181827</v>
      </c>
      <c r="H77" s="36">
        <f>'V5  Ark 2, beregning hastighet'!F52</f>
        <v>0</v>
      </c>
      <c r="I77" s="155">
        <v>25</v>
      </c>
      <c r="J77" s="155">
        <v>1</v>
      </c>
      <c r="K77" s="36">
        <f t="shared" ref="K77:K85" si="17">I77/J77</f>
        <v>25</v>
      </c>
      <c r="L77" s="34">
        <f t="shared" ref="L77:L85" si="18">K77/$B$25</f>
        <v>0.20833333333333334</v>
      </c>
    </row>
    <row r="78" spans="1:14">
      <c r="A78" s="33">
        <v>5</v>
      </c>
      <c r="B78" s="33" t="s">
        <v>155</v>
      </c>
      <c r="C78" s="33" t="s">
        <v>212</v>
      </c>
      <c r="D78" s="33">
        <v>107</v>
      </c>
      <c r="E78" s="33">
        <f t="shared" si="15"/>
        <v>214</v>
      </c>
      <c r="F78" s="34">
        <f t="shared" si="16"/>
        <v>0.24</v>
      </c>
      <c r="G78" s="36">
        <f>'V5  Ark 2, beregning hastighet'!E53</f>
        <v>46.690909090909095</v>
      </c>
      <c r="H78" s="36">
        <f>'V5  Ark 2, beregning hastighet'!F53</f>
        <v>0</v>
      </c>
      <c r="I78" s="151">
        <v>463</v>
      </c>
      <c r="J78" s="151">
        <v>21</v>
      </c>
      <c r="K78" s="36">
        <f t="shared" si="17"/>
        <v>22.047619047619047</v>
      </c>
      <c r="L78" s="34">
        <f t="shared" si="18"/>
        <v>0.18373015873015872</v>
      </c>
    </row>
    <row r="79" spans="1:14">
      <c r="A79" s="33">
        <v>5</v>
      </c>
      <c r="B79" s="33" t="s">
        <v>155</v>
      </c>
      <c r="C79" s="33" t="s">
        <v>237</v>
      </c>
      <c r="D79" s="33">
        <v>112</v>
      </c>
      <c r="E79" s="33">
        <f t="shared" si="15"/>
        <v>224</v>
      </c>
      <c r="F79" s="34">
        <f t="shared" si="16"/>
        <v>0.44</v>
      </c>
      <c r="G79" s="36">
        <f>'V5  Ark 2, beregning hastighet'!E54</f>
        <v>51.2</v>
      </c>
      <c r="H79" s="36">
        <f>'V5  Ark 2, beregning hastighet'!F54</f>
        <v>0</v>
      </c>
      <c r="I79" s="151">
        <v>864</v>
      </c>
      <c r="J79" s="151">
        <v>26</v>
      </c>
      <c r="K79" s="36">
        <f t="shared" si="17"/>
        <v>33.230769230769234</v>
      </c>
      <c r="L79" s="34">
        <f t="shared" si="18"/>
        <v>0.27692307692307694</v>
      </c>
    </row>
    <row r="80" spans="1:14">
      <c r="A80" s="33">
        <v>5</v>
      </c>
      <c r="B80" s="33" t="s">
        <v>155</v>
      </c>
      <c r="C80" s="33" t="s">
        <v>218</v>
      </c>
      <c r="D80" s="33">
        <v>115</v>
      </c>
      <c r="E80" s="33">
        <f t="shared" si="15"/>
        <v>230</v>
      </c>
      <c r="F80" s="34">
        <f t="shared" si="16"/>
        <v>0.56000000000000005</v>
      </c>
      <c r="G80" s="36">
        <f>'V5  Ark 2, beregning hastighet'!E55</f>
        <v>54.653465346534659</v>
      </c>
      <c r="H80" s="36">
        <f>'V5  Ark 2, beregning hastighet'!F55</f>
        <v>0</v>
      </c>
      <c r="I80" s="151">
        <v>1810</v>
      </c>
      <c r="J80" s="151">
        <v>59</v>
      </c>
      <c r="K80" s="36">
        <f t="shared" si="17"/>
        <v>30.677966101694917</v>
      </c>
      <c r="L80" s="34">
        <f t="shared" si="18"/>
        <v>0.2556497175141243</v>
      </c>
    </row>
    <row r="81" spans="1:18">
      <c r="A81" s="33">
        <v>5</v>
      </c>
      <c r="B81" s="33" t="s">
        <v>155</v>
      </c>
      <c r="C81" s="33" t="s">
        <v>211</v>
      </c>
      <c r="D81" s="33">
        <v>116</v>
      </c>
      <c r="E81" s="33">
        <f t="shared" si="15"/>
        <v>232</v>
      </c>
      <c r="F81" s="34">
        <f t="shared" si="16"/>
        <v>0.6</v>
      </c>
      <c r="G81" s="36">
        <f>'V5  Ark 2, beregning hastighet'!E56</f>
        <v>40.057553956834532</v>
      </c>
      <c r="H81" s="36">
        <f>'V5  Ark 2, beregning hastighet'!F56</f>
        <v>0</v>
      </c>
      <c r="I81" s="151">
        <v>445</v>
      </c>
      <c r="J81" s="151">
        <v>18</v>
      </c>
      <c r="K81" s="36">
        <f t="shared" si="17"/>
        <v>24.722222222222221</v>
      </c>
      <c r="L81" s="34">
        <f t="shared" si="18"/>
        <v>0.20601851851851852</v>
      </c>
    </row>
    <row r="82" spans="1:18">
      <c r="A82" s="33">
        <v>5</v>
      </c>
      <c r="B82" s="33" t="s">
        <v>155</v>
      </c>
      <c r="C82" s="33" t="s">
        <v>207</v>
      </c>
      <c r="D82" s="33">
        <v>116</v>
      </c>
      <c r="E82" s="33">
        <f t="shared" si="15"/>
        <v>232</v>
      </c>
      <c r="F82" s="34">
        <f t="shared" si="16"/>
        <v>0.6</v>
      </c>
      <c r="G82" s="36">
        <f>'V5  Ark 2, beregning hastighet'!E57</f>
        <v>61.18681318681319</v>
      </c>
      <c r="H82" s="36">
        <f>'V5  Ark 2, beregning hastighet'!F57</f>
        <v>0</v>
      </c>
      <c r="I82" s="151">
        <v>4</v>
      </c>
      <c r="J82" s="151">
        <v>2</v>
      </c>
      <c r="K82" s="36">
        <f t="shared" si="17"/>
        <v>2</v>
      </c>
      <c r="L82" s="34">
        <f t="shared" si="18"/>
        <v>1.6666666666666666E-2</v>
      </c>
    </row>
    <row r="83" spans="1:18">
      <c r="A83" s="33">
        <v>5</v>
      </c>
      <c r="B83" s="33" t="s">
        <v>155</v>
      </c>
      <c r="C83" s="33" t="s">
        <v>235</v>
      </c>
      <c r="D83" s="33">
        <v>117</v>
      </c>
      <c r="E83" s="33">
        <f t="shared" si="15"/>
        <v>234</v>
      </c>
      <c r="F83" s="34">
        <f t="shared" si="16"/>
        <v>0.64</v>
      </c>
      <c r="G83" s="36">
        <f>'V5  Ark 2, beregning hastighet'!E58</f>
        <v>55.603960396039604</v>
      </c>
      <c r="H83" s="36">
        <f>'V5  Ark 2, beregning hastighet'!F58</f>
        <v>0</v>
      </c>
      <c r="I83" s="151">
        <v>8</v>
      </c>
      <c r="J83" s="151">
        <v>1</v>
      </c>
      <c r="K83" s="36">
        <f t="shared" si="17"/>
        <v>8</v>
      </c>
      <c r="L83" s="34">
        <f t="shared" si="18"/>
        <v>6.6666666666666666E-2</v>
      </c>
    </row>
    <row r="84" spans="1:18">
      <c r="A84" s="33">
        <v>5</v>
      </c>
      <c r="B84" s="33" t="s">
        <v>155</v>
      </c>
      <c r="C84" s="33" t="s">
        <v>292</v>
      </c>
      <c r="D84" s="33">
        <v>118</v>
      </c>
      <c r="E84" s="33">
        <f t="shared" si="15"/>
        <v>236</v>
      </c>
      <c r="F84" s="34">
        <f t="shared" si="16"/>
        <v>0.68</v>
      </c>
      <c r="G84" s="36">
        <f>'V5  Ark 2, beregning hastighet'!E59</f>
        <v>53.94285714285715</v>
      </c>
      <c r="H84" s="36">
        <f>'V5  Ark 2, beregning hastighet'!F59</f>
        <v>0</v>
      </c>
      <c r="I84" s="151">
        <v>7752</v>
      </c>
      <c r="J84" s="151">
        <v>170</v>
      </c>
      <c r="K84" s="36">
        <f t="shared" si="17"/>
        <v>45.6</v>
      </c>
      <c r="L84" s="34">
        <f t="shared" si="18"/>
        <v>0.38</v>
      </c>
    </row>
    <row r="85" spans="1:18">
      <c r="A85" s="33">
        <v>5</v>
      </c>
      <c r="B85" s="33" t="s">
        <v>155</v>
      </c>
      <c r="C85" s="33" t="s">
        <v>239</v>
      </c>
      <c r="D85" s="33">
        <v>122</v>
      </c>
      <c r="E85" s="33">
        <f t="shared" si="15"/>
        <v>244</v>
      </c>
      <c r="F85" s="34">
        <f t="shared" si="16"/>
        <v>0.84</v>
      </c>
      <c r="G85" s="36">
        <f>'V5  Ark 2, beregning hastighet'!E60</f>
        <v>38.025974025974023</v>
      </c>
      <c r="H85" s="36">
        <f>'V5  Ark 2, beregning hastighet'!F60</f>
        <v>0</v>
      </c>
      <c r="I85" s="151">
        <v>12</v>
      </c>
      <c r="J85" s="151">
        <v>1</v>
      </c>
      <c r="K85" s="36">
        <f t="shared" si="17"/>
        <v>12</v>
      </c>
      <c r="L85" s="34">
        <f t="shared" si="18"/>
        <v>0.1</v>
      </c>
    </row>
    <row r="86" spans="1:18">
      <c r="A86" s="33" t="s">
        <v>313</v>
      </c>
      <c r="B86" s="37"/>
      <c r="C86" s="156"/>
      <c r="D86" s="157"/>
      <c r="E86" s="157"/>
      <c r="F86" s="158">
        <f>AVERAGE(F77:F85)</f>
        <v>0.53333333333333344</v>
      </c>
      <c r="G86" s="39">
        <f>AVERAGE(G77:G85)</f>
        <v>51.019968329349354</v>
      </c>
      <c r="H86" s="39">
        <f>AVERAGE(H78:H85)</f>
        <v>0</v>
      </c>
      <c r="I86" s="153"/>
      <c r="J86" s="153"/>
      <c r="K86" s="39">
        <f>AVERAGE(K78:K85)</f>
        <v>22.284822075288176</v>
      </c>
      <c r="L86" s="152">
        <f>AVERAGE(L78:L85)</f>
        <v>0.1857068506274015</v>
      </c>
      <c r="N86" s="32"/>
    </row>
    <row r="87" spans="1:18">
      <c r="A87" s="33">
        <v>6</v>
      </c>
      <c r="B87" s="33" t="s">
        <v>155</v>
      </c>
      <c r="C87" s="74" t="s">
        <v>224</v>
      </c>
      <c r="D87" s="33">
        <v>127</v>
      </c>
      <c r="E87" s="33">
        <f>D87*$B$28</f>
        <v>254</v>
      </c>
      <c r="F87" s="34">
        <f>(D87-$B$9)/$D$9</f>
        <v>0.04</v>
      </c>
      <c r="G87" s="36">
        <f>'V5  Ark 2, beregning hastighet'!E62</f>
        <v>48.768000000000001</v>
      </c>
      <c r="H87" s="36">
        <f>'V5  Ark 2, beregning hastighet'!F62</f>
        <v>0</v>
      </c>
      <c r="I87" s="151">
        <v>69</v>
      </c>
      <c r="J87" s="151">
        <v>8</v>
      </c>
      <c r="K87" s="36">
        <f>I87/J87</f>
        <v>8.625</v>
      </c>
      <c r="L87" s="34">
        <f>K87/$B$25</f>
        <v>7.1874999999999994E-2</v>
      </c>
      <c r="N87" s="61"/>
      <c r="O87" s="99"/>
      <c r="P87" s="99"/>
      <c r="Q87" s="99"/>
      <c r="R87" s="60"/>
    </row>
    <row r="88" spans="1:18">
      <c r="A88" s="33">
        <v>6</v>
      </c>
      <c r="B88" s="33" t="s">
        <v>155</v>
      </c>
      <c r="C88" s="74" t="s">
        <v>219</v>
      </c>
      <c r="D88" s="33">
        <v>135</v>
      </c>
      <c r="E88" s="33">
        <f>D88*$B$28</f>
        <v>270</v>
      </c>
      <c r="F88" s="34">
        <f>(D88-$B$9)/$D$9</f>
        <v>0.36</v>
      </c>
      <c r="G88" s="36">
        <f>'V5  Ark 2, beregning hastighet'!E63</f>
        <v>58.378378378378379</v>
      </c>
      <c r="H88" s="36">
        <f>'V5  Ark 2, beregning hastighet'!F63</f>
        <v>0</v>
      </c>
      <c r="I88" s="151">
        <v>77</v>
      </c>
      <c r="J88" s="151">
        <v>11</v>
      </c>
      <c r="K88" s="36">
        <f>I88/J88</f>
        <v>7</v>
      </c>
      <c r="L88" s="34">
        <f>K88/$B$25</f>
        <v>5.8333333333333334E-2</v>
      </c>
      <c r="N88" s="204"/>
      <c r="O88" s="99"/>
      <c r="P88" s="100"/>
      <c r="Q88" s="99"/>
      <c r="R88" s="60"/>
    </row>
    <row r="89" spans="1:18">
      <c r="A89" s="33">
        <v>6</v>
      </c>
      <c r="B89" s="33" t="s">
        <v>155</v>
      </c>
      <c r="C89" s="74" t="s">
        <v>246</v>
      </c>
      <c r="D89" s="33">
        <v>136</v>
      </c>
      <c r="E89" s="33">
        <f>D89*$B$28</f>
        <v>272</v>
      </c>
      <c r="F89" s="34">
        <f>(D89-$B$9)/$D$9</f>
        <v>0.4</v>
      </c>
      <c r="G89" s="36">
        <f>'V5  Ark 2, beregning hastighet'!E64</f>
        <v>57.769911504424783</v>
      </c>
      <c r="H89" s="36">
        <f>'V5  Ark 2, beregning hastighet'!F64</f>
        <v>0</v>
      </c>
      <c r="I89" s="151">
        <v>1947</v>
      </c>
      <c r="J89" s="151">
        <v>26</v>
      </c>
      <c r="K89" s="36">
        <f t="shared" ref="K89" si="19">I89/J89</f>
        <v>74.884615384615387</v>
      </c>
      <c r="L89" s="34">
        <f>K89/$B$25</f>
        <v>0.62403846153846154</v>
      </c>
      <c r="N89" s="61"/>
      <c r="O89" s="99"/>
      <c r="P89" s="102"/>
      <c r="Q89" s="99"/>
      <c r="R89" s="60"/>
    </row>
    <row r="90" spans="1:18">
      <c r="A90" s="33">
        <v>6</v>
      </c>
      <c r="B90" s="33" t="s">
        <v>155</v>
      </c>
      <c r="C90" s="74" t="s">
        <v>247</v>
      </c>
      <c r="D90" s="33">
        <v>145</v>
      </c>
      <c r="E90" s="33">
        <f>D90*$B$28</f>
        <v>290</v>
      </c>
      <c r="F90" s="34">
        <f>(D90-$B$9)/$D$9</f>
        <v>0.76</v>
      </c>
      <c r="G90" s="36">
        <f>'V5  Ark 2, beregning hastighet'!E65</f>
        <v>61.052631578947377</v>
      </c>
      <c r="H90" s="36">
        <f>'V5  Ark 2, beregning hastighet'!F65</f>
        <v>0</v>
      </c>
      <c r="I90" s="151">
        <v>3694</v>
      </c>
      <c r="J90" s="151">
        <v>102</v>
      </c>
      <c r="K90" s="36">
        <f>I90/J90</f>
        <v>36.215686274509807</v>
      </c>
      <c r="L90" s="34">
        <f>K90/$B$25</f>
        <v>0.30179738562091507</v>
      </c>
      <c r="N90" s="61"/>
      <c r="O90" s="99"/>
      <c r="P90" s="102"/>
      <c r="Q90" s="99"/>
      <c r="R90" s="60"/>
    </row>
    <row r="91" spans="1:18">
      <c r="A91" s="33">
        <v>6</v>
      </c>
      <c r="B91" s="33" t="s">
        <v>155</v>
      </c>
      <c r="C91" s="74" t="s">
        <v>240</v>
      </c>
      <c r="D91" s="33">
        <v>148</v>
      </c>
      <c r="E91" s="33">
        <f>D91*$B$28</f>
        <v>296</v>
      </c>
      <c r="F91" s="34">
        <f>(D91-$B$9)/$D$9</f>
        <v>0.88</v>
      </c>
      <c r="G91" s="36">
        <f>'V5  Ark 2, beregning hastighet'!E66</f>
        <v>54.646153846153851</v>
      </c>
      <c r="H91" s="36">
        <f>'V5  Ark 2, beregning hastighet'!F66</f>
        <v>0</v>
      </c>
      <c r="I91" s="151">
        <v>94</v>
      </c>
      <c r="J91" s="151">
        <v>20</v>
      </c>
      <c r="K91" s="36">
        <f>I91/J91</f>
        <v>4.7</v>
      </c>
      <c r="L91" s="34">
        <f>K91/$B$25</f>
        <v>3.9166666666666669E-2</v>
      </c>
      <c r="N91" s="61"/>
      <c r="O91" s="99"/>
      <c r="P91" s="102"/>
      <c r="Q91" s="99"/>
      <c r="R91" s="60"/>
    </row>
    <row r="92" spans="1:18">
      <c r="A92" s="33" t="s">
        <v>313</v>
      </c>
      <c r="B92" s="37"/>
      <c r="C92" s="37"/>
      <c r="D92" s="37"/>
      <c r="E92" s="37"/>
      <c r="F92" s="152">
        <f>AVERAGE(F87:F90)</f>
        <v>0.39</v>
      </c>
      <c r="G92" s="39">
        <f>AVERAGE(G87:G91)</f>
        <v>56.123015061580872</v>
      </c>
      <c r="H92" s="39">
        <f>AVERAGE(H87:H90)</f>
        <v>0</v>
      </c>
      <c r="I92" s="153"/>
      <c r="J92" s="153"/>
      <c r="K92" s="39">
        <f>AVERAGE(K87:K90)</f>
        <v>31.681325414781298</v>
      </c>
      <c r="L92" s="152">
        <f>AVERAGE(L87:L90)</f>
        <v>0.26401104512317747</v>
      </c>
      <c r="N92" s="61"/>
      <c r="O92" s="99"/>
      <c r="P92" s="102"/>
      <c r="Q92" s="99"/>
      <c r="R92" s="60"/>
    </row>
    <row r="93" spans="1:18">
      <c r="A93" s="33">
        <v>7</v>
      </c>
      <c r="B93" s="33" t="s">
        <v>155</v>
      </c>
      <c r="C93" s="33" t="s">
        <v>205</v>
      </c>
      <c r="D93" s="33">
        <v>157</v>
      </c>
      <c r="E93" s="33">
        <f t="shared" ref="E93:E98" si="20">D93*$B$28</f>
        <v>314</v>
      </c>
      <c r="F93" s="34">
        <f t="shared" ref="F93:F98" si="21">(D93-$B$10)/$D$10</f>
        <v>0.24</v>
      </c>
      <c r="G93" s="36">
        <f>'V5  Ark 2, beregning hastighet'!E68</f>
        <v>58.875</v>
      </c>
      <c r="H93" s="36">
        <f>'V5  Ark 2, beregning hastighet'!F68</f>
        <v>0</v>
      </c>
      <c r="I93" s="151">
        <v>942</v>
      </c>
      <c r="J93" s="151">
        <v>16</v>
      </c>
      <c r="K93" s="36">
        <f t="shared" ref="K93" si="22">I93/J93</f>
        <v>58.875</v>
      </c>
      <c r="L93" s="34">
        <f t="shared" ref="L93:L98" si="23">K93/$B$25</f>
        <v>0.49062499999999998</v>
      </c>
      <c r="N93" s="61"/>
      <c r="O93" s="99"/>
      <c r="P93" s="102"/>
      <c r="Q93" s="99"/>
      <c r="R93" s="60"/>
    </row>
    <row r="94" spans="1:18">
      <c r="A94" s="33">
        <v>7</v>
      </c>
      <c r="B94" s="33" t="s">
        <v>155</v>
      </c>
      <c r="C94" s="33" t="s">
        <v>241</v>
      </c>
      <c r="D94" s="33">
        <v>166</v>
      </c>
      <c r="E94" s="33">
        <f t="shared" si="20"/>
        <v>332</v>
      </c>
      <c r="F94" s="34">
        <f t="shared" si="21"/>
        <v>0.6</v>
      </c>
      <c r="G94" s="36">
        <f>'V5  Ark 2, beregning hastighet'!E69</f>
        <v>55.333333333333343</v>
      </c>
      <c r="H94" s="36">
        <f>'V5  Ark 2, beregning hastighet'!F69</f>
        <v>0</v>
      </c>
      <c r="I94" s="151">
        <v>27</v>
      </c>
      <c r="J94" s="151">
        <v>5</v>
      </c>
      <c r="K94" s="36">
        <f>I94/J94</f>
        <v>5.4</v>
      </c>
      <c r="L94" s="34">
        <f t="shared" si="23"/>
        <v>4.5000000000000005E-2</v>
      </c>
      <c r="N94" s="61"/>
      <c r="O94" s="99"/>
      <c r="P94" s="99"/>
      <c r="Q94" s="99"/>
      <c r="R94" s="60"/>
    </row>
    <row r="95" spans="1:18">
      <c r="A95" s="33">
        <v>7</v>
      </c>
      <c r="B95" s="33" t="s">
        <v>155</v>
      </c>
      <c r="C95" s="33" t="s">
        <v>315</v>
      </c>
      <c r="D95" s="33">
        <v>170</v>
      </c>
      <c r="E95" s="33">
        <f t="shared" si="20"/>
        <v>340</v>
      </c>
      <c r="F95" s="34">
        <f t="shared" si="21"/>
        <v>0.76</v>
      </c>
      <c r="G95" s="36">
        <f>'V5  Ark 2, beregning hastighet'!E70</f>
        <v>45.586592178770957</v>
      </c>
      <c r="H95" s="36">
        <f>'V5  Ark 2, beregning hastighet'!F70</f>
        <v>0</v>
      </c>
      <c r="I95" s="151">
        <v>55</v>
      </c>
      <c r="J95" s="151">
        <v>10</v>
      </c>
      <c r="K95" s="36">
        <f>I95/J95</f>
        <v>5.5</v>
      </c>
      <c r="L95" s="34">
        <f t="shared" si="23"/>
        <v>4.583333333333333E-2</v>
      </c>
      <c r="N95" s="61"/>
      <c r="O95" s="99"/>
      <c r="P95" s="99"/>
      <c r="Q95" s="99"/>
      <c r="R95" s="60"/>
    </row>
    <row r="96" spans="1:18">
      <c r="A96" s="33">
        <v>7</v>
      </c>
      <c r="B96" s="33" t="s">
        <v>155</v>
      </c>
      <c r="C96" s="33" t="s">
        <v>238</v>
      </c>
      <c r="D96" s="33">
        <v>171</v>
      </c>
      <c r="E96" s="33">
        <f t="shared" si="20"/>
        <v>342</v>
      </c>
      <c r="F96" s="34">
        <f t="shared" si="21"/>
        <v>0.8</v>
      </c>
      <c r="G96" s="36">
        <f>'V5  Ark 2, beregning hastighet'!E71</f>
        <v>47.445086705202314</v>
      </c>
      <c r="H96" s="36">
        <f>'V5  Ark 2, beregning hastighet'!F71</f>
        <v>0</v>
      </c>
      <c r="I96" s="151">
        <v>15</v>
      </c>
      <c r="J96" s="151">
        <v>2</v>
      </c>
      <c r="K96" s="36">
        <f>I96/J96</f>
        <v>7.5</v>
      </c>
      <c r="L96" s="34">
        <f t="shared" si="23"/>
        <v>6.25E-2</v>
      </c>
      <c r="O96" s="60"/>
      <c r="P96" s="60"/>
      <c r="Q96" s="60"/>
      <c r="R96" s="60"/>
    </row>
    <row r="97" spans="1:12">
      <c r="A97" s="33">
        <v>7</v>
      </c>
      <c r="B97" s="33" t="s">
        <v>155</v>
      </c>
      <c r="C97" s="33" t="s">
        <v>213</v>
      </c>
      <c r="D97" s="33">
        <v>172</v>
      </c>
      <c r="E97" s="33">
        <f t="shared" si="20"/>
        <v>344</v>
      </c>
      <c r="F97" s="34">
        <f t="shared" si="21"/>
        <v>0.84</v>
      </c>
      <c r="G97" s="36">
        <f>'V5  Ark 2, beregning hastighet'!E72</f>
        <v>53.960784313725497</v>
      </c>
      <c r="H97" s="36">
        <f>'V5  Ark 2, beregning hastighet'!F72</f>
        <v>0</v>
      </c>
      <c r="I97" s="151">
        <v>48</v>
      </c>
      <c r="J97" s="151">
        <v>2</v>
      </c>
      <c r="K97" s="36">
        <f>I97/J97</f>
        <v>24</v>
      </c>
      <c r="L97" s="34">
        <f t="shared" si="23"/>
        <v>0.2</v>
      </c>
    </row>
    <row r="98" spans="1:12">
      <c r="A98" s="33">
        <v>7</v>
      </c>
      <c r="B98" s="33" t="s">
        <v>155</v>
      </c>
      <c r="C98" s="33" t="s">
        <v>248</v>
      </c>
      <c r="D98" s="33">
        <v>175</v>
      </c>
      <c r="E98" s="33">
        <f t="shared" si="20"/>
        <v>350</v>
      </c>
      <c r="F98" s="34">
        <f t="shared" si="21"/>
        <v>0.96</v>
      </c>
      <c r="G98" s="36">
        <f>'V5  Ark 2, beregning hastighet'!E73</f>
        <v>59.574468085106382</v>
      </c>
      <c r="H98" s="36">
        <f>'V5  Ark 2, beregning hastighet'!F73</f>
        <v>0</v>
      </c>
      <c r="I98" s="151">
        <v>6</v>
      </c>
      <c r="J98" s="151">
        <v>1</v>
      </c>
      <c r="K98" s="36">
        <f>I98/J98</f>
        <v>6</v>
      </c>
      <c r="L98" s="34">
        <f t="shared" si="23"/>
        <v>0.05</v>
      </c>
    </row>
    <row r="99" spans="1:12">
      <c r="A99" s="33" t="s">
        <v>313</v>
      </c>
      <c r="B99" s="37"/>
      <c r="C99" s="37"/>
      <c r="D99" s="37"/>
      <c r="E99" s="37"/>
      <c r="F99" s="152">
        <f>AVERAGE(F93:F98)</f>
        <v>0.70000000000000007</v>
      </c>
      <c r="G99" s="39">
        <f>AVERAGE(G93:G98)</f>
        <v>53.462544102689748</v>
      </c>
      <c r="H99" s="39">
        <f>AVERAGE(H93:H98)</f>
        <v>0</v>
      </c>
      <c r="I99" s="153"/>
      <c r="J99" s="153"/>
      <c r="K99" s="39">
        <f>AVERAGE(K93:K98)</f>
        <v>17.879166666666666</v>
      </c>
      <c r="L99" s="152">
        <f>AVERAGE(L93:L98)</f>
        <v>0.14899305555555556</v>
      </c>
    </row>
    <row r="100" spans="1:12">
      <c r="A100" s="33">
        <v>8</v>
      </c>
      <c r="B100" s="33" t="s">
        <v>155</v>
      </c>
      <c r="C100" s="33" t="s">
        <v>245</v>
      </c>
      <c r="D100" s="33">
        <v>183</v>
      </c>
      <c r="E100" s="33">
        <f>D100*$B$28</f>
        <v>366</v>
      </c>
      <c r="F100" s="34">
        <f>(D100-$B$11)/$D$11</f>
        <v>0.28000000000000003</v>
      </c>
      <c r="G100" s="36">
        <f>'V5  Ark 2, beregning hastighet'!E75</f>
        <v>61</v>
      </c>
      <c r="H100" s="36">
        <f>'V5  Ark 2, beregning hastighet'!F75</f>
        <v>0</v>
      </c>
      <c r="I100" s="151">
        <v>6287</v>
      </c>
      <c r="J100" s="151">
        <v>68</v>
      </c>
      <c r="K100" s="36">
        <f t="shared" ref="K100" si="24">I100/J100</f>
        <v>92.455882352941174</v>
      </c>
      <c r="L100" s="34">
        <f>K100/$B$25</f>
        <v>0.77046568627450973</v>
      </c>
    </row>
    <row r="101" spans="1:12">
      <c r="A101" s="33">
        <v>8</v>
      </c>
      <c r="B101" s="33" t="s">
        <v>155</v>
      </c>
      <c r="C101" s="33" t="s">
        <v>208</v>
      </c>
      <c r="D101" s="33">
        <v>196</v>
      </c>
      <c r="E101" s="33">
        <f>D101*$B$28</f>
        <v>392</v>
      </c>
      <c r="F101" s="34">
        <f>(D101-$B$11)/$D$11</f>
        <v>0.8</v>
      </c>
      <c r="G101" s="36">
        <f>'V5  Ark 2, beregning hastighet'!E76</f>
        <v>51.130434782608695</v>
      </c>
      <c r="H101" s="36">
        <f>'V5  Ark 2, beregning hastighet'!F76</f>
        <v>0</v>
      </c>
      <c r="I101" s="151">
        <v>315</v>
      </c>
      <c r="J101" s="151">
        <v>16</v>
      </c>
      <c r="K101" s="36">
        <f>I101/J101</f>
        <v>19.6875</v>
      </c>
      <c r="L101" s="34">
        <f>K101/$B$25</f>
        <v>0.1640625</v>
      </c>
    </row>
    <row r="102" spans="1:12">
      <c r="A102" s="33">
        <v>8</v>
      </c>
      <c r="B102" s="33" t="s">
        <v>155</v>
      </c>
      <c r="C102" s="33" t="s">
        <v>244</v>
      </c>
      <c r="D102" s="33">
        <v>199</v>
      </c>
      <c r="E102" s="33">
        <f>D102*$B$28</f>
        <v>398</v>
      </c>
      <c r="F102" s="34">
        <f>(D102-$B$11)/$D$11</f>
        <v>0.92</v>
      </c>
      <c r="G102" s="36">
        <f>'V5  Ark 2, beregning hastighet'!E77</f>
        <v>54.582857142857144</v>
      </c>
      <c r="H102" s="36">
        <f>'V5  Ark 2, beregning hastighet'!F77</f>
        <v>0</v>
      </c>
      <c r="I102" s="151">
        <v>5</v>
      </c>
      <c r="J102" s="151">
        <v>3</v>
      </c>
      <c r="K102" s="36">
        <f>I102/J102</f>
        <v>1.6666666666666667</v>
      </c>
      <c r="L102" s="34">
        <f>K102/$B$25</f>
        <v>1.388888888888889E-2</v>
      </c>
    </row>
    <row r="103" spans="1:12">
      <c r="A103" s="33">
        <v>8</v>
      </c>
      <c r="B103" s="33" t="s">
        <v>155</v>
      </c>
      <c r="C103" s="33" t="s">
        <v>243</v>
      </c>
      <c r="D103" s="33">
        <v>200</v>
      </c>
      <c r="E103" s="33">
        <f>D103*$B$28</f>
        <v>400</v>
      </c>
      <c r="F103" s="34">
        <f>(D103-$B$11)/$D$11</f>
        <v>0.96</v>
      </c>
      <c r="G103" s="36">
        <f>'V5  Ark 2, beregning hastighet'!E78</f>
        <v>45.070422535211272</v>
      </c>
      <c r="H103" s="36">
        <f>'V5  Ark 2, beregning hastighet'!F78</f>
        <v>0</v>
      </c>
      <c r="I103" s="151">
        <v>6</v>
      </c>
      <c r="J103" s="151">
        <v>1</v>
      </c>
      <c r="K103" s="36">
        <f>I103/J103</f>
        <v>6</v>
      </c>
      <c r="L103" s="34">
        <f>K103/$B$25</f>
        <v>0.05</v>
      </c>
    </row>
    <row r="104" spans="1:12">
      <c r="A104" s="33" t="s">
        <v>313</v>
      </c>
      <c r="B104" s="37"/>
      <c r="C104" s="37"/>
      <c r="D104" s="37"/>
      <c r="E104" s="37"/>
      <c r="F104" s="152">
        <f>AVERAGE(F100:F101)</f>
        <v>0.54</v>
      </c>
      <c r="G104" s="39">
        <f>AVERAGE(G100:G103)</f>
        <v>52.945928615169272</v>
      </c>
      <c r="H104" s="39">
        <f>AVERAGE(H100:H101)</f>
        <v>0</v>
      </c>
      <c r="I104" s="153"/>
      <c r="J104" s="153"/>
      <c r="K104" s="39">
        <f>AVERAGE(K100:K101)</f>
        <v>56.071691176470587</v>
      </c>
      <c r="L104" s="152">
        <f>AVERAGE(L100:L101)</f>
        <v>0.46726409313725487</v>
      </c>
    </row>
    <row r="105" spans="1:12">
      <c r="A105" s="33">
        <v>9</v>
      </c>
      <c r="B105" s="33" t="s">
        <v>155</v>
      </c>
      <c r="C105" s="33" t="s">
        <v>242</v>
      </c>
      <c r="D105" s="33">
        <v>208</v>
      </c>
      <c r="E105" s="33">
        <f>D105*$B$28</f>
        <v>416</v>
      </c>
      <c r="F105" s="34">
        <f>(D105-$B$12)/$D$12</f>
        <v>0.28000000000000003</v>
      </c>
      <c r="G105" s="36">
        <f>'V5  Ark 2, beregning hastighet'!E80</f>
        <v>51.730569948186535</v>
      </c>
      <c r="H105" s="36">
        <f>'V5  Ark 2, beregning hastighet'!F80</f>
        <v>0</v>
      </c>
      <c r="I105" s="151">
        <v>6</v>
      </c>
      <c r="J105" s="151">
        <v>1</v>
      </c>
      <c r="K105" s="36">
        <f>I105/J105</f>
        <v>6</v>
      </c>
      <c r="L105" s="34">
        <f>K105/$B$25</f>
        <v>0.05</v>
      </c>
    </row>
    <row r="106" spans="1:12">
      <c r="A106" s="33">
        <v>9</v>
      </c>
      <c r="B106" s="33" t="s">
        <v>155</v>
      </c>
      <c r="C106" s="33" t="s">
        <v>249</v>
      </c>
      <c r="D106" s="33">
        <v>213</v>
      </c>
      <c r="E106" s="33">
        <f>D106*$B$28</f>
        <v>426</v>
      </c>
      <c r="F106" s="34">
        <f>(D106-$B$12)/$D$12</f>
        <v>0.48</v>
      </c>
      <c r="G106" s="36">
        <f>'V5  Ark 2, beregning hastighet'!E81</f>
        <v>51.120000000000005</v>
      </c>
      <c r="H106" s="36">
        <f>'V5  Ark 2, beregning hastighet'!F81</f>
        <v>0</v>
      </c>
      <c r="I106" s="151">
        <v>5</v>
      </c>
      <c r="J106" s="151">
        <v>2</v>
      </c>
      <c r="K106" s="36">
        <f>I106/J106</f>
        <v>2.5</v>
      </c>
      <c r="L106" s="34">
        <f>K106/$B$25</f>
        <v>2.0833333333333332E-2</v>
      </c>
    </row>
    <row r="107" spans="1:12">
      <c r="A107" s="33">
        <v>9</v>
      </c>
      <c r="B107" s="33" t="s">
        <v>155</v>
      </c>
      <c r="C107" s="33" t="s">
        <v>214</v>
      </c>
      <c r="D107" s="33">
        <v>217</v>
      </c>
      <c r="E107" s="33">
        <f>D107*$B$28</f>
        <v>434</v>
      </c>
      <c r="F107" s="34">
        <f>(D107-$B$12)/$D$12</f>
        <v>0.64</v>
      </c>
      <c r="G107" s="36">
        <f>'V5  Ark 2, beregning hastighet'!E82</f>
        <v>55.700534759358291</v>
      </c>
      <c r="H107" s="36">
        <f>'V5  Ark 2, beregning hastighet'!F82</f>
        <v>0</v>
      </c>
      <c r="I107" s="151">
        <v>36</v>
      </c>
      <c r="J107" s="151">
        <v>2</v>
      </c>
      <c r="K107" s="36">
        <f t="shared" ref="K107" si="25">I107/J107</f>
        <v>18</v>
      </c>
      <c r="L107" s="34">
        <f>K107/$B$25</f>
        <v>0.15</v>
      </c>
    </row>
    <row r="108" spans="1:12">
      <c r="A108" s="33" t="s">
        <v>313</v>
      </c>
      <c r="B108" s="37"/>
      <c r="C108" s="37"/>
      <c r="D108" s="37"/>
      <c r="E108" s="37"/>
      <c r="F108" s="152">
        <f>AVERAGE(F105:F107)</f>
        <v>0.46666666666666662</v>
      </c>
      <c r="G108" s="39">
        <f>AVERAGE(G105:G107)</f>
        <v>52.850368235848272</v>
      </c>
      <c r="H108" s="39">
        <f>AVERAGE(H105:H107)</f>
        <v>0</v>
      </c>
      <c r="I108" s="153"/>
      <c r="J108" s="153"/>
      <c r="K108" s="39">
        <f>AVERAGE(K105:K107)</f>
        <v>8.8333333333333339</v>
      </c>
      <c r="L108" s="152">
        <f>AVERAGE(L105:L107)</f>
        <v>7.3611111111111113E-2</v>
      </c>
    </row>
    <row r="109" spans="1:12">
      <c r="A109" s="33">
        <v>10</v>
      </c>
      <c r="B109" s="33" t="s">
        <v>155</v>
      </c>
      <c r="C109" s="33" t="s">
        <v>263</v>
      </c>
      <c r="D109" s="33">
        <v>230</v>
      </c>
      <c r="E109" s="33">
        <f t="shared" ref="E109:E114" si="26">D109*$B$28</f>
        <v>460</v>
      </c>
      <c r="F109" s="34">
        <f t="shared" ref="F109:F114" si="27">(D109-$B$13)/$D$13</f>
        <v>0.16</v>
      </c>
      <c r="G109" s="36">
        <f>'V5  Ark 2, beregning hastighet'!E84</f>
        <v>64.561403508771932</v>
      </c>
      <c r="H109" s="36">
        <f>'V5  Ark 2, beregning hastighet'!F84</f>
        <v>0</v>
      </c>
      <c r="I109" s="159">
        <v>1342</v>
      </c>
      <c r="J109" s="33">
        <v>13</v>
      </c>
      <c r="K109" s="36">
        <f t="shared" ref="K109:K114" si="28">I109/J109</f>
        <v>103.23076923076923</v>
      </c>
      <c r="L109" s="34">
        <f t="shared" ref="L109:L114" si="29">K109/$B$25</f>
        <v>0.8602564102564102</v>
      </c>
    </row>
    <row r="110" spans="1:12">
      <c r="A110" s="33">
        <v>10</v>
      </c>
      <c r="B110" s="33" t="s">
        <v>155</v>
      </c>
      <c r="C110" s="33" t="s">
        <v>255</v>
      </c>
      <c r="D110" s="33">
        <v>233</v>
      </c>
      <c r="E110" s="33">
        <f t="shared" si="26"/>
        <v>466</v>
      </c>
      <c r="F110" s="34">
        <f t="shared" si="27"/>
        <v>0.28000000000000003</v>
      </c>
      <c r="G110" s="36">
        <f>'V5  Ark 2, beregning hastighet'!E85</f>
        <v>60.129032258064512</v>
      </c>
      <c r="H110" s="36">
        <f>'V5  Ark 2, beregning hastighet'!F85</f>
        <v>0</v>
      </c>
      <c r="I110" s="159">
        <v>2643</v>
      </c>
      <c r="J110" s="33">
        <v>35</v>
      </c>
      <c r="K110" s="36">
        <f t="shared" si="28"/>
        <v>75.51428571428572</v>
      </c>
      <c r="L110" s="34">
        <f t="shared" si="29"/>
        <v>0.62928571428571434</v>
      </c>
    </row>
    <row r="111" spans="1:12">
      <c r="A111" s="33">
        <v>10</v>
      </c>
      <c r="B111" s="33" t="s">
        <v>155</v>
      </c>
      <c r="C111" s="33" t="s">
        <v>216</v>
      </c>
      <c r="D111" s="33">
        <v>241</v>
      </c>
      <c r="E111" s="33">
        <f t="shared" si="26"/>
        <v>482</v>
      </c>
      <c r="F111" s="34">
        <f t="shared" si="27"/>
        <v>0.6</v>
      </c>
      <c r="G111" s="36">
        <f>'V5  Ark 2, beregning hastighet'!E86</f>
        <v>55.085714285714289</v>
      </c>
      <c r="H111" s="36">
        <f>'V5  Ark 2, beregning hastighet'!F86</f>
        <v>0</v>
      </c>
      <c r="I111" s="151">
        <v>38</v>
      </c>
      <c r="J111" s="151">
        <v>4</v>
      </c>
      <c r="K111" s="36">
        <f t="shared" si="28"/>
        <v>9.5</v>
      </c>
      <c r="L111" s="34">
        <f t="shared" si="29"/>
        <v>7.9166666666666663E-2</v>
      </c>
    </row>
    <row r="112" spans="1:12">
      <c r="A112" s="33">
        <v>10</v>
      </c>
      <c r="B112" s="33" t="s">
        <v>155</v>
      </c>
      <c r="C112" s="33" t="s">
        <v>256</v>
      </c>
      <c r="D112" s="33">
        <v>244</v>
      </c>
      <c r="E112" s="33">
        <f t="shared" si="26"/>
        <v>488</v>
      </c>
      <c r="F112" s="34">
        <f t="shared" si="27"/>
        <v>0.72</v>
      </c>
      <c r="G112" s="36">
        <f>'V5  Ark 2, beregning hastighet'!E87</f>
        <v>61.642105263157902</v>
      </c>
      <c r="H112" s="36">
        <f>'V5  Ark 2, beregning hastighet'!F87</f>
        <v>0</v>
      </c>
      <c r="I112" s="159">
        <v>533</v>
      </c>
      <c r="J112" s="33">
        <v>81</v>
      </c>
      <c r="K112" s="36">
        <f t="shared" si="28"/>
        <v>6.5802469135802468</v>
      </c>
      <c r="L112" s="34">
        <f t="shared" si="29"/>
        <v>5.4835390946502055E-2</v>
      </c>
    </row>
    <row r="113" spans="1:12">
      <c r="A113" s="33">
        <v>10</v>
      </c>
      <c r="B113" s="33" t="s">
        <v>155</v>
      </c>
      <c r="C113" s="33" t="s">
        <v>215</v>
      </c>
      <c r="D113" s="33">
        <v>246</v>
      </c>
      <c r="E113" s="33">
        <f t="shared" si="26"/>
        <v>492</v>
      </c>
      <c r="F113" s="34">
        <f t="shared" si="27"/>
        <v>0.8</v>
      </c>
      <c r="G113" s="36">
        <f>'V5  Ark 2, beregning hastighet'!E88</f>
        <v>53.672727272727279</v>
      </c>
      <c r="H113" s="36">
        <f>'V5  Ark 2, beregning hastighet'!F88</f>
        <v>0</v>
      </c>
      <c r="I113" s="151">
        <v>33</v>
      </c>
      <c r="J113" s="151">
        <v>4</v>
      </c>
      <c r="K113" s="36">
        <f t="shared" si="28"/>
        <v>8.25</v>
      </c>
      <c r="L113" s="34">
        <f t="shared" si="29"/>
        <v>6.8750000000000006E-2</v>
      </c>
    </row>
    <row r="114" spans="1:12">
      <c r="A114" s="33">
        <v>10</v>
      </c>
      <c r="B114" s="33" t="s">
        <v>155</v>
      </c>
      <c r="C114" s="33" t="s">
        <v>250</v>
      </c>
      <c r="D114" s="33">
        <v>249</v>
      </c>
      <c r="E114" s="33">
        <f t="shared" si="26"/>
        <v>498</v>
      </c>
      <c r="F114" s="34">
        <f t="shared" si="27"/>
        <v>0.92</v>
      </c>
      <c r="G114" s="36">
        <f>'V5  Ark 2, beregning hastighet'!E89</f>
        <v>59.462686567164184</v>
      </c>
      <c r="H114" s="36">
        <f>'V5  Ark 2, beregning hastighet'!F89</f>
        <v>0</v>
      </c>
      <c r="I114" s="151">
        <v>9</v>
      </c>
      <c r="J114" s="151">
        <v>1</v>
      </c>
      <c r="K114" s="36">
        <f t="shared" si="28"/>
        <v>9</v>
      </c>
      <c r="L114" s="34">
        <f t="shared" si="29"/>
        <v>7.4999999999999997E-2</v>
      </c>
    </row>
    <row r="115" spans="1:12">
      <c r="A115" s="33" t="s">
        <v>313</v>
      </c>
      <c r="B115" s="37"/>
      <c r="C115" s="37"/>
      <c r="D115" s="37"/>
      <c r="E115" s="37"/>
      <c r="F115" s="152">
        <f>AVERAGE(F109:F113)</f>
        <v>0.51200000000000001</v>
      </c>
      <c r="G115" s="39">
        <f>AVERAGE(G109:G113)</f>
        <v>59.01819651768718</v>
      </c>
      <c r="H115" s="39">
        <f>AVERAGE(H109:H113)</f>
        <v>0</v>
      </c>
      <c r="I115" s="153"/>
      <c r="J115" s="153"/>
      <c r="K115" s="39">
        <f>AVERAGE(K109:K113)</f>
        <v>40.61506037172704</v>
      </c>
      <c r="L115" s="152">
        <f>AVERAGE(L109:L113)</f>
        <v>0.33845883643105867</v>
      </c>
    </row>
    <row r="116" spans="1:12">
      <c r="A116" s="33">
        <v>11</v>
      </c>
      <c r="B116" s="33" t="s">
        <v>155</v>
      </c>
      <c r="C116" s="59" t="s">
        <v>217</v>
      </c>
      <c r="D116" s="59">
        <v>251</v>
      </c>
      <c r="E116" s="33">
        <f>D116*$B$28</f>
        <v>502</v>
      </c>
      <c r="F116" s="34">
        <f>(D116-$B$14)/$D$14</f>
        <v>0</v>
      </c>
      <c r="G116" s="36">
        <f>'V5  Ark 2, beregning hastighet'!E91</f>
        <v>45.809885931558938</v>
      </c>
      <c r="H116" s="36">
        <f>'V5  Ark 2, beregning hastighet'!F91</f>
        <v>0</v>
      </c>
      <c r="I116" s="155">
        <v>22</v>
      </c>
      <c r="J116" s="155">
        <v>5</v>
      </c>
      <c r="K116" s="36">
        <f>I116/J116</f>
        <v>4.4000000000000004</v>
      </c>
      <c r="L116" s="34">
        <f>K116/$B$25</f>
        <v>3.6666666666666667E-2</v>
      </c>
    </row>
    <row r="117" spans="1:12">
      <c r="A117" s="33">
        <v>11</v>
      </c>
      <c r="B117" s="33" t="s">
        <v>155</v>
      </c>
      <c r="C117" s="33" t="s">
        <v>296</v>
      </c>
      <c r="D117" s="33">
        <v>255</v>
      </c>
      <c r="E117" s="33">
        <f>D117*$B$28</f>
        <v>510</v>
      </c>
      <c r="F117" s="34">
        <f>(D117-$B$14)/$D$14</f>
        <v>0.16</v>
      </c>
      <c r="G117" s="36">
        <f>'V5  Ark 2, beregning hastighet'!E92</f>
        <v>61.818181818181827</v>
      </c>
      <c r="H117" s="36">
        <f>'V5  Ark 2, beregning hastighet'!F92</f>
        <v>0</v>
      </c>
      <c r="I117" s="151">
        <v>3923</v>
      </c>
      <c r="J117" s="151">
        <v>50</v>
      </c>
      <c r="K117" s="36">
        <f>I117/J117</f>
        <v>78.459999999999994</v>
      </c>
      <c r="L117" s="34">
        <f>K117/$B$25</f>
        <v>0.65383333333333327</v>
      </c>
    </row>
    <row r="118" spans="1:12">
      <c r="A118" s="33">
        <v>11</v>
      </c>
      <c r="B118" s="33" t="s">
        <v>155</v>
      </c>
      <c r="C118" s="33" t="s">
        <v>257</v>
      </c>
      <c r="D118" s="33">
        <v>270</v>
      </c>
      <c r="E118" s="33">
        <f>D118*$B$28</f>
        <v>540</v>
      </c>
      <c r="F118" s="34">
        <f>(D118-$B$14)/$D$14</f>
        <v>0.76</v>
      </c>
      <c r="G118" s="36">
        <f>'V5  Ark 2, beregning hastighet'!E93</f>
        <v>56.593886462882097</v>
      </c>
      <c r="H118" s="36">
        <f>'V5  Ark 2, beregning hastighet'!F93</f>
        <v>0</v>
      </c>
      <c r="I118" s="151">
        <v>2678</v>
      </c>
      <c r="J118" s="151">
        <v>41</v>
      </c>
      <c r="K118" s="36">
        <f>I118/J118</f>
        <v>65.317073170731703</v>
      </c>
      <c r="L118" s="34">
        <f>K118/$B$25</f>
        <v>0.5443089430894309</v>
      </c>
    </row>
    <row r="119" spans="1:12">
      <c r="A119" s="33">
        <v>11</v>
      </c>
      <c r="B119" s="33" t="s">
        <v>155</v>
      </c>
      <c r="C119" s="33" t="s">
        <v>252</v>
      </c>
      <c r="D119" s="33">
        <v>270</v>
      </c>
      <c r="E119" s="33">
        <f>D119*$B$28</f>
        <v>540</v>
      </c>
      <c r="F119" s="34">
        <f>(D119-$B$14)/$D$14</f>
        <v>0.76</v>
      </c>
      <c r="G119" s="36">
        <f>'V5  Ark 2, beregning hastighet'!E94</f>
        <v>60.845070422535223</v>
      </c>
      <c r="H119" s="36">
        <f>'V5  Ark 2, beregning hastighet'!F94</f>
        <v>0</v>
      </c>
      <c r="I119" s="159">
        <v>1359</v>
      </c>
      <c r="J119" s="33">
        <v>18</v>
      </c>
      <c r="K119" s="36">
        <f>I119/J119</f>
        <v>75.5</v>
      </c>
      <c r="L119" s="34">
        <f>K119/$B$25</f>
        <v>0.62916666666666665</v>
      </c>
    </row>
    <row r="120" spans="1:12">
      <c r="A120" s="33" t="s">
        <v>313</v>
      </c>
      <c r="B120" s="37"/>
      <c r="C120" s="37"/>
      <c r="D120" s="37"/>
      <c r="E120" s="37"/>
      <c r="F120" s="152">
        <f>AVERAGE(F117:F119)</f>
        <v>0.56000000000000005</v>
      </c>
      <c r="G120" s="39">
        <f>AVERAGE(G117:G118)</f>
        <v>59.206034140531962</v>
      </c>
      <c r="H120" s="39">
        <f>AVERAGE(H117:H118)</f>
        <v>0</v>
      </c>
      <c r="I120" s="153"/>
      <c r="J120" s="153"/>
      <c r="K120" s="39">
        <f>AVERAGE(K117:K118)</f>
        <v>71.888536585365841</v>
      </c>
      <c r="L120" s="152">
        <f>AVERAGE(L117:L119)</f>
        <v>0.6091029810298102</v>
      </c>
    </row>
    <row r="121" spans="1:12">
      <c r="A121" s="33">
        <v>12</v>
      </c>
      <c r="B121" s="33" t="s">
        <v>155</v>
      </c>
      <c r="C121" s="33" t="s">
        <v>251</v>
      </c>
      <c r="D121" s="33">
        <v>279</v>
      </c>
      <c r="E121" s="33">
        <f>D121*$B$28</f>
        <v>558</v>
      </c>
      <c r="F121" s="34">
        <f>(D121-$B$15)/$D$15</f>
        <v>0.12</v>
      </c>
      <c r="G121" s="36">
        <f>'V5  Ark 2, beregning hastighet'!E96</f>
        <v>57.724137931034477</v>
      </c>
      <c r="H121" s="36">
        <f>'V5  Ark 2, beregning hastighet'!F96</f>
        <v>0</v>
      </c>
      <c r="I121" s="151">
        <v>445</v>
      </c>
      <c r="J121" s="151">
        <v>5</v>
      </c>
      <c r="K121" s="36">
        <f>I121/J121</f>
        <v>89</v>
      </c>
      <c r="L121" s="34">
        <f>K121/$B$25</f>
        <v>0.7416666666666667</v>
      </c>
    </row>
    <row r="122" spans="1:12">
      <c r="A122" s="33">
        <v>12</v>
      </c>
      <c r="B122" s="33" t="s">
        <v>155</v>
      </c>
      <c r="C122" s="33" t="s">
        <v>259</v>
      </c>
      <c r="D122" s="33">
        <v>282</v>
      </c>
      <c r="E122" s="33">
        <f>D122*$B$28</f>
        <v>564</v>
      </c>
      <c r="F122" s="34">
        <f>(D122-$B$15)/$D$15</f>
        <v>0.24</v>
      </c>
      <c r="G122" s="36">
        <f>'V5  Ark 2, beregning hastighet'!E97</f>
        <v>50.696629213483149</v>
      </c>
      <c r="H122" s="36">
        <f>'V5  Ark 2, beregning hastighet'!F97</f>
        <v>0</v>
      </c>
      <c r="I122" s="151">
        <v>12</v>
      </c>
      <c r="J122" s="151">
        <v>3</v>
      </c>
      <c r="K122" s="36">
        <f>I122/J122</f>
        <v>4</v>
      </c>
      <c r="L122" s="34">
        <f>K122/$B$25</f>
        <v>3.3333333333333333E-2</v>
      </c>
    </row>
    <row r="123" spans="1:12">
      <c r="A123" s="33">
        <v>12</v>
      </c>
      <c r="B123" s="33" t="s">
        <v>155</v>
      </c>
      <c r="C123" s="33" t="s">
        <v>258</v>
      </c>
      <c r="D123" s="33">
        <v>284</v>
      </c>
      <c r="E123" s="33">
        <f>D123*$B$28</f>
        <v>568</v>
      </c>
      <c r="F123" s="34">
        <f>(D123-$B$15)/$D$15</f>
        <v>0.32</v>
      </c>
      <c r="G123" s="36">
        <f>'V5  Ark 2, beregning hastighet'!E98</f>
        <v>59.528384279475986</v>
      </c>
      <c r="H123" s="36">
        <f>'V5  Ark 2, beregning hastighet'!F98</f>
        <v>0</v>
      </c>
      <c r="I123" s="159">
        <v>7</v>
      </c>
      <c r="J123" s="33">
        <v>3</v>
      </c>
      <c r="K123" s="36">
        <f>I123/J123</f>
        <v>2.3333333333333335</v>
      </c>
      <c r="L123" s="34">
        <f>K123/$B$25</f>
        <v>1.9444444444444445E-2</v>
      </c>
    </row>
    <row r="124" spans="1:12">
      <c r="A124" s="33">
        <v>12</v>
      </c>
      <c r="B124" s="33" t="s">
        <v>155</v>
      </c>
      <c r="C124" s="33" t="s">
        <v>261</v>
      </c>
      <c r="D124" s="33">
        <v>296</v>
      </c>
      <c r="E124" s="33">
        <f>D124*$B$28</f>
        <v>592</v>
      </c>
      <c r="F124" s="34">
        <f>(D124-$B$15)/$D$15</f>
        <v>0.8</v>
      </c>
      <c r="G124" s="36">
        <f>'V5  Ark 2, beregning hastighet'!E99</f>
        <v>55.71764705882353</v>
      </c>
      <c r="H124" s="36">
        <f>'V5  Ark 2, beregning hastighet'!F99</f>
        <v>0</v>
      </c>
      <c r="I124" s="151">
        <v>1941</v>
      </c>
      <c r="J124" s="151">
        <v>17</v>
      </c>
      <c r="K124" s="36">
        <f>I124/J124</f>
        <v>114.17647058823529</v>
      </c>
      <c r="L124" s="34">
        <f>K124/$B$25</f>
        <v>0.95147058823529407</v>
      </c>
    </row>
    <row r="125" spans="1:12">
      <c r="A125" s="33" t="s">
        <v>313</v>
      </c>
      <c r="B125" s="37"/>
      <c r="C125" s="37"/>
      <c r="D125" s="37"/>
      <c r="E125" s="37"/>
      <c r="F125" s="38">
        <f>AVERAGE(F121:F124)</f>
        <v>0.37</v>
      </c>
      <c r="G125" s="39">
        <f>AVERAGE(G121:G124)</f>
        <v>55.916699620704286</v>
      </c>
      <c r="H125" s="39">
        <f>AVERAGE(H121:H124)</f>
        <v>0</v>
      </c>
      <c r="I125" s="153"/>
      <c r="J125" s="153"/>
      <c r="K125" s="39">
        <f>AVERAGE(K121:K124)</f>
        <v>52.377450980392155</v>
      </c>
      <c r="L125" s="152">
        <f>AVERAGE(L121:L124)</f>
        <v>0.43647875816993464</v>
      </c>
    </row>
    <row r="126" spans="1:12">
      <c r="A126" s="33">
        <v>13</v>
      </c>
      <c r="B126" s="33" t="s">
        <v>155</v>
      </c>
      <c r="C126" s="33" t="s">
        <v>260</v>
      </c>
      <c r="D126" s="33">
        <v>302</v>
      </c>
      <c r="E126" s="33">
        <f>D126*$B$28</f>
        <v>604</v>
      </c>
      <c r="F126" s="34">
        <f>(D126-$B$16)/$D$16</f>
        <v>0.04</v>
      </c>
      <c r="G126" s="36">
        <f>'V5  Ark 2, beregning hastighet'!E101</f>
        <v>59.900826446281002</v>
      </c>
      <c r="H126" s="36">
        <f>'V5  Ark 2, beregning hastighet'!F101</f>
        <v>0</v>
      </c>
      <c r="I126" s="159">
        <v>309</v>
      </c>
      <c r="J126" s="33">
        <v>5</v>
      </c>
      <c r="K126" s="36">
        <f>I126/J126</f>
        <v>61.8</v>
      </c>
      <c r="L126" s="34">
        <f>K126/$B$25</f>
        <v>0.51500000000000001</v>
      </c>
    </row>
    <row r="127" spans="1:12">
      <c r="A127" s="33">
        <v>13</v>
      </c>
      <c r="B127" s="33" t="s">
        <v>155</v>
      </c>
      <c r="C127" s="33" t="s">
        <v>253</v>
      </c>
      <c r="D127" s="33">
        <v>319</v>
      </c>
      <c r="E127" s="33">
        <f>D127*$B$28</f>
        <v>638</v>
      </c>
      <c r="F127" s="34">
        <f>(D127-$B$16)/$D$16</f>
        <v>0.72</v>
      </c>
      <c r="G127" s="36">
        <f>'V5  Ark 2, beregning hastighet'!E102</f>
        <v>56.711111111111109</v>
      </c>
      <c r="H127" s="36">
        <f>'V5  Ark 2, beregning hastighet'!F102</f>
        <v>0</v>
      </c>
      <c r="I127" s="151">
        <v>3530</v>
      </c>
      <c r="J127" s="151">
        <v>35</v>
      </c>
      <c r="K127" s="36">
        <f>I127/J127</f>
        <v>100.85714285714286</v>
      </c>
      <c r="L127" s="34">
        <f>K127/$B$25</f>
        <v>0.84047619047619049</v>
      </c>
    </row>
    <row r="128" spans="1:12">
      <c r="A128" s="33" t="s">
        <v>313</v>
      </c>
      <c r="B128" s="37"/>
      <c r="C128" s="37"/>
      <c r="D128" s="37"/>
      <c r="E128" s="37"/>
      <c r="F128" s="152">
        <f>AVERAGE(F126:F127)</f>
        <v>0.38</v>
      </c>
      <c r="G128" s="39">
        <f>AVERAGE(G127:G127)</f>
        <v>56.711111111111109</v>
      </c>
      <c r="H128" s="39">
        <f>AVERAGE(H127:H127)</f>
        <v>0</v>
      </c>
      <c r="I128" s="153"/>
      <c r="J128" s="153"/>
      <c r="K128" s="39">
        <f>AVERAGE(K126:K127)</f>
        <v>81.328571428571422</v>
      </c>
      <c r="L128" s="152">
        <f>AVERAGE(L126:L127)</f>
        <v>0.67773809523809525</v>
      </c>
    </row>
    <row r="129" spans="1:12">
      <c r="A129" s="33">
        <v>14</v>
      </c>
      <c r="B129" s="33" t="s">
        <v>155</v>
      </c>
      <c r="C129" s="33" t="s">
        <v>262</v>
      </c>
      <c r="D129" s="33">
        <v>327</v>
      </c>
      <c r="E129" s="33">
        <f t="shared" ref="E129:E134" si="30">D129*$B$28</f>
        <v>654</v>
      </c>
      <c r="F129" s="34">
        <f t="shared" ref="F129:F134" si="31">(D129-$B$17)/$D$17</f>
        <v>0.04</v>
      </c>
      <c r="G129" s="36">
        <f>'V5  Ark 2, beregning hastighet'!E104</f>
        <v>57.705882352941188</v>
      </c>
      <c r="H129" s="36">
        <f>'V5  Ark 2, beregning hastighet'!F104</f>
        <v>0</v>
      </c>
      <c r="I129" s="151">
        <v>1097</v>
      </c>
      <c r="J129" s="151">
        <v>16</v>
      </c>
      <c r="K129" s="36">
        <f t="shared" ref="K129:K134" si="32">I129/J129</f>
        <v>68.5625</v>
      </c>
      <c r="L129" s="34">
        <f t="shared" ref="L129:L134" si="33">K129/$B$25</f>
        <v>0.57135416666666672</v>
      </c>
    </row>
    <row r="130" spans="1:12">
      <c r="A130" s="33">
        <v>14</v>
      </c>
      <c r="B130" s="33" t="s">
        <v>155</v>
      </c>
      <c r="C130" s="33" t="s">
        <v>285</v>
      </c>
      <c r="D130" s="33">
        <v>328</v>
      </c>
      <c r="E130" s="33">
        <f t="shared" si="30"/>
        <v>656</v>
      </c>
      <c r="F130" s="34">
        <f t="shared" si="31"/>
        <v>0.08</v>
      </c>
      <c r="G130" s="36">
        <f>'V5  Ark 2, beregning hastighet'!E105</f>
        <v>54.666666666666679</v>
      </c>
      <c r="H130" s="36">
        <f>'V5  Ark 2, beregning hastighet'!F105</f>
        <v>0</v>
      </c>
      <c r="I130" s="159">
        <v>5</v>
      </c>
      <c r="J130" s="33">
        <v>1</v>
      </c>
      <c r="K130" s="36">
        <f t="shared" si="32"/>
        <v>5</v>
      </c>
      <c r="L130" s="34">
        <f t="shared" si="33"/>
        <v>4.1666666666666664E-2</v>
      </c>
    </row>
    <row r="131" spans="1:12">
      <c r="A131" s="33">
        <v>14</v>
      </c>
      <c r="B131" s="33" t="s">
        <v>155</v>
      </c>
      <c r="C131" s="33" t="s">
        <v>281</v>
      </c>
      <c r="D131" s="33">
        <v>333</v>
      </c>
      <c r="E131" s="33">
        <f t="shared" si="30"/>
        <v>666</v>
      </c>
      <c r="F131" s="34">
        <f t="shared" si="31"/>
        <v>0.28000000000000003</v>
      </c>
      <c r="G131" s="36">
        <f>'V5  Ark 2, beregning hastighet'!E106</f>
        <v>52.752475247524757</v>
      </c>
      <c r="H131" s="36">
        <f>'V5  Ark 2, beregning hastighet'!F106</f>
        <v>0</v>
      </c>
      <c r="I131" s="151">
        <v>1176</v>
      </c>
      <c r="J131" s="151">
        <v>18</v>
      </c>
      <c r="K131" s="36">
        <f t="shared" si="32"/>
        <v>65.333333333333329</v>
      </c>
      <c r="L131" s="34">
        <f t="shared" si="33"/>
        <v>0.5444444444444444</v>
      </c>
    </row>
    <row r="132" spans="1:12">
      <c r="A132" s="33">
        <v>14</v>
      </c>
      <c r="B132" s="33" t="s">
        <v>155</v>
      </c>
      <c r="C132" s="33" t="s">
        <v>254</v>
      </c>
      <c r="D132" s="33">
        <v>336</v>
      </c>
      <c r="E132" s="33">
        <f t="shared" si="30"/>
        <v>672</v>
      </c>
      <c r="F132" s="34">
        <f t="shared" si="31"/>
        <v>0.4</v>
      </c>
      <c r="G132" s="36">
        <f>'V5  Ark 2, beregning hastighet'!E107</f>
        <v>57.191489361702125</v>
      </c>
      <c r="H132" s="36">
        <f>'V5  Ark 2, beregning hastighet'!F107</f>
        <v>0</v>
      </c>
      <c r="I132" s="151">
        <v>1833</v>
      </c>
      <c r="J132" s="151">
        <v>30</v>
      </c>
      <c r="K132" s="36">
        <f t="shared" si="32"/>
        <v>61.1</v>
      </c>
      <c r="L132" s="34">
        <f t="shared" si="33"/>
        <v>0.50916666666666666</v>
      </c>
    </row>
    <row r="133" spans="1:12">
      <c r="A133" s="33">
        <v>14</v>
      </c>
      <c r="B133" s="33" t="s">
        <v>155</v>
      </c>
      <c r="C133" s="33" t="s">
        <v>274</v>
      </c>
      <c r="D133" s="33">
        <v>338</v>
      </c>
      <c r="E133" s="33">
        <f t="shared" si="30"/>
        <v>676</v>
      </c>
      <c r="F133" s="34">
        <f t="shared" si="31"/>
        <v>0.48</v>
      </c>
      <c r="G133" s="36">
        <f>'V5  Ark 2, beregning hastighet'!E108</f>
        <v>42.58267716535434</v>
      </c>
      <c r="H133" s="36">
        <f>'V5  Ark 2, beregning hastighet'!F108</f>
        <v>0</v>
      </c>
      <c r="I133" s="151">
        <v>550</v>
      </c>
      <c r="J133" s="151">
        <v>25</v>
      </c>
      <c r="K133" s="36">
        <f t="shared" si="32"/>
        <v>22</v>
      </c>
      <c r="L133" s="34">
        <f t="shared" si="33"/>
        <v>0.18333333333333332</v>
      </c>
    </row>
    <row r="134" spans="1:12">
      <c r="A134" s="33">
        <v>14</v>
      </c>
      <c r="B134" s="33" t="s">
        <v>155</v>
      </c>
      <c r="C134" s="33" t="s">
        <v>284</v>
      </c>
      <c r="D134" s="33">
        <v>343</v>
      </c>
      <c r="E134" s="33">
        <f t="shared" si="30"/>
        <v>686</v>
      </c>
      <c r="F134" s="34">
        <f t="shared" si="31"/>
        <v>0.68</v>
      </c>
      <c r="G134" s="36">
        <f>'V5  Ark 2, beregning hastighet'!E109</f>
        <v>53.98032786885247</v>
      </c>
      <c r="H134" s="36">
        <f>'V5  Ark 2, beregning hastighet'!F109</f>
        <v>0</v>
      </c>
      <c r="I134" s="159">
        <v>32</v>
      </c>
      <c r="J134" s="33">
        <v>3</v>
      </c>
      <c r="K134" s="36">
        <f t="shared" si="32"/>
        <v>10.666666666666666</v>
      </c>
      <c r="L134" s="34">
        <f t="shared" si="33"/>
        <v>8.8888888888888878E-2</v>
      </c>
    </row>
    <row r="135" spans="1:12">
      <c r="A135" s="33" t="s">
        <v>313</v>
      </c>
      <c r="B135" s="37"/>
      <c r="C135" s="37"/>
      <c r="D135" s="37"/>
      <c r="E135" s="37"/>
      <c r="F135" s="152">
        <f>AVERAGE(F129:F134)</f>
        <v>0.32666666666666666</v>
      </c>
      <c r="G135" s="39">
        <f>AVERAGE(G129:G133)</f>
        <v>52.979838158837808</v>
      </c>
      <c r="H135" s="39">
        <f>AVERAGE(H129:H133)</f>
        <v>0</v>
      </c>
      <c r="I135" s="153"/>
      <c r="J135" s="153"/>
      <c r="K135" s="39">
        <f>AVERAGE(K129:K133)</f>
        <v>44.399166666666659</v>
      </c>
      <c r="L135" s="152">
        <f>AVERAGE(L129:L134)</f>
        <v>0.32314236111111111</v>
      </c>
    </row>
    <row r="136" spans="1:12">
      <c r="A136" s="33">
        <v>15</v>
      </c>
      <c r="B136" s="33" t="s">
        <v>155</v>
      </c>
      <c r="C136" s="33" t="s">
        <v>283</v>
      </c>
      <c r="D136" s="33">
        <v>356</v>
      </c>
      <c r="E136" s="33">
        <f>D136*$B$28</f>
        <v>712</v>
      </c>
      <c r="F136" s="34">
        <f>(D136-$B$18)/$D$18</f>
        <v>0.2</v>
      </c>
      <c r="G136" s="36">
        <f>'V5  Ark 2, beregning hastighet'!E111</f>
        <v>49.530434782608694</v>
      </c>
      <c r="H136" s="36">
        <f>'V5  Ark 2, beregning hastighet'!F111</f>
        <v>0</v>
      </c>
      <c r="I136" s="159">
        <v>20</v>
      </c>
      <c r="J136" s="33">
        <v>2</v>
      </c>
      <c r="K136" s="36">
        <f>I136/J136</f>
        <v>10</v>
      </c>
      <c r="L136" s="34">
        <f>K136/$B$25</f>
        <v>8.3333333333333329E-2</v>
      </c>
    </row>
    <row r="137" spans="1:12">
      <c r="A137" s="33">
        <v>15</v>
      </c>
      <c r="B137" s="33" t="s">
        <v>155</v>
      </c>
      <c r="C137" s="33" t="s">
        <v>266</v>
      </c>
      <c r="D137" s="33">
        <v>359</v>
      </c>
      <c r="E137" s="33">
        <f>D137*$B$28</f>
        <v>718</v>
      </c>
      <c r="F137" s="34">
        <f>(D137-$B$18)/$D$18</f>
        <v>0.32</v>
      </c>
      <c r="G137" s="36">
        <f>'V5  Ark 2, beregning hastighet'!E112</f>
        <v>54.704761904761909</v>
      </c>
      <c r="H137" s="36">
        <f>'V5  Ark 2, beregning hastighet'!F112</f>
        <v>0</v>
      </c>
      <c r="I137" s="151">
        <v>553</v>
      </c>
      <c r="J137" s="151">
        <v>8</v>
      </c>
      <c r="K137" s="36">
        <f>I137/J137</f>
        <v>69.125</v>
      </c>
      <c r="L137" s="34">
        <f>K137/$B$25</f>
        <v>0.57604166666666667</v>
      </c>
    </row>
    <row r="138" spans="1:12">
      <c r="A138" s="33">
        <v>15</v>
      </c>
      <c r="B138" s="33" t="s">
        <v>155</v>
      </c>
      <c r="C138" s="33" t="s">
        <v>273</v>
      </c>
      <c r="D138" s="33">
        <v>365</v>
      </c>
      <c r="E138" s="33">
        <f>D138*$B$28</f>
        <v>730</v>
      </c>
      <c r="F138" s="34">
        <f>(D138-$B$18)/$D$18</f>
        <v>0.56000000000000005</v>
      </c>
      <c r="G138" s="36">
        <f>'V5  Ark 2, beregning hastighet'!E113</f>
        <v>56.334405144694529</v>
      </c>
      <c r="H138" s="36">
        <f>'V5  Ark 2, beregning hastighet'!F113</f>
        <v>0</v>
      </c>
      <c r="I138" s="151">
        <v>4365</v>
      </c>
      <c r="J138" s="151">
        <v>116</v>
      </c>
      <c r="K138" s="36">
        <f>I138/J138</f>
        <v>37.629310344827587</v>
      </c>
      <c r="L138" s="34">
        <f>K138/$B$25</f>
        <v>0.31357758620689657</v>
      </c>
    </row>
    <row r="139" spans="1:12">
      <c r="A139" s="33">
        <v>15</v>
      </c>
      <c r="B139" s="33" t="s">
        <v>155</v>
      </c>
      <c r="C139" s="33" t="s">
        <v>278</v>
      </c>
      <c r="D139" s="33">
        <v>370</v>
      </c>
      <c r="E139" s="33">
        <f>D139*$B$28</f>
        <v>740</v>
      </c>
      <c r="F139" s="34">
        <f>(D139-$B$18)/$D$18</f>
        <v>0.76</v>
      </c>
      <c r="G139" s="36">
        <f>'V5  Ark 2, beregning hastighet'!E114</f>
        <v>53.981762917933139</v>
      </c>
      <c r="H139" s="36">
        <f>'V5  Ark 2, beregning hastighet'!F114</f>
        <v>0</v>
      </c>
      <c r="I139" s="151">
        <v>7432</v>
      </c>
      <c r="J139" s="151">
        <v>147</v>
      </c>
      <c r="K139" s="36">
        <f>I139/J139</f>
        <v>50.557823129251702</v>
      </c>
      <c r="L139" s="34">
        <f>K139/$B$25</f>
        <v>0.42131519274376417</v>
      </c>
    </row>
    <row r="140" spans="1:12">
      <c r="A140" s="33">
        <v>15</v>
      </c>
      <c r="B140" s="33" t="s">
        <v>155</v>
      </c>
      <c r="C140" s="33" t="s">
        <v>265</v>
      </c>
      <c r="D140" s="33">
        <v>373</v>
      </c>
      <c r="E140" s="33">
        <f>D140*$B$28</f>
        <v>746</v>
      </c>
      <c r="F140" s="34">
        <f>(D140-$B$18)/$D$18</f>
        <v>0.88</v>
      </c>
      <c r="G140" s="36">
        <f>'V5  Ark 2, beregning hastighet'!E115</f>
        <v>53.765765765765764</v>
      </c>
      <c r="H140" s="36">
        <f>'V5  Ark 2, beregning hastighet'!F115</f>
        <v>0</v>
      </c>
      <c r="I140" s="151">
        <v>84</v>
      </c>
      <c r="J140" s="151">
        <v>14</v>
      </c>
      <c r="K140" s="36">
        <f>I140/J140</f>
        <v>6</v>
      </c>
      <c r="L140" s="34">
        <f>K140/$B$25</f>
        <v>0.05</v>
      </c>
    </row>
    <row r="141" spans="1:12">
      <c r="A141" s="33" t="s">
        <v>313</v>
      </c>
      <c r="B141" s="37"/>
      <c r="C141" s="37"/>
      <c r="D141" s="37"/>
      <c r="E141" s="37"/>
      <c r="F141" s="152">
        <f>AVERAGE(F136:F140)</f>
        <v>0.54400000000000004</v>
      </c>
      <c r="G141" s="39">
        <f>AVERAGE(G137:G140)</f>
        <v>54.696673933288835</v>
      </c>
      <c r="H141" s="39">
        <f>AVERAGE(H137:H140)</f>
        <v>0</v>
      </c>
      <c r="I141" s="153"/>
      <c r="J141" s="153"/>
      <c r="K141" s="39">
        <f>AVERAGE(K137:K140)</f>
        <v>40.828033368519826</v>
      </c>
      <c r="L141" s="152">
        <f>AVERAGE(L136:L140)</f>
        <v>0.28885355579013217</v>
      </c>
    </row>
    <row r="142" spans="1:12">
      <c r="A142" s="33">
        <v>16</v>
      </c>
      <c r="B142" s="33" t="s">
        <v>155</v>
      </c>
      <c r="C142" s="33" t="s">
        <v>280</v>
      </c>
      <c r="D142" s="33">
        <v>378</v>
      </c>
      <c r="E142" s="33">
        <f>D142*$B$28</f>
        <v>756</v>
      </c>
      <c r="F142" s="34">
        <f>(D142-$B$19)/$D$19</f>
        <v>0.08</v>
      </c>
      <c r="G142" s="36">
        <f>'V5  Ark 2, beregning hastighet'!E117</f>
        <v>48.384</v>
      </c>
      <c r="H142" s="36">
        <f>'V5  Ark 2, beregning hastighet'!F117</f>
        <v>0</v>
      </c>
      <c r="I142" s="159">
        <v>20</v>
      </c>
      <c r="J142" s="33">
        <v>1</v>
      </c>
      <c r="K142" s="36">
        <f>I142/J142</f>
        <v>20</v>
      </c>
      <c r="L142" s="34">
        <f>K142/$B$25</f>
        <v>0.16666666666666666</v>
      </c>
    </row>
    <row r="143" spans="1:12">
      <c r="A143" s="33">
        <v>16</v>
      </c>
      <c r="B143" s="33" t="s">
        <v>155</v>
      </c>
      <c r="C143" s="33" t="s">
        <v>282</v>
      </c>
      <c r="D143" s="33">
        <v>380</v>
      </c>
      <c r="E143" s="33">
        <f>D143*$B$28</f>
        <v>760</v>
      </c>
      <c r="F143" s="34">
        <f>(D143-$B$19)/$D$19</f>
        <v>0.16</v>
      </c>
      <c r="G143" s="36">
        <f>'V5  Ark 2, beregning hastighet'!E118</f>
        <v>49.836065573770497</v>
      </c>
      <c r="H143" s="36">
        <f>'V5  Ark 2, beregning hastighet'!F118</f>
        <v>0</v>
      </c>
      <c r="I143" s="151">
        <v>2107</v>
      </c>
      <c r="J143" s="151">
        <v>52</v>
      </c>
      <c r="K143" s="36">
        <f>I143/J143</f>
        <v>40.519230769230766</v>
      </c>
      <c r="L143" s="34">
        <f>K143/$B$25</f>
        <v>0.33766025641025638</v>
      </c>
    </row>
    <row r="144" spans="1:12">
      <c r="A144" s="33">
        <v>16</v>
      </c>
      <c r="B144" s="33" t="s">
        <v>155</v>
      </c>
      <c r="C144" s="33" t="s">
        <v>286</v>
      </c>
      <c r="D144" s="33">
        <v>383</v>
      </c>
      <c r="E144" s="33">
        <f>D144*$B$28</f>
        <v>766</v>
      </c>
      <c r="F144" s="34">
        <f>(D144-$B$19)/$D$19</f>
        <v>0.28000000000000003</v>
      </c>
      <c r="G144" s="36">
        <f>'V5  Ark 2, beregning hastighet'!E119</f>
        <v>48.893617021276597</v>
      </c>
      <c r="H144" s="36">
        <f>'V5  Ark 2, beregning hastighet'!F119</f>
        <v>0</v>
      </c>
      <c r="I144" s="151">
        <v>365</v>
      </c>
      <c r="J144" s="151">
        <v>18</v>
      </c>
      <c r="K144" s="36">
        <f>I144/J144</f>
        <v>20.277777777777779</v>
      </c>
      <c r="L144" s="34">
        <f>K144/$B$25</f>
        <v>0.16898148148148148</v>
      </c>
    </row>
    <row r="145" spans="1:12">
      <c r="A145" s="33">
        <v>16</v>
      </c>
      <c r="B145" s="33" t="s">
        <v>155</v>
      </c>
      <c r="C145" s="33" t="s">
        <v>277</v>
      </c>
      <c r="D145" s="33">
        <v>392</v>
      </c>
      <c r="E145" s="33">
        <f>D145*$B$28</f>
        <v>784</v>
      </c>
      <c r="F145" s="34">
        <f>(D145-$B$19)/$D$19</f>
        <v>0.64</v>
      </c>
      <c r="G145" s="36">
        <f>'V5  Ark 2, beregning hastighet'!E120</f>
        <v>54.381502890173408</v>
      </c>
      <c r="H145" s="36">
        <f>'V5  Ark 2, beregning hastighet'!F120</f>
        <v>0</v>
      </c>
      <c r="I145" s="151">
        <v>26668</v>
      </c>
      <c r="J145" s="151">
        <v>379</v>
      </c>
      <c r="K145" s="36">
        <f>I145/J145</f>
        <v>70.364116094986812</v>
      </c>
      <c r="L145" s="34">
        <f>K145/$B$25</f>
        <v>0.58636763412489012</v>
      </c>
    </row>
    <row r="146" spans="1:12">
      <c r="A146" s="33" t="s">
        <v>313</v>
      </c>
      <c r="B146" s="37"/>
      <c r="C146" s="37"/>
      <c r="D146" s="37"/>
      <c r="E146" s="37"/>
      <c r="F146" s="152">
        <f>AVERAGE(F142:F145)</f>
        <v>0.29000000000000004</v>
      </c>
      <c r="G146" s="39">
        <f>AVERAGE(G143:G145)</f>
        <v>51.037061828406841</v>
      </c>
      <c r="H146" s="39">
        <f>AVERAGE(H143:H145)</f>
        <v>0</v>
      </c>
      <c r="I146" s="153"/>
      <c r="J146" s="153"/>
      <c r="K146" s="39">
        <f>AVERAGE(K143:K145)</f>
        <v>43.720374880665112</v>
      </c>
      <c r="L146" s="152">
        <f>AVERAGE(L142:L145)</f>
        <v>0.31491900967082365</v>
      </c>
    </row>
    <row r="147" spans="1:12">
      <c r="A147" s="33">
        <v>17</v>
      </c>
      <c r="B147" s="33" t="s">
        <v>155</v>
      </c>
      <c r="C147" s="33" t="s">
        <v>272</v>
      </c>
      <c r="D147" s="33">
        <v>404</v>
      </c>
      <c r="E147" s="33">
        <f>D147*$B$28</f>
        <v>808</v>
      </c>
      <c r="F147" s="34">
        <f>(D147-$B$20)/$D$20</f>
        <v>0.12</v>
      </c>
      <c r="G147" s="36">
        <f>'V5  Ark 2, beregning hastighet'!E122</f>
        <v>48.846347607052905</v>
      </c>
      <c r="H147" s="36">
        <f>'V5  Ark 2, beregning hastighet'!F122</f>
        <v>0</v>
      </c>
      <c r="I147" s="151">
        <v>6552</v>
      </c>
      <c r="J147" s="151">
        <v>194</v>
      </c>
      <c r="K147" s="36">
        <f>I147/J147</f>
        <v>33.773195876288661</v>
      </c>
      <c r="L147" s="34">
        <f>K147/$B$25</f>
        <v>0.28144329896907216</v>
      </c>
    </row>
    <row r="148" spans="1:12">
      <c r="A148" s="33">
        <v>17</v>
      </c>
      <c r="B148" s="33" t="s">
        <v>155</v>
      </c>
      <c r="C148" s="33" t="s">
        <v>297</v>
      </c>
      <c r="D148" s="33">
        <v>406</v>
      </c>
      <c r="E148" s="33">
        <f>D148*$B$28</f>
        <v>812</v>
      </c>
      <c r="F148" s="34">
        <f>(D148-$B$20)/$D$20</f>
        <v>0.2</v>
      </c>
      <c r="G148" s="36">
        <f>'V5  Ark 2, beregning hastighet'!E123</f>
        <v>59.779141104294482</v>
      </c>
      <c r="H148" s="36">
        <f>'V5  Ark 2, beregning hastighet'!F123</f>
        <v>0</v>
      </c>
      <c r="I148" s="151">
        <v>6523</v>
      </c>
      <c r="J148" s="151">
        <v>70</v>
      </c>
      <c r="K148" s="36">
        <f>I148/J148</f>
        <v>93.185714285714283</v>
      </c>
      <c r="L148" s="34">
        <f>K148/$B$25</f>
        <v>0.77654761904761904</v>
      </c>
    </row>
    <row r="149" spans="1:12">
      <c r="A149" s="33">
        <v>17</v>
      </c>
      <c r="B149" s="33" t="s">
        <v>155</v>
      </c>
      <c r="C149" s="33" t="s">
        <v>267</v>
      </c>
      <c r="D149" s="33">
        <v>410</v>
      </c>
      <c r="E149" s="33">
        <f>D149*$B$28</f>
        <v>820</v>
      </c>
      <c r="F149" s="34">
        <f>(D149-$B$20)/$D$20</f>
        <v>0.36</v>
      </c>
      <c r="G149" s="36">
        <f>'V5  Ark 2, beregning hastighet'!E124</f>
        <v>57.209302325581397</v>
      </c>
      <c r="H149" s="36">
        <f>'V5  Ark 2, beregning hastighet'!F124</f>
        <v>0</v>
      </c>
      <c r="I149" s="151">
        <v>19159</v>
      </c>
      <c r="J149" s="151">
        <v>239</v>
      </c>
      <c r="K149" s="36">
        <f>I149/J149</f>
        <v>80.163179916317986</v>
      </c>
      <c r="L149" s="34">
        <f>K149/$B$25</f>
        <v>0.6680264993026499</v>
      </c>
    </row>
    <row r="150" spans="1:12">
      <c r="A150" s="33">
        <v>17</v>
      </c>
      <c r="B150" s="33" t="s">
        <v>155</v>
      </c>
      <c r="C150" s="33" t="s">
        <v>275</v>
      </c>
      <c r="D150" s="33">
        <v>416</v>
      </c>
      <c r="E150" s="33">
        <f>D150*$B$28</f>
        <v>832</v>
      </c>
      <c r="F150" s="34">
        <f>(D150-$B$20)/$D$20</f>
        <v>0.6</v>
      </c>
      <c r="G150" s="36">
        <f>'V5  Ark 2, beregning hastighet'!E125</f>
        <v>49.548387096774199</v>
      </c>
      <c r="H150" s="36">
        <f>'V5  Ark 2, beregning hastighet'!F125</f>
        <v>0</v>
      </c>
      <c r="I150" s="159">
        <v>4278</v>
      </c>
      <c r="J150" s="33">
        <v>156</v>
      </c>
      <c r="K150" s="36">
        <f>I150/J150</f>
        <v>27.423076923076923</v>
      </c>
      <c r="L150" s="34">
        <f>K150/$B$25</f>
        <v>0.22852564102564102</v>
      </c>
    </row>
    <row r="151" spans="1:12">
      <c r="A151" s="33">
        <v>17</v>
      </c>
      <c r="B151" s="33" t="s">
        <v>155</v>
      </c>
      <c r="C151" s="33" t="s">
        <v>276</v>
      </c>
      <c r="D151" s="33">
        <v>417</v>
      </c>
      <c r="E151" s="33">
        <f>D151*$B$28</f>
        <v>834</v>
      </c>
      <c r="F151" s="34">
        <f>(D151-$B$20)/$D$20</f>
        <v>0.64</v>
      </c>
      <c r="G151" s="36">
        <f>'V5  Ark 2, beregning hastighet'!E126</f>
        <v>52.397905759162306</v>
      </c>
      <c r="H151" s="36">
        <f>'V5  Ark 2, beregning hastighet'!F126</f>
        <v>0</v>
      </c>
      <c r="I151" s="151">
        <v>9931</v>
      </c>
      <c r="J151" s="151">
        <v>168</v>
      </c>
      <c r="K151" s="36">
        <f>I151/J151</f>
        <v>59.113095238095241</v>
      </c>
      <c r="L151" s="34">
        <f>K151/$B$25</f>
        <v>0.49260912698412701</v>
      </c>
    </row>
    <row r="152" spans="1:12">
      <c r="A152" s="33" t="s">
        <v>313</v>
      </c>
      <c r="B152" s="37"/>
      <c r="C152" s="37"/>
      <c r="D152" s="37"/>
      <c r="E152" s="37"/>
      <c r="F152" s="152">
        <f>AVERAGE(F147:F151)</f>
        <v>0.38400000000000001</v>
      </c>
      <c r="G152" s="39">
        <f>AVERAGE(G147:G151)</f>
        <v>53.556216778573059</v>
      </c>
      <c r="H152" s="39">
        <f>AVERAGE(H147:H151)</f>
        <v>0</v>
      </c>
      <c r="I152" s="153"/>
      <c r="J152" s="153"/>
      <c r="K152" s="39">
        <f>AVERAGE(K147:K151)</f>
        <v>58.731652447898611</v>
      </c>
      <c r="L152" s="152">
        <f>AVERAGE(L147:L151)</f>
        <v>0.4894304370658219</v>
      </c>
    </row>
    <row r="153" spans="1:12">
      <c r="A153" s="33">
        <v>18</v>
      </c>
      <c r="B153" s="33" t="s">
        <v>155</v>
      </c>
      <c r="C153" s="33" t="s">
        <v>279</v>
      </c>
      <c r="D153" s="33">
        <v>430</v>
      </c>
      <c r="E153" s="33">
        <f t="shared" ref="E153:E158" si="34">D153*$B$28</f>
        <v>860</v>
      </c>
      <c r="F153" s="34">
        <f t="shared" ref="F153:F158" si="35">(D153-$B$21)/$D$21</f>
        <v>0.16</v>
      </c>
      <c r="G153" s="36">
        <f>'V5  Ark 2, beregning hastighet'!E128</f>
        <v>53.333333333333343</v>
      </c>
      <c r="H153" s="36">
        <f>'V5  Ark 2, beregning hastighet'!F128</f>
        <v>0</v>
      </c>
      <c r="I153" s="159">
        <v>6593</v>
      </c>
      <c r="J153" s="33">
        <v>104</v>
      </c>
      <c r="K153" s="36">
        <f t="shared" ref="K153:K158" si="36">I153/J153</f>
        <v>63.394230769230766</v>
      </c>
      <c r="L153" s="34">
        <f t="shared" ref="L153:L158" si="37">K153/$B$25</f>
        <v>0.52828525641025637</v>
      </c>
    </row>
    <row r="154" spans="1:12">
      <c r="A154" s="33">
        <v>18</v>
      </c>
      <c r="B154" s="33" t="s">
        <v>155</v>
      </c>
      <c r="C154" s="33" t="s">
        <v>271</v>
      </c>
      <c r="D154" s="33">
        <v>433</v>
      </c>
      <c r="E154" s="33">
        <f t="shared" si="34"/>
        <v>866</v>
      </c>
      <c r="F154" s="34">
        <f t="shared" si="35"/>
        <v>0.28000000000000003</v>
      </c>
      <c r="G154" s="36">
        <f>'V5  Ark 2, beregning hastighet'!E129</f>
        <v>57.098901098901109</v>
      </c>
      <c r="H154" s="36">
        <f>'V5  Ark 2, beregning hastighet'!F129</f>
        <v>0</v>
      </c>
      <c r="I154" s="159">
        <v>13882</v>
      </c>
      <c r="J154" s="33">
        <v>238</v>
      </c>
      <c r="K154" s="36">
        <f t="shared" si="36"/>
        <v>58.327731092436977</v>
      </c>
      <c r="L154" s="34">
        <f t="shared" si="37"/>
        <v>0.48606442577030812</v>
      </c>
    </row>
    <row r="155" spans="1:12">
      <c r="A155" s="33">
        <v>18</v>
      </c>
      <c r="B155" s="33" t="s">
        <v>155</v>
      </c>
      <c r="C155" s="33" t="s">
        <v>268</v>
      </c>
      <c r="D155" s="33">
        <v>440</v>
      </c>
      <c r="E155" s="33">
        <f t="shared" si="34"/>
        <v>880</v>
      </c>
      <c r="F155" s="34">
        <f t="shared" si="35"/>
        <v>0.56000000000000005</v>
      </c>
      <c r="G155" s="36">
        <f>'V5  Ark 2, beregning hastighet'!E130</f>
        <v>57.235772357723583</v>
      </c>
      <c r="H155" s="36">
        <f>'V5  Ark 2, beregning hastighet'!F130</f>
        <v>0</v>
      </c>
      <c r="I155" s="151">
        <v>34972</v>
      </c>
      <c r="J155" s="151">
        <v>937</v>
      </c>
      <c r="K155" s="36">
        <f t="shared" si="36"/>
        <v>37.323372465314833</v>
      </c>
      <c r="L155" s="34">
        <f t="shared" si="37"/>
        <v>0.31102810387762359</v>
      </c>
    </row>
    <row r="156" spans="1:12">
      <c r="A156" s="33">
        <v>18</v>
      </c>
      <c r="B156" s="33" t="s">
        <v>155</v>
      </c>
      <c r="C156" s="33" t="s">
        <v>270</v>
      </c>
      <c r="D156" s="33">
        <v>447</v>
      </c>
      <c r="E156" s="33">
        <f t="shared" si="34"/>
        <v>894</v>
      </c>
      <c r="F156" s="34">
        <f t="shared" si="35"/>
        <v>0.84</v>
      </c>
      <c r="G156" s="36">
        <f>'V5  Ark 2, beregning hastighet'!E131</f>
        <v>58.146341463414629</v>
      </c>
      <c r="H156" s="36">
        <f>'V5  Ark 2, beregning hastighet'!F131</f>
        <v>0</v>
      </c>
      <c r="I156" s="151">
        <v>23161</v>
      </c>
      <c r="J156" s="151">
        <v>437</v>
      </c>
      <c r="K156" s="36">
        <f t="shared" si="36"/>
        <v>53</v>
      </c>
      <c r="L156" s="34">
        <f t="shared" si="37"/>
        <v>0.44166666666666665</v>
      </c>
    </row>
    <row r="157" spans="1:12">
      <c r="A157" s="33">
        <v>18</v>
      </c>
      <c r="B157" s="33" t="s">
        <v>155</v>
      </c>
      <c r="C157" s="33" t="s">
        <v>269</v>
      </c>
      <c r="D157" s="33">
        <v>449</v>
      </c>
      <c r="E157" s="33">
        <f t="shared" si="34"/>
        <v>898</v>
      </c>
      <c r="F157" s="34">
        <f t="shared" si="35"/>
        <v>0.92</v>
      </c>
      <c r="G157" s="36">
        <f>'V5  Ark 2, beregning hastighet'!E132</f>
        <v>56.418848167539274</v>
      </c>
      <c r="H157" s="36">
        <f>'V5  Ark 2, beregning hastighet'!F132</f>
        <v>0</v>
      </c>
      <c r="I157" s="151">
        <v>26136</v>
      </c>
      <c r="J157" s="151">
        <v>570</v>
      </c>
      <c r="K157" s="36">
        <f t="shared" si="36"/>
        <v>45.852631578947367</v>
      </c>
      <c r="L157" s="34">
        <f t="shared" si="37"/>
        <v>0.38210526315789473</v>
      </c>
    </row>
    <row r="158" spans="1:12">
      <c r="A158" s="33">
        <v>18</v>
      </c>
      <c r="B158" s="33" t="s">
        <v>155</v>
      </c>
      <c r="C158" s="33" t="s">
        <v>264</v>
      </c>
      <c r="D158" s="33">
        <v>450</v>
      </c>
      <c r="E158" s="33">
        <f t="shared" si="34"/>
        <v>900</v>
      </c>
      <c r="F158" s="34">
        <f t="shared" si="35"/>
        <v>0.96</v>
      </c>
      <c r="G158" s="36">
        <f>'V5  Ark 2, beregning hastighet'!E133</f>
        <v>57.294429708222815</v>
      </c>
      <c r="H158" s="36">
        <f>'V5  Ark 2, beregning hastighet'!F133</f>
        <v>0</v>
      </c>
      <c r="I158" s="151">
        <v>15820</v>
      </c>
      <c r="J158" s="151">
        <v>257</v>
      </c>
      <c r="K158" s="36">
        <f t="shared" si="36"/>
        <v>61.556420233463037</v>
      </c>
      <c r="L158" s="34">
        <f t="shared" si="37"/>
        <v>0.51297016861219202</v>
      </c>
    </row>
    <row r="159" spans="1:12">
      <c r="A159" s="33" t="s">
        <v>313</v>
      </c>
      <c r="B159" s="37"/>
      <c r="C159" s="37"/>
      <c r="D159" s="37"/>
      <c r="E159" s="37"/>
      <c r="F159" s="152">
        <f>AVERAGE(F153:F158)</f>
        <v>0.62</v>
      </c>
      <c r="G159" s="39">
        <f>AVERAGE(G155:G158)</f>
        <v>57.273847924225073</v>
      </c>
      <c r="H159" s="39">
        <f>AVERAGE(H155:H158)</f>
        <v>0</v>
      </c>
      <c r="I159" s="37"/>
      <c r="J159" s="153"/>
      <c r="K159" s="39">
        <f>AVERAGE(K155:K158)</f>
        <v>49.433106069431304</v>
      </c>
      <c r="L159" s="152">
        <f>AVERAGE(L32:L158)</f>
        <v>0.31193623964552492</v>
      </c>
    </row>
    <row r="160" spans="1:12">
      <c r="F160" s="32"/>
      <c r="G160" s="2"/>
      <c r="H160" s="2"/>
      <c r="J160" s="53"/>
      <c r="L160" s="32"/>
    </row>
    <row r="161" spans="1:12">
      <c r="A161" t="s">
        <v>302</v>
      </c>
      <c r="G161" s="2"/>
      <c r="H161" s="2"/>
      <c r="J161" s="53"/>
      <c r="L161"/>
    </row>
    <row r="162" spans="1:12">
      <c r="G162" s="2"/>
      <c r="H162" s="2"/>
      <c r="J162" s="53"/>
      <c r="L162"/>
    </row>
    <row r="163" spans="1:12">
      <c r="G163" s="2"/>
      <c r="H163" s="2"/>
      <c r="J163" s="53"/>
      <c r="L163"/>
    </row>
    <row r="164" spans="1:12">
      <c r="G164" s="2"/>
      <c r="H164" s="2"/>
      <c r="J164" s="53"/>
      <c r="L164"/>
    </row>
    <row r="165" spans="1:12">
      <c r="G165" s="2"/>
      <c r="H165" s="2"/>
      <c r="J165" s="53"/>
      <c r="L165"/>
    </row>
    <row r="166" spans="1:12">
      <c r="H166" s="2"/>
      <c r="J166" s="53"/>
      <c r="L166"/>
    </row>
    <row r="167" spans="1:12">
      <c r="H167" s="2"/>
      <c r="J167" s="53"/>
      <c r="L167"/>
    </row>
    <row r="168" spans="1:12">
      <c r="H168" s="2"/>
      <c r="J168" s="53"/>
      <c r="L168"/>
    </row>
    <row r="169" spans="1:12">
      <c r="H169" s="2"/>
      <c r="J169" s="53"/>
      <c r="L169"/>
    </row>
    <row r="170" spans="1:12">
      <c r="H170" s="2"/>
      <c r="J170" s="53"/>
      <c r="L170"/>
    </row>
    <row r="171" spans="1:12">
      <c r="H171" s="2"/>
      <c r="J171" s="53"/>
      <c r="L171"/>
    </row>
    <row r="172" spans="1:12">
      <c r="H172" s="2"/>
      <c r="J172" s="53"/>
      <c r="L172"/>
    </row>
    <row r="173" spans="1:12">
      <c r="H173" s="2"/>
      <c r="J173" s="53"/>
      <c r="L173"/>
    </row>
    <row r="174" spans="1:12">
      <c r="H174" s="2"/>
      <c r="J174" s="53"/>
      <c r="L174"/>
    </row>
    <row r="175" spans="1:12">
      <c r="H175" s="2"/>
      <c r="J175" s="53"/>
      <c r="L175"/>
    </row>
    <row r="176" spans="1:12">
      <c r="H176" s="2"/>
      <c r="J176" s="53"/>
      <c r="L176"/>
    </row>
    <row r="177" spans="8:12">
      <c r="H177" s="2"/>
      <c r="J177" s="53"/>
      <c r="L177"/>
    </row>
    <row r="178" spans="8:12">
      <c r="H178" s="2"/>
      <c r="J178" s="53"/>
      <c r="L178"/>
    </row>
    <row r="179" spans="8:12">
      <c r="H179" s="2"/>
      <c r="J179" s="53"/>
      <c r="L179"/>
    </row>
    <row r="180" spans="8:12">
      <c r="H180" s="2"/>
      <c r="J180" s="53"/>
      <c r="L180"/>
    </row>
    <row r="181" spans="8:12">
      <c r="H181" s="2"/>
      <c r="J181" s="53"/>
      <c r="L181"/>
    </row>
    <row r="182" spans="8:12">
      <c r="H182" s="2"/>
      <c r="J182" s="53"/>
      <c r="L182"/>
    </row>
    <row r="183" spans="8:12">
      <c r="H183" s="2"/>
      <c r="J183" s="53"/>
      <c r="L183"/>
    </row>
    <row r="184" spans="8:12">
      <c r="H184" s="2"/>
      <c r="J184" s="53"/>
      <c r="L184"/>
    </row>
    <row r="185" spans="8:12">
      <c r="H185" s="2"/>
      <c r="J185" s="53"/>
      <c r="L185"/>
    </row>
    <row r="186" spans="8:12">
      <c r="H186" s="2"/>
      <c r="J186" s="53"/>
      <c r="L186"/>
    </row>
    <row r="187" spans="8:12">
      <c r="H187" s="2"/>
      <c r="J187" s="53"/>
      <c r="L187"/>
    </row>
    <row r="188" spans="8:12">
      <c r="H188" s="2"/>
      <c r="J188" s="53"/>
      <c r="L188"/>
    </row>
    <row r="189" spans="8:12">
      <c r="H189" s="2"/>
      <c r="J189" s="53"/>
      <c r="L189"/>
    </row>
    <row r="190" spans="8:12">
      <c r="H190" s="2"/>
      <c r="J190" s="53"/>
      <c r="L190"/>
    </row>
    <row r="191" spans="8:12">
      <c r="H191" s="2"/>
      <c r="J191" s="53"/>
      <c r="L191"/>
    </row>
    <row r="192" spans="8:12">
      <c r="H192" s="2"/>
      <c r="J192" s="53"/>
      <c r="L192"/>
    </row>
    <row r="193" spans="8:12">
      <c r="H193" s="2"/>
      <c r="J193" s="53"/>
      <c r="L193"/>
    </row>
    <row r="194" spans="8:12">
      <c r="H194" s="2"/>
      <c r="J194" s="53"/>
      <c r="L194"/>
    </row>
    <row r="195" spans="8:12">
      <c r="H195" s="2"/>
      <c r="J195" s="53"/>
      <c r="L195"/>
    </row>
    <row r="196" spans="8:12">
      <c r="H196" s="2"/>
      <c r="J196" s="53"/>
      <c r="L196"/>
    </row>
    <row r="197" spans="8:12">
      <c r="H197" s="2"/>
      <c r="J197" s="53"/>
      <c r="L197"/>
    </row>
    <row r="198" spans="8:12">
      <c r="H198" s="2"/>
      <c r="J198" s="53"/>
      <c r="L198"/>
    </row>
    <row r="199" spans="8:12">
      <c r="H199" s="2"/>
      <c r="J199" s="53"/>
      <c r="L199"/>
    </row>
    <row r="200" spans="8:12">
      <c r="H200" s="2"/>
      <c r="J200" s="53"/>
      <c r="L200"/>
    </row>
    <row r="201" spans="8:12">
      <c r="H201" s="2"/>
      <c r="J201" s="53"/>
      <c r="L201"/>
    </row>
    <row r="202" spans="8:12">
      <c r="H202" s="2"/>
      <c r="J202" s="53"/>
      <c r="L202"/>
    </row>
    <row r="203" spans="8:12">
      <c r="H203" s="2"/>
      <c r="J203" s="53"/>
      <c r="L203"/>
    </row>
    <row r="204" spans="8:12">
      <c r="H204" s="2"/>
      <c r="J204" s="53"/>
      <c r="L204"/>
    </row>
    <row r="205" spans="8:12">
      <c r="H205" s="2"/>
      <c r="J205" s="53"/>
      <c r="L205"/>
    </row>
    <row r="206" spans="8:12">
      <c r="H206" s="2"/>
      <c r="J206" s="53"/>
      <c r="L206"/>
    </row>
    <row r="207" spans="8:12">
      <c r="H207" s="2"/>
      <c r="J207" s="53"/>
      <c r="L207"/>
    </row>
    <row r="208" spans="8:12">
      <c r="H208" s="2"/>
      <c r="J208" s="53"/>
      <c r="L208"/>
    </row>
    <row r="209" spans="8:12">
      <c r="H209" s="2"/>
      <c r="J209" s="53"/>
      <c r="L209"/>
    </row>
    <row r="210" spans="8:12">
      <c r="H210" s="2"/>
      <c r="J210" s="53"/>
      <c r="L210"/>
    </row>
    <row r="211" spans="8:12">
      <c r="H211" s="2"/>
      <c r="J211" s="53"/>
      <c r="L211"/>
    </row>
    <row r="212" spans="8:12">
      <c r="H212" s="2"/>
      <c r="J212" s="53"/>
      <c r="L212"/>
    </row>
    <row r="213" spans="8:12">
      <c r="H213" s="2"/>
      <c r="J213" s="53"/>
      <c r="L213"/>
    </row>
    <row r="214" spans="8:12">
      <c r="H214" s="2"/>
      <c r="J214" s="53"/>
      <c r="L214"/>
    </row>
    <row r="222" spans="8:12">
      <c r="I222" s="2"/>
      <c r="J222"/>
      <c r="K222" s="53"/>
      <c r="L222"/>
    </row>
    <row r="223" spans="8:12">
      <c r="I223" s="2"/>
      <c r="J223"/>
      <c r="K223" s="53"/>
      <c r="L223"/>
    </row>
    <row r="224" spans="8:12">
      <c r="I224" s="2"/>
      <c r="J224"/>
      <c r="K224" s="53"/>
      <c r="L224"/>
    </row>
    <row r="225" spans="9:12">
      <c r="I225" s="2"/>
      <c r="J225"/>
      <c r="K225" s="53"/>
      <c r="L225"/>
    </row>
    <row r="226" spans="9:12">
      <c r="I226" s="2"/>
      <c r="J226"/>
      <c r="K226" s="53"/>
      <c r="L226"/>
    </row>
    <row r="227" spans="9:12">
      <c r="I227" s="2"/>
      <c r="J227"/>
      <c r="K227" s="53"/>
      <c r="L227"/>
    </row>
    <row r="228" spans="9:12">
      <c r="I228" s="2"/>
      <c r="J228"/>
      <c r="K228" s="53"/>
      <c r="L228"/>
    </row>
    <row r="229" spans="9:12">
      <c r="I229" s="2"/>
      <c r="J229"/>
      <c r="K229" s="53"/>
      <c r="L229"/>
    </row>
    <row r="230" spans="9:12">
      <c r="I230" s="2"/>
      <c r="J230"/>
      <c r="K230" s="53"/>
      <c r="L230"/>
    </row>
    <row r="231" spans="9:12">
      <c r="I231" s="2"/>
      <c r="J231"/>
      <c r="K231" s="53"/>
      <c r="L231"/>
    </row>
    <row r="232" spans="9:12">
      <c r="I232" s="2"/>
      <c r="J232"/>
      <c r="K232" s="53"/>
      <c r="L232"/>
    </row>
    <row r="233" spans="9:12">
      <c r="I233" s="2"/>
      <c r="J233"/>
      <c r="K233" s="53"/>
      <c r="L233"/>
    </row>
    <row r="234" spans="9:12">
      <c r="I234" s="2"/>
      <c r="J234"/>
      <c r="K234" s="53"/>
      <c r="L234"/>
    </row>
    <row r="235" spans="9:12">
      <c r="I235" s="2"/>
      <c r="J235"/>
      <c r="K235" s="53"/>
      <c r="L235"/>
    </row>
    <row r="236" spans="9:12">
      <c r="I236" s="2"/>
      <c r="J236"/>
      <c r="K236" s="53"/>
      <c r="L236"/>
    </row>
    <row r="237" spans="9:12">
      <c r="I237" s="2"/>
      <c r="J237"/>
      <c r="K237" s="53"/>
      <c r="L237"/>
    </row>
    <row r="238" spans="9:12">
      <c r="I238" s="2"/>
      <c r="J238"/>
      <c r="K238" s="53"/>
      <c r="L238"/>
    </row>
    <row r="239" spans="9:12">
      <c r="I239" s="2"/>
      <c r="J239"/>
      <c r="K239" s="53"/>
      <c r="L239"/>
    </row>
    <row r="240" spans="9:12">
      <c r="I240" s="2"/>
      <c r="J240"/>
      <c r="K240" s="53"/>
      <c r="L240"/>
    </row>
    <row r="241" spans="9:12">
      <c r="I241" s="2"/>
      <c r="J241"/>
      <c r="K241" s="53"/>
      <c r="L241"/>
    </row>
    <row r="242" spans="9:12">
      <c r="I242" s="2"/>
      <c r="J242"/>
      <c r="K242" s="53"/>
      <c r="L242"/>
    </row>
    <row r="243" spans="9:12">
      <c r="I243" s="2"/>
      <c r="J243"/>
      <c r="K243" s="53"/>
      <c r="L243"/>
    </row>
    <row r="244" spans="9:12">
      <c r="I244" s="2"/>
      <c r="J244"/>
      <c r="K244" s="53"/>
      <c r="L244"/>
    </row>
    <row r="245" spans="9:12">
      <c r="I245" s="2"/>
      <c r="J245"/>
      <c r="K245" s="53"/>
      <c r="L245"/>
    </row>
    <row r="246" spans="9:12">
      <c r="I246" s="2"/>
      <c r="J246"/>
      <c r="K246" s="53"/>
      <c r="L246"/>
    </row>
    <row r="247" spans="9:12">
      <c r="I247" s="2"/>
      <c r="J247"/>
      <c r="K247" s="53"/>
      <c r="L247"/>
    </row>
    <row r="248" spans="9:12">
      <c r="I248" s="2"/>
      <c r="J248"/>
      <c r="K248" s="53"/>
      <c r="L248"/>
    </row>
    <row r="249" spans="9:12">
      <c r="I249" s="2"/>
      <c r="J249"/>
      <c r="K249" s="53"/>
      <c r="L249"/>
    </row>
    <row r="250" spans="9:12">
      <c r="I250" s="2"/>
      <c r="J250"/>
      <c r="K250" s="53"/>
      <c r="L250"/>
    </row>
    <row r="251" spans="9:12">
      <c r="I251" s="2"/>
      <c r="J251"/>
      <c r="K251" s="53"/>
      <c r="L251"/>
    </row>
    <row r="252" spans="9:12">
      <c r="I252" s="2"/>
      <c r="J252"/>
      <c r="K252" s="53"/>
      <c r="L252"/>
    </row>
    <row r="253" spans="9:12">
      <c r="I253" s="2"/>
      <c r="J253"/>
      <c r="K253" s="53"/>
      <c r="L253"/>
    </row>
    <row r="254" spans="9:12">
      <c r="I254" s="2"/>
      <c r="J254"/>
      <c r="K254" s="53"/>
      <c r="L254"/>
    </row>
    <row r="255" spans="9:12">
      <c r="I255" s="2"/>
      <c r="J255"/>
      <c r="K255" s="53"/>
      <c r="L255"/>
    </row>
    <row r="256" spans="9:12">
      <c r="I256" s="2"/>
      <c r="J256"/>
      <c r="K256" s="53"/>
      <c r="L256"/>
    </row>
    <row r="257" spans="9:12">
      <c r="I257" s="2"/>
      <c r="J257"/>
      <c r="K257" s="53"/>
      <c r="L257"/>
    </row>
    <row r="258" spans="9:12">
      <c r="I258" s="2"/>
      <c r="J258"/>
      <c r="K258" s="53"/>
      <c r="L258"/>
    </row>
    <row r="259" spans="9:12">
      <c r="I259" s="2"/>
      <c r="J259"/>
      <c r="K259" s="53"/>
      <c r="L259"/>
    </row>
    <row r="260" spans="9:12">
      <c r="I260" s="2"/>
      <c r="J260"/>
      <c r="K260" s="53"/>
      <c r="L260"/>
    </row>
    <row r="261" spans="9:12">
      <c r="I261" s="2"/>
      <c r="J261"/>
      <c r="K261" s="53"/>
      <c r="L261"/>
    </row>
    <row r="262" spans="9:12">
      <c r="I262" s="2"/>
      <c r="J262"/>
      <c r="K262" s="53"/>
      <c r="L262"/>
    </row>
    <row r="263" spans="9:12">
      <c r="I263" s="2"/>
      <c r="J263"/>
      <c r="K263" s="53"/>
      <c r="L263"/>
    </row>
    <row r="264" spans="9:12">
      <c r="I264" s="2"/>
      <c r="J264"/>
      <c r="K264" s="53"/>
      <c r="L264"/>
    </row>
    <row r="265" spans="9:12">
      <c r="I265" s="2"/>
      <c r="J265"/>
      <c r="K265" s="53"/>
      <c r="L265"/>
    </row>
    <row r="266" spans="9:12">
      <c r="I266" s="2"/>
      <c r="J266"/>
      <c r="K266" s="53"/>
      <c r="L266"/>
    </row>
    <row r="267" spans="9:12">
      <c r="I267" s="2"/>
      <c r="J267"/>
      <c r="K267" s="53"/>
      <c r="L267"/>
    </row>
    <row r="268" spans="9:12">
      <c r="I268" s="2"/>
      <c r="J268"/>
      <c r="K268" s="53"/>
      <c r="L268"/>
    </row>
    <row r="269" spans="9:12">
      <c r="I269" s="2"/>
      <c r="J269"/>
      <c r="K269" s="53"/>
      <c r="L269"/>
    </row>
    <row r="270" spans="9:12">
      <c r="I270" s="2"/>
      <c r="J270"/>
      <c r="K270" s="53"/>
      <c r="L270"/>
    </row>
    <row r="271" spans="9:12">
      <c r="I271" s="2"/>
      <c r="J271"/>
      <c r="K271" s="53"/>
      <c r="L271"/>
    </row>
    <row r="272" spans="9:12">
      <c r="I272" s="2"/>
      <c r="J272"/>
      <c r="K272" s="53"/>
      <c r="L272"/>
    </row>
    <row r="273" spans="9:12">
      <c r="I273" s="2"/>
      <c r="J273"/>
      <c r="K273" s="53"/>
      <c r="L273"/>
    </row>
    <row r="274" spans="9:12">
      <c r="I274" s="2"/>
      <c r="J274"/>
      <c r="K274" s="53"/>
      <c r="L274"/>
    </row>
    <row r="275" spans="9:12">
      <c r="I275" s="2"/>
      <c r="J275"/>
      <c r="K275" s="53"/>
      <c r="L275"/>
    </row>
    <row r="276" spans="9:12">
      <c r="I276" s="2"/>
      <c r="J276"/>
      <c r="K276" s="53"/>
      <c r="L276"/>
    </row>
    <row r="277" spans="9:12">
      <c r="I277" s="2"/>
      <c r="J277"/>
      <c r="K277" s="53"/>
      <c r="L277"/>
    </row>
    <row r="278" spans="9:12">
      <c r="I278" s="2"/>
      <c r="J278"/>
      <c r="K278" s="53"/>
      <c r="L278"/>
    </row>
    <row r="279" spans="9:12">
      <c r="I279" s="2"/>
      <c r="J279"/>
      <c r="K279" s="53"/>
      <c r="L279"/>
    </row>
    <row r="280" spans="9:12">
      <c r="I280" s="2"/>
      <c r="J280"/>
      <c r="K280" s="53"/>
      <c r="L280"/>
    </row>
    <row r="281" spans="9:12">
      <c r="I281" s="2"/>
      <c r="J281"/>
      <c r="K281" s="53"/>
      <c r="L281"/>
    </row>
    <row r="282" spans="9:12">
      <c r="I282" s="2"/>
      <c r="J282"/>
      <c r="K282" s="53"/>
      <c r="L282"/>
    </row>
    <row r="283" spans="9:12">
      <c r="I283" s="2"/>
      <c r="J283"/>
      <c r="K283" s="53"/>
      <c r="L283"/>
    </row>
    <row r="284" spans="9:12">
      <c r="I284" s="2"/>
      <c r="J284"/>
      <c r="K284" s="53"/>
      <c r="L284"/>
    </row>
    <row r="285" spans="9:12">
      <c r="I285" s="2"/>
      <c r="J285"/>
      <c r="K285" s="53"/>
      <c r="L285"/>
    </row>
    <row r="286" spans="9:12">
      <c r="I286" s="2"/>
      <c r="J286"/>
      <c r="K286" s="53"/>
      <c r="L286"/>
    </row>
    <row r="287" spans="9:12">
      <c r="I287" s="2"/>
      <c r="J287"/>
      <c r="K287" s="53"/>
      <c r="L287"/>
    </row>
    <row r="288" spans="9:12">
      <c r="I288" s="2"/>
      <c r="J288"/>
      <c r="K288" s="53"/>
      <c r="L288"/>
    </row>
    <row r="289" spans="9:12">
      <c r="I289" s="2"/>
      <c r="J289"/>
      <c r="K289" s="53"/>
      <c r="L289"/>
    </row>
    <row r="290" spans="9:12">
      <c r="I290" s="2"/>
      <c r="J290"/>
      <c r="K290" s="53"/>
      <c r="L290"/>
    </row>
    <row r="291" spans="9:12">
      <c r="I291" s="2"/>
      <c r="J291"/>
      <c r="K291" s="53"/>
      <c r="L291"/>
    </row>
    <row r="292" spans="9:12">
      <c r="I292" s="2"/>
      <c r="J292"/>
      <c r="K292" s="53"/>
      <c r="L292"/>
    </row>
    <row r="293" spans="9:12">
      <c r="I293" s="2"/>
      <c r="J293"/>
      <c r="K293" s="53"/>
      <c r="L293"/>
    </row>
    <row r="294" spans="9:12">
      <c r="I294" s="2"/>
      <c r="J294"/>
      <c r="K294" s="53"/>
      <c r="L294"/>
    </row>
    <row r="295" spans="9:12">
      <c r="I295" s="2"/>
      <c r="J295"/>
      <c r="K295" s="53"/>
      <c r="L295"/>
    </row>
    <row r="296" spans="9:12">
      <c r="I296" s="2"/>
      <c r="J296"/>
      <c r="K296" s="53"/>
      <c r="L296"/>
    </row>
    <row r="297" spans="9:12">
      <c r="I297" s="2"/>
      <c r="J297"/>
      <c r="K297" s="53"/>
      <c r="L297"/>
    </row>
    <row r="298" spans="9:12">
      <c r="I298" s="2"/>
      <c r="J298"/>
      <c r="K298" s="53"/>
      <c r="L298"/>
    </row>
    <row r="299" spans="9:12">
      <c r="I299" s="2"/>
      <c r="J299"/>
      <c r="K299" s="53"/>
      <c r="L299"/>
    </row>
    <row r="300" spans="9:12">
      <c r="I300" s="2"/>
      <c r="J300"/>
      <c r="K300" s="53"/>
      <c r="L300"/>
    </row>
    <row r="301" spans="9:12">
      <c r="I301" s="2"/>
      <c r="J301"/>
      <c r="K301" s="53"/>
      <c r="L301"/>
    </row>
    <row r="302" spans="9:12">
      <c r="I302" s="2"/>
      <c r="J302"/>
      <c r="K302" s="53"/>
      <c r="L302"/>
    </row>
    <row r="303" spans="9:12">
      <c r="I303" s="2"/>
      <c r="J303"/>
      <c r="K303" s="53"/>
      <c r="L303"/>
    </row>
    <row r="304" spans="9:12">
      <c r="I304" s="2"/>
      <c r="J304"/>
      <c r="K304" s="53"/>
      <c r="L304"/>
    </row>
    <row r="305" spans="9:12">
      <c r="I305" s="2"/>
      <c r="J305"/>
      <c r="K305" s="53"/>
      <c r="L305"/>
    </row>
    <row r="306" spans="9:12">
      <c r="I306" s="2"/>
      <c r="J306"/>
      <c r="K306" s="53"/>
      <c r="L306"/>
    </row>
    <row r="307" spans="9:12">
      <c r="I307" s="2"/>
      <c r="J307"/>
      <c r="K307" s="53"/>
      <c r="L307"/>
    </row>
    <row r="308" spans="9:12">
      <c r="I308" s="2"/>
      <c r="J308"/>
      <c r="K308" s="53"/>
      <c r="L30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94E59-B569-2C46-A951-9B9B80291435}">
  <dimension ref="A2:W248"/>
  <sheetViews>
    <sheetView topLeftCell="A51" zoomScale="92" zoomScaleNormal="110" workbookViewId="0">
      <selection activeCell="H91" sqref="H91"/>
    </sheetView>
  </sheetViews>
  <sheetFormatPr baseColWidth="10" defaultRowHeight="15"/>
  <cols>
    <col min="1" max="1" width="25.1640625" customWidth="1"/>
    <col min="2" max="2" width="18.33203125" customWidth="1"/>
    <col min="3" max="3" width="25.5" customWidth="1"/>
    <col min="4" max="4" width="19.1640625" customWidth="1"/>
    <col min="5" max="5" width="25.1640625" customWidth="1"/>
    <col min="6" max="6" width="27.33203125" customWidth="1"/>
    <col min="7" max="7" width="17.83203125" customWidth="1"/>
    <col min="8" max="8" width="26.1640625" customWidth="1"/>
    <col min="9" max="9" width="26.5" customWidth="1"/>
    <col min="10" max="10" width="22.33203125" customWidth="1"/>
    <col min="11" max="11" width="28.83203125" customWidth="1"/>
    <col min="12" max="12" width="17.83203125" customWidth="1"/>
    <col min="13" max="13" width="15.33203125" customWidth="1"/>
    <col min="14" max="14" width="13.1640625" customWidth="1"/>
    <col min="15" max="15" width="15.33203125" customWidth="1"/>
  </cols>
  <sheetData>
    <row r="2" spans="1:23" ht="19">
      <c r="A2" s="160" t="s">
        <v>335</v>
      </c>
      <c r="B2" s="135"/>
      <c r="C2" s="135"/>
      <c r="D2" s="135"/>
    </row>
    <row r="3" spans="1:23">
      <c r="G3" s="2"/>
      <c r="H3" s="2"/>
      <c r="I3" s="2"/>
      <c r="J3" s="2"/>
      <c r="K3" s="2"/>
    </row>
    <row r="4" spans="1:23">
      <c r="G4" s="2"/>
      <c r="H4" s="2"/>
      <c r="I4" s="2"/>
      <c r="J4" s="2"/>
      <c r="K4" s="2"/>
    </row>
    <row r="5" spans="1:23">
      <c r="E5" s="298" t="s">
        <v>332</v>
      </c>
      <c r="F5" s="299">
        <f>0.48</f>
        <v>0.48</v>
      </c>
      <c r="H5" s="1"/>
      <c r="I5" s="13" t="s">
        <v>397</v>
      </c>
    </row>
    <row r="6" spans="1:23" ht="16">
      <c r="E6" s="296" t="s">
        <v>396</v>
      </c>
      <c r="F6" s="297">
        <v>25</v>
      </c>
      <c r="S6" s="7"/>
      <c r="T6" s="7"/>
      <c r="U6" s="7"/>
    </row>
    <row r="7" spans="1:23" ht="16">
      <c r="E7" s="133" t="s">
        <v>191</v>
      </c>
      <c r="F7" s="74">
        <v>2</v>
      </c>
      <c r="S7" s="8"/>
      <c r="T7" s="8"/>
      <c r="U7" s="7"/>
    </row>
    <row r="8" spans="1:23" ht="16">
      <c r="E8" s="59" t="s">
        <v>387</v>
      </c>
      <c r="F8" s="33">
        <f>F6*F7</f>
        <v>50</v>
      </c>
      <c r="S8" s="7"/>
      <c r="T8" s="7"/>
      <c r="U8" s="7"/>
    </row>
    <row r="9" spans="1:23" ht="29">
      <c r="A9" s="347" t="s">
        <v>428</v>
      </c>
      <c r="B9" s="347"/>
      <c r="C9" s="361"/>
      <c r="E9" s="343" t="s">
        <v>386</v>
      </c>
      <c r="F9" s="33">
        <f>(F6*F7)*F5</f>
        <v>24</v>
      </c>
      <c r="G9" s="81"/>
      <c r="H9" s="81"/>
      <c r="I9" s="81"/>
      <c r="J9" s="81"/>
      <c r="K9" s="81"/>
      <c r="L9" s="81"/>
      <c r="M9" s="81"/>
      <c r="N9" s="81"/>
      <c r="S9" s="7"/>
      <c r="T9" s="7"/>
      <c r="U9" s="7"/>
    </row>
    <row r="10" spans="1:23" ht="16">
      <c r="A10" s="81"/>
      <c r="B10" s="81"/>
      <c r="C10" s="81"/>
      <c r="D10" s="81"/>
      <c r="E10" s="81"/>
      <c r="F10" s="81"/>
      <c r="N10" s="81"/>
      <c r="S10" s="7"/>
      <c r="T10" s="7"/>
      <c r="U10" s="7"/>
    </row>
    <row r="11" spans="1:23" ht="16">
      <c r="A11" s="72"/>
      <c r="B11" s="170" t="s">
        <v>336</v>
      </c>
      <c r="C11" s="171"/>
      <c r="D11" s="163"/>
      <c r="E11" s="74"/>
      <c r="F11" s="161"/>
      <c r="G11" s="162"/>
      <c r="H11" s="77" t="s">
        <v>169</v>
      </c>
      <c r="I11" s="74"/>
      <c r="J11" s="74"/>
      <c r="K11" s="74"/>
      <c r="L11" s="74"/>
      <c r="M11" s="74"/>
      <c r="S11" s="7"/>
      <c r="T11" s="8"/>
      <c r="U11" s="8"/>
      <c r="V11" s="13"/>
      <c r="W11" s="13"/>
    </row>
    <row r="12" spans="1:23">
      <c r="A12" s="215" t="s">
        <v>159</v>
      </c>
      <c r="B12" s="344" t="s">
        <v>151</v>
      </c>
      <c r="C12" s="345" t="s">
        <v>152</v>
      </c>
      <c r="D12" s="78" t="s">
        <v>399</v>
      </c>
      <c r="E12" s="78" t="s">
        <v>325</v>
      </c>
      <c r="F12" s="344" t="s">
        <v>366</v>
      </c>
      <c r="G12" s="345" t="s">
        <v>367</v>
      </c>
      <c r="H12" s="78" t="s">
        <v>188</v>
      </c>
      <c r="I12" s="78" t="s">
        <v>168</v>
      </c>
      <c r="J12" s="75" t="s">
        <v>153</v>
      </c>
      <c r="K12" s="75" t="s">
        <v>447</v>
      </c>
      <c r="L12" s="78" t="s">
        <v>321</v>
      </c>
      <c r="M12" s="75" t="s">
        <v>173</v>
      </c>
      <c r="O12" s="13"/>
    </row>
    <row r="13" spans="1:23">
      <c r="A13" s="86">
        <v>1</v>
      </c>
      <c r="B13" s="164">
        <v>0</v>
      </c>
      <c r="C13" s="162">
        <v>25</v>
      </c>
      <c r="D13" s="74">
        <f t="shared" ref="D13:D30" si="0">$F$6</f>
        <v>25</v>
      </c>
      <c r="E13" s="74">
        <f t="shared" ref="E13:E30" si="1">$D$13*$F$7</f>
        <v>50</v>
      </c>
      <c r="F13" s="164">
        <v>0</v>
      </c>
      <c r="G13" s="165">
        <f>'V5 Ark 3, Input sonepriser'!F35</f>
        <v>0.77333333333333332</v>
      </c>
      <c r="H13" s="90">
        <f>D13*1*F7</f>
        <v>50</v>
      </c>
      <c r="I13" s="188">
        <f t="shared" ref="I13:I30" si="2">F13+H13</f>
        <v>50</v>
      </c>
      <c r="J13" s="84">
        <f>'V5 Ark 3, Input sonepriser'!G35</f>
        <v>44.871111111111112</v>
      </c>
      <c r="K13" s="84">
        <f>I13/J13</f>
        <v>1.1143026941362915</v>
      </c>
      <c r="L13" s="166">
        <f>'V5 Ark 3, Input sonepriser'!L35</f>
        <v>0.33101696470248965</v>
      </c>
      <c r="M13" s="306">
        <v>3</v>
      </c>
    </row>
    <row r="14" spans="1:23">
      <c r="A14" s="86">
        <v>2</v>
      </c>
      <c r="B14" s="164">
        <v>26</v>
      </c>
      <c r="C14" s="162">
        <v>50</v>
      </c>
      <c r="D14" s="74">
        <f t="shared" si="0"/>
        <v>25</v>
      </c>
      <c r="E14" s="74">
        <f t="shared" si="1"/>
        <v>50</v>
      </c>
      <c r="F14" s="164">
        <f>B14*F7</f>
        <v>52</v>
      </c>
      <c r="G14" s="165">
        <f>'V5 Ark 3, Input sonepriser'!F45</f>
        <v>0.33</v>
      </c>
      <c r="H14" s="84">
        <f>(D14*F5)*F7</f>
        <v>24</v>
      </c>
      <c r="I14" s="189">
        <f t="shared" si="2"/>
        <v>76</v>
      </c>
      <c r="J14" s="84">
        <f>'V5 Ark 3, Input sonepriser'!G45</f>
        <v>34.755481060044517</v>
      </c>
      <c r="K14" s="84">
        <f>I14/J14</f>
        <v>2.1867054542764155</v>
      </c>
      <c r="L14" s="166">
        <f>'V5 Ark 3, Input sonepriser'!L45</f>
        <v>0.33394620744141368</v>
      </c>
      <c r="M14" s="306">
        <v>3</v>
      </c>
    </row>
    <row r="15" spans="1:23">
      <c r="A15" s="86">
        <v>3</v>
      </c>
      <c r="B15" s="164">
        <v>51</v>
      </c>
      <c r="C15" s="162">
        <v>75</v>
      </c>
      <c r="D15" s="74">
        <f t="shared" si="0"/>
        <v>25</v>
      </c>
      <c r="E15" s="74">
        <f t="shared" si="1"/>
        <v>50</v>
      </c>
      <c r="F15" s="164">
        <f>B15*F7</f>
        <v>102</v>
      </c>
      <c r="G15" s="165">
        <f>'V5 Ark 3, Input sonepriser'!F62</f>
        <v>0.43714285714285717</v>
      </c>
      <c r="H15" s="84">
        <f>(D15*F5)*F7</f>
        <v>24</v>
      </c>
      <c r="I15" s="189">
        <f t="shared" si="2"/>
        <v>126</v>
      </c>
      <c r="J15" s="84">
        <f>'V5 Ark 3, Input sonepriser'!G62</f>
        <v>44.010057792762346</v>
      </c>
      <c r="K15" s="84">
        <f>I15/J15</f>
        <v>2.8629819254797995</v>
      </c>
      <c r="L15" s="166">
        <f>'V5 Ark 3, Input sonepriser'!L62</f>
        <v>0.34088333150444322</v>
      </c>
      <c r="M15" s="306">
        <v>6</v>
      </c>
    </row>
    <row r="16" spans="1:23">
      <c r="A16" s="86">
        <v>4</v>
      </c>
      <c r="B16" s="164">
        <v>76</v>
      </c>
      <c r="C16" s="162">
        <v>100</v>
      </c>
      <c r="D16" s="74">
        <f t="shared" si="0"/>
        <v>25</v>
      </c>
      <c r="E16" s="74">
        <f t="shared" si="1"/>
        <v>50</v>
      </c>
      <c r="F16" s="164">
        <f>B16*F7</f>
        <v>152</v>
      </c>
      <c r="G16" s="165">
        <f>'V5 Ark 3, Input sonepriser'!F76</f>
        <v>0.44999999999999996</v>
      </c>
      <c r="H16" s="84">
        <f>D16*F5*F7</f>
        <v>24</v>
      </c>
      <c r="I16" s="189">
        <f t="shared" si="2"/>
        <v>176</v>
      </c>
      <c r="J16" s="84">
        <f>'V5 Ark 3, Input sonepriser'!G76</f>
        <v>48.588364854286993</v>
      </c>
      <c r="K16" s="84">
        <f t="shared" ref="K16:K30" si="3">I16/J16</f>
        <v>3.6222663703092568</v>
      </c>
      <c r="L16" s="166">
        <f>'V5 Ark 3, Input sonepriser'!L76</f>
        <v>0.31109343423248242</v>
      </c>
      <c r="M16" s="306">
        <v>1</v>
      </c>
    </row>
    <row r="17" spans="1:14">
      <c r="A17" s="86">
        <v>5</v>
      </c>
      <c r="B17" s="164">
        <v>101</v>
      </c>
      <c r="C17" s="162">
        <v>125</v>
      </c>
      <c r="D17" s="74">
        <f t="shared" si="0"/>
        <v>25</v>
      </c>
      <c r="E17" s="74">
        <f t="shared" si="1"/>
        <v>50</v>
      </c>
      <c r="F17" s="164">
        <f>B17*F7</f>
        <v>202</v>
      </c>
      <c r="G17" s="165">
        <f>'V5 Ark 3, Input sonepriser'!F86</f>
        <v>0.53333333333333344</v>
      </c>
      <c r="H17" s="84">
        <f>D17*F5*F7</f>
        <v>24</v>
      </c>
      <c r="I17" s="189">
        <f t="shared" si="2"/>
        <v>226</v>
      </c>
      <c r="J17" s="84">
        <f>'V5 Ark 3, Input sonepriser'!G86</f>
        <v>51.019968329349354</v>
      </c>
      <c r="K17" s="84">
        <f t="shared" si="3"/>
        <v>4.4296381867801546</v>
      </c>
      <c r="L17" s="166">
        <f>'V5 Ark 3, Input sonepriser'!L86</f>
        <v>0.1857068506274015</v>
      </c>
      <c r="M17" s="306">
        <v>1</v>
      </c>
    </row>
    <row r="18" spans="1:14">
      <c r="A18" s="86">
        <v>6</v>
      </c>
      <c r="B18" s="164">
        <v>126</v>
      </c>
      <c r="C18" s="162">
        <v>150</v>
      </c>
      <c r="D18" s="74">
        <f t="shared" si="0"/>
        <v>25</v>
      </c>
      <c r="E18" s="74">
        <f t="shared" si="1"/>
        <v>50</v>
      </c>
      <c r="F18" s="164">
        <f>B18*F7</f>
        <v>252</v>
      </c>
      <c r="G18" s="165">
        <f>'V5 Ark 3, Input sonepriser'!F92</f>
        <v>0.39</v>
      </c>
      <c r="H18" s="84">
        <f>D18*F5*F7</f>
        <v>24</v>
      </c>
      <c r="I18" s="189">
        <f>(F18+H18)</f>
        <v>276</v>
      </c>
      <c r="J18" s="84">
        <f>'V5 Ark 3, Input sonepriser'!G92</f>
        <v>56.123015061580872</v>
      </c>
      <c r="K18" s="84">
        <f>I18/J18</f>
        <v>4.9177685784906515</v>
      </c>
      <c r="L18" s="166">
        <f>'V5 Ark 3, Input sonepriser'!L92</f>
        <v>0.26401104512317747</v>
      </c>
      <c r="M18" s="306">
        <v>1</v>
      </c>
    </row>
    <row r="19" spans="1:14">
      <c r="A19" s="86">
        <v>7</v>
      </c>
      <c r="B19" s="164">
        <v>151</v>
      </c>
      <c r="C19" s="162">
        <v>175</v>
      </c>
      <c r="D19" s="74">
        <f t="shared" si="0"/>
        <v>25</v>
      </c>
      <c r="E19" s="74">
        <f t="shared" si="1"/>
        <v>50</v>
      </c>
      <c r="F19" s="164">
        <f>B19*F7</f>
        <v>302</v>
      </c>
      <c r="G19" s="165">
        <f>'V5 Ark 3, Input sonepriser'!F99</f>
        <v>0.70000000000000007</v>
      </c>
      <c r="H19" s="84">
        <f>D19*F5*F7</f>
        <v>24</v>
      </c>
      <c r="I19" s="189">
        <f t="shared" si="2"/>
        <v>326</v>
      </c>
      <c r="J19" s="84">
        <f>'V5 Ark 3, Input sonepriser'!G99</f>
        <v>53.462544102689748</v>
      </c>
      <c r="K19" s="84">
        <f t="shared" si="3"/>
        <v>6.0977270249957796</v>
      </c>
      <c r="L19" s="166">
        <f>'V5 Ark 3, Input sonepriser'!L99</f>
        <v>0.14899305555555556</v>
      </c>
      <c r="M19" s="306">
        <v>1</v>
      </c>
    </row>
    <row r="20" spans="1:14">
      <c r="A20" s="86">
        <v>8</v>
      </c>
      <c r="B20" s="164">
        <v>176</v>
      </c>
      <c r="C20" s="162">
        <v>200</v>
      </c>
      <c r="D20" s="74">
        <f t="shared" si="0"/>
        <v>25</v>
      </c>
      <c r="E20" s="74">
        <f t="shared" si="1"/>
        <v>50</v>
      </c>
      <c r="F20" s="164">
        <f>B20*F7</f>
        <v>352</v>
      </c>
      <c r="G20" s="165">
        <f>'V5 Ark 3, Input sonepriser'!F104</f>
        <v>0.54</v>
      </c>
      <c r="H20" s="84">
        <f>D20*F5*F7</f>
        <v>24</v>
      </c>
      <c r="I20" s="189">
        <f t="shared" si="2"/>
        <v>376</v>
      </c>
      <c r="J20" s="84">
        <f>'V5 Ark 3, Input sonepriser'!G104</f>
        <v>52.945928615169272</v>
      </c>
      <c r="K20" s="84">
        <f t="shared" si="3"/>
        <v>7.1015847645795018</v>
      </c>
      <c r="L20" s="166">
        <f>'V5 Ark 3, Input sonepriser'!L104</f>
        <v>0.46726409313725487</v>
      </c>
      <c r="M20" s="306">
        <v>1</v>
      </c>
    </row>
    <row r="21" spans="1:14">
      <c r="A21" s="86">
        <v>9</v>
      </c>
      <c r="B21" s="164">
        <v>201</v>
      </c>
      <c r="C21" s="162">
        <v>225</v>
      </c>
      <c r="D21" s="74">
        <f t="shared" si="0"/>
        <v>25</v>
      </c>
      <c r="E21" s="74">
        <f t="shared" si="1"/>
        <v>50</v>
      </c>
      <c r="F21" s="164">
        <f>B21*F7</f>
        <v>402</v>
      </c>
      <c r="G21" s="165">
        <f>'V5 Ark 3, Input sonepriser'!F108</f>
        <v>0.46666666666666662</v>
      </c>
      <c r="H21" s="84">
        <f>D21*F5*F7</f>
        <v>24</v>
      </c>
      <c r="I21" s="189">
        <f t="shared" si="2"/>
        <v>426</v>
      </c>
      <c r="J21" s="84">
        <f>'V5 Ark 3, Input sonepriser'!G108</f>
        <v>52.850368235848272</v>
      </c>
      <c r="K21" s="84">
        <f t="shared" si="3"/>
        <v>8.060492560788731</v>
      </c>
      <c r="L21" s="166">
        <f>'V5 Ark 3, Input sonepriser'!L108</f>
        <v>7.3611111111111113E-2</v>
      </c>
      <c r="M21" s="306">
        <v>1</v>
      </c>
    </row>
    <row r="22" spans="1:14">
      <c r="A22" s="86">
        <v>10</v>
      </c>
      <c r="B22" s="164">
        <v>226</v>
      </c>
      <c r="C22" s="162">
        <v>250</v>
      </c>
      <c r="D22" s="74">
        <f t="shared" si="0"/>
        <v>25</v>
      </c>
      <c r="E22" s="74">
        <f t="shared" si="1"/>
        <v>50</v>
      </c>
      <c r="F22" s="164">
        <f>B22*F7</f>
        <v>452</v>
      </c>
      <c r="G22" s="165">
        <f>'V5 Ark 3, Input sonepriser'!F115</f>
        <v>0.51200000000000001</v>
      </c>
      <c r="H22" s="84">
        <f>D22*F5*F7</f>
        <v>24</v>
      </c>
      <c r="I22" s="189">
        <f t="shared" si="2"/>
        <v>476</v>
      </c>
      <c r="J22" s="84">
        <f>'V5 Ark 3, Input sonepriser'!G115</f>
        <v>59.01819651768718</v>
      </c>
      <c r="K22" s="84">
        <f t="shared" si="3"/>
        <v>8.0653091433816932</v>
      </c>
      <c r="L22" s="166">
        <f>'V5 Ark 3, Input sonepriser'!L115</f>
        <v>0.33845883643105867</v>
      </c>
      <c r="M22" s="306">
        <v>1</v>
      </c>
    </row>
    <row r="23" spans="1:14">
      <c r="A23" s="86">
        <v>11</v>
      </c>
      <c r="B23" s="164">
        <v>251</v>
      </c>
      <c r="C23" s="162">
        <v>275</v>
      </c>
      <c r="D23" s="74">
        <f t="shared" si="0"/>
        <v>25</v>
      </c>
      <c r="E23" s="74">
        <f t="shared" si="1"/>
        <v>50</v>
      </c>
      <c r="F23" s="164">
        <f>B23*F7</f>
        <v>502</v>
      </c>
      <c r="G23" s="165">
        <f>'V5 Ark 3, Input sonepriser'!F120</f>
        <v>0.56000000000000005</v>
      </c>
      <c r="H23" s="84">
        <f>D23*F5*F7</f>
        <v>24</v>
      </c>
      <c r="I23" s="189">
        <f t="shared" si="2"/>
        <v>526</v>
      </c>
      <c r="J23" s="84">
        <f>'V5 Ark 3, Input sonepriser'!G120</f>
        <v>59.206034140531962</v>
      </c>
      <c r="K23" s="84">
        <f t="shared" si="3"/>
        <v>8.8842295829422007</v>
      </c>
      <c r="L23" s="166">
        <f>'V5 Ark 3, Input sonepriser'!L120</f>
        <v>0.6091029810298102</v>
      </c>
      <c r="M23" s="306">
        <v>1</v>
      </c>
    </row>
    <row r="24" spans="1:14">
      <c r="A24" s="86">
        <v>12</v>
      </c>
      <c r="B24" s="164">
        <v>276</v>
      </c>
      <c r="C24" s="162">
        <v>300</v>
      </c>
      <c r="D24" s="74">
        <f t="shared" si="0"/>
        <v>25</v>
      </c>
      <c r="E24" s="74">
        <f t="shared" si="1"/>
        <v>50</v>
      </c>
      <c r="F24" s="164">
        <f>B24*F7</f>
        <v>552</v>
      </c>
      <c r="G24" s="167">
        <f>'V5 Ark 3, Input sonepriser'!F125</f>
        <v>0.37</v>
      </c>
      <c r="H24" s="84">
        <f>D24*F5*F7</f>
        <v>24</v>
      </c>
      <c r="I24" s="189">
        <f t="shared" si="2"/>
        <v>576</v>
      </c>
      <c r="J24" s="84">
        <f>'V5 Ark 3, Input sonepriser'!G125</f>
        <v>55.916699620704286</v>
      </c>
      <c r="K24" s="84">
        <f t="shared" si="3"/>
        <v>10.30103714824264</v>
      </c>
      <c r="L24" s="166">
        <f>'V5 Ark 3, Input sonepriser'!L125</f>
        <v>0.43647875816993464</v>
      </c>
      <c r="M24" s="306">
        <v>1</v>
      </c>
    </row>
    <row r="25" spans="1:14">
      <c r="A25" s="86">
        <v>13</v>
      </c>
      <c r="B25" s="164">
        <v>301</v>
      </c>
      <c r="C25" s="162">
        <v>325</v>
      </c>
      <c r="D25" s="74">
        <f t="shared" si="0"/>
        <v>25</v>
      </c>
      <c r="E25" s="74">
        <f t="shared" si="1"/>
        <v>50</v>
      </c>
      <c r="F25" s="164">
        <f>B25*F7</f>
        <v>602</v>
      </c>
      <c r="G25" s="165">
        <f>'V5 Ark 3, Input sonepriser'!F128</f>
        <v>0.38</v>
      </c>
      <c r="H25" s="84">
        <f>D25*F5*F7</f>
        <v>24</v>
      </c>
      <c r="I25" s="189">
        <f t="shared" si="2"/>
        <v>626</v>
      </c>
      <c r="J25" s="84">
        <f>'V5 Ark 3, Input sonepriser'!G128</f>
        <v>56.711111111111109</v>
      </c>
      <c r="K25" s="84">
        <f t="shared" si="3"/>
        <v>11.038401253918495</v>
      </c>
      <c r="L25" s="166">
        <f>'V5 Ark 3, Input sonepriser'!L128</f>
        <v>0.67773809523809525</v>
      </c>
      <c r="M25" s="306">
        <v>1</v>
      </c>
    </row>
    <row r="26" spans="1:14">
      <c r="A26" s="86">
        <v>14</v>
      </c>
      <c r="B26" s="164">
        <v>326</v>
      </c>
      <c r="C26" s="162">
        <v>350</v>
      </c>
      <c r="D26" s="74">
        <f t="shared" si="0"/>
        <v>25</v>
      </c>
      <c r="E26" s="74">
        <f t="shared" si="1"/>
        <v>50</v>
      </c>
      <c r="F26" s="164">
        <f>B26*F7</f>
        <v>652</v>
      </c>
      <c r="G26" s="165">
        <f>'V5 Ark 3, Input sonepriser'!F135</f>
        <v>0.32666666666666666</v>
      </c>
      <c r="H26" s="84">
        <f>D26*F5*F7</f>
        <v>24</v>
      </c>
      <c r="I26" s="189">
        <f t="shared" si="2"/>
        <v>676</v>
      </c>
      <c r="J26" s="84">
        <f>'V5 Ark 3, Input sonepriser'!G135</f>
        <v>52.979838158837808</v>
      </c>
      <c r="K26" s="84">
        <f t="shared" si="3"/>
        <v>12.759570876251033</v>
      </c>
      <c r="L26" s="166">
        <f>'V5 Ark 3, Input sonepriser'!L135</f>
        <v>0.32314236111111111</v>
      </c>
      <c r="M26" s="306">
        <v>1</v>
      </c>
    </row>
    <row r="27" spans="1:14">
      <c r="A27" s="86">
        <v>15</v>
      </c>
      <c r="B27" s="164">
        <v>351</v>
      </c>
      <c r="C27" s="162">
        <v>375</v>
      </c>
      <c r="D27" s="74">
        <f t="shared" si="0"/>
        <v>25</v>
      </c>
      <c r="E27" s="74">
        <f t="shared" si="1"/>
        <v>50</v>
      </c>
      <c r="F27" s="164">
        <f>B27*F7</f>
        <v>702</v>
      </c>
      <c r="G27" s="165">
        <f>'V5 Ark 3, Input sonepriser'!F141</f>
        <v>0.54400000000000004</v>
      </c>
      <c r="H27" s="84">
        <f>D27*F5*F7</f>
        <v>24</v>
      </c>
      <c r="I27" s="189">
        <f t="shared" si="2"/>
        <v>726</v>
      </c>
      <c r="J27" s="84">
        <f>'V5 Ark 3, Input sonepriser'!G141</f>
        <v>54.696673933288835</v>
      </c>
      <c r="K27" s="84">
        <f t="shared" si="3"/>
        <v>13.273201966274417</v>
      </c>
      <c r="L27" s="166">
        <f>'V5 Ark 3, Input sonepriser'!L141</f>
        <v>0.28885355579013217</v>
      </c>
      <c r="M27" s="306">
        <v>1</v>
      </c>
    </row>
    <row r="28" spans="1:14">
      <c r="A28" s="86">
        <v>16</v>
      </c>
      <c r="B28" s="164">
        <v>376</v>
      </c>
      <c r="C28" s="162">
        <v>400</v>
      </c>
      <c r="D28" s="74">
        <f t="shared" si="0"/>
        <v>25</v>
      </c>
      <c r="E28" s="74">
        <f t="shared" si="1"/>
        <v>50</v>
      </c>
      <c r="F28" s="164">
        <f>B28*F7</f>
        <v>752</v>
      </c>
      <c r="G28" s="165">
        <f>'V5 Ark 3, Input sonepriser'!F146</f>
        <v>0.29000000000000004</v>
      </c>
      <c r="H28" s="84">
        <f>D28*F5*F7</f>
        <v>24</v>
      </c>
      <c r="I28" s="189">
        <f t="shared" si="2"/>
        <v>776</v>
      </c>
      <c r="J28" s="84">
        <f>'V5 Ark 3, Input sonepriser'!G146</f>
        <v>51.037061828406841</v>
      </c>
      <c r="K28" s="84">
        <f t="shared" si="3"/>
        <v>15.204637026500697</v>
      </c>
      <c r="L28" s="166">
        <f>'V5 Ark 3, Input sonepriser'!L146</f>
        <v>0.31491900967082365</v>
      </c>
      <c r="M28" s="306">
        <v>1</v>
      </c>
    </row>
    <row r="29" spans="1:14">
      <c r="A29" s="86">
        <v>17</v>
      </c>
      <c r="B29" s="164">
        <v>401</v>
      </c>
      <c r="C29" s="162">
        <v>425</v>
      </c>
      <c r="D29" s="74">
        <f t="shared" si="0"/>
        <v>25</v>
      </c>
      <c r="E29" s="74">
        <f t="shared" si="1"/>
        <v>50</v>
      </c>
      <c r="F29" s="164">
        <f>B29*F7</f>
        <v>802</v>
      </c>
      <c r="G29" s="165">
        <f>'V5 Ark 3, Input sonepriser'!F152</f>
        <v>0.38400000000000001</v>
      </c>
      <c r="H29" s="84">
        <f>D29*F5*F7</f>
        <v>24</v>
      </c>
      <c r="I29" s="189">
        <f t="shared" si="2"/>
        <v>826</v>
      </c>
      <c r="J29" s="84">
        <f>'V5 Ark 3, Input sonepriser'!G152</f>
        <v>53.556216778573059</v>
      </c>
      <c r="K29" s="84">
        <f t="shared" si="3"/>
        <v>15.423046094071168</v>
      </c>
      <c r="L29" s="166">
        <f>'V5 Ark 3, Input sonepriser'!L152</f>
        <v>0.4894304370658219</v>
      </c>
      <c r="M29" s="306">
        <v>1</v>
      </c>
    </row>
    <row r="30" spans="1:14">
      <c r="A30" s="86">
        <v>18</v>
      </c>
      <c r="B30" s="164">
        <v>426</v>
      </c>
      <c r="C30" s="162">
        <v>450</v>
      </c>
      <c r="D30" s="74">
        <f t="shared" si="0"/>
        <v>25</v>
      </c>
      <c r="E30" s="74">
        <f t="shared" si="1"/>
        <v>50</v>
      </c>
      <c r="F30" s="164">
        <f>B30*F7</f>
        <v>852</v>
      </c>
      <c r="G30" s="165">
        <f>'V5 Ark 3, Input sonepriser'!F159</f>
        <v>0.62</v>
      </c>
      <c r="H30" s="84">
        <f>D30*F5*F7</f>
        <v>24</v>
      </c>
      <c r="I30" s="189">
        <f t="shared" si="2"/>
        <v>876</v>
      </c>
      <c r="J30" s="84">
        <f>'V5 Ark 3, Input sonepriser'!G159</f>
        <v>57.273847924225073</v>
      </c>
      <c r="K30" s="84">
        <f t="shared" si="3"/>
        <v>15.294938820226866</v>
      </c>
      <c r="L30" s="166">
        <f>'V5 Ark 3, Input sonepriser'!L159</f>
        <v>0.31193623964552492</v>
      </c>
      <c r="M30" s="306">
        <v>1</v>
      </c>
    </row>
    <row r="31" spans="1:14">
      <c r="A31" s="81"/>
      <c r="B31" s="81"/>
      <c r="C31" s="81"/>
      <c r="D31" s="81"/>
      <c r="E31" s="81"/>
      <c r="F31" s="81"/>
      <c r="G31" s="168">
        <f>AVERAGE(G13:G30)</f>
        <v>0.47817460317460331</v>
      </c>
      <c r="H31" s="81"/>
      <c r="I31" s="81"/>
      <c r="J31" s="81"/>
      <c r="K31" s="81"/>
      <c r="L31" s="168">
        <f>AVERAGE(L13:L30)</f>
        <v>0.34703257597709131</v>
      </c>
      <c r="M31" s="81"/>
    </row>
    <row r="32" spans="1:14">
      <c r="A32" s="172" t="s">
        <v>18</v>
      </c>
      <c r="B32" s="172"/>
      <c r="C32" s="172"/>
      <c r="D32" s="172"/>
      <c r="E32" s="81"/>
      <c r="F32" s="81"/>
      <c r="G32" s="81"/>
      <c r="H32" s="81"/>
      <c r="I32" s="81"/>
      <c r="J32" s="81"/>
      <c r="K32" s="81"/>
      <c r="L32" s="169"/>
      <c r="M32" s="81"/>
      <c r="N32" s="81"/>
    </row>
    <row r="33" spans="1:20">
      <c r="A33" s="163" t="s">
        <v>122</v>
      </c>
      <c r="B33" s="72"/>
      <c r="C33" s="72">
        <v>60000</v>
      </c>
      <c r="D33" s="72" t="s">
        <v>0</v>
      </c>
      <c r="L33" s="32"/>
    </row>
    <row r="34" spans="1:20">
      <c r="A34" s="163" t="s">
        <v>145</v>
      </c>
      <c r="B34" s="72"/>
      <c r="C34" s="72">
        <f>120</f>
        <v>120</v>
      </c>
      <c r="D34" s="72" t="s">
        <v>146</v>
      </c>
    </row>
    <row r="35" spans="1:20">
      <c r="A35" s="163" t="s">
        <v>123</v>
      </c>
      <c r="B35" s="163"/>
      <c r="C35" s="72">
        <v>6.19</v>
      </c>
      <c r="D35" s="74"/>
      <c r="K35" s="2"/>
      <c r="L35" s="32"/>
    </row>
    <row r="36" spans="1:20">
      <c r="A36" s="163" t="s">
        <v>101</v>
      </c>
      <c r="B36" s="163"/>
      <c r="C36" s="72">
        <v>8.43</v>
      </c>
      <c r="D36" s="72"/>
      <c r="F36">
        <f>F15+50</f>
        <v>152</v>
      </c>
      <c r="H36" s="32"/>
    </row>
    <row r="37" spans="1:20">
      <c r="A37" s="163" t="s">
        <v>305</v>
      </c>
      <c r="B37" s="72"/>
      <c r="C37" s="72">
        <f>C35+C36</f>
        <v>14.620000000000001</v>
      </c>
      <c r="D37" s="72"/>
      <c r="R37" s="13"/>
      <c r="T37" s="13"/>
    </row>
    <row r="38" spans="1:20">
      <c r="A38" s="163" t="s">
        <v>19</v>
      </c>
      <c r="B38" s="163"/>
      <c r="C38" s="72">
        <v>361.73</v>
      </c>
      <c r="D38" s="72" t="s">
        <v>2</v>
      </c>
      <c r="R38" s="19"/>
    </row>
    <row r="39" spans="1:20">
      <c r="A39" s="74"/>
      <c r="B39" s="74"/>
      <c r="C39" s="74"/>
      <c r="D39" s="74"/>
      <c r="G39" s="2"/>
      <c r="H39" s="11"/>
      <c r="I39" s="2"/>
      <c r="J39" s="2"/>
      <c r="K39" s="2"/>
      <c r="R39" s="19"/>
    </row>
    <row r="40" spans="1:20">
      <c r="A40" s="163" t="s">
        <v>150</v>
      </c>
      <c r="B40" s="163"/>
      <c r="C40" s="74">
        <v>190</v>
      </c>
      <c r="D40" s="74" t="s">
        <v>2</v>
      </c>
      <c r="G40" s="2"/>
      <c r="H40" s="104"/>
      <c r="I40" s="103"/>
      <c r="J40" s="103"/>
      <c r="K40" s="2"/>
      <c r="R40" s="19"/>
    </row>
    <row r="41" spans="1:20" ht="16">
      <c r="A41" s="163" t="s">
        <v>147</v>
      </c>
      <c r="B41" s="72"/>
      <c r="C41" s="346">
        <v>192</v>
      </c>
      <c r="D41" s="65" t="s">
        <v>2</v>
      </c>
      <c r="G41" s="11"/>
      <c r="H41" s="103"/>
      <c r="I41" s="261"/>
      <c r="J41" s="97"/>
      <c r="R41" s="19"/>
    </row>
    <row r="42" spans="1:20">
      <c r="G42" s="11"/>
      <c r="H42" s="103"/>
      <c r="I42" s="261"/>
      <c r="J42" s="97"/>
      <c r="K42" s="2"/>
      <c r="R42" s="19"/>
    </row>
    <row r="43" spans="1:20" ht="16">
      <c r="F43" s="9"/>
      <c r="G43" s="2"/>
      <c r="H43" s="103"/>
      <c r="I43" s="261"/>
      <c r="J43" s="97"/>
      <c r="K43" s="2"/>
      <c r="R43" s="19"/>
    </row>
    <row r="44" spans="1:20" ht="16">
      <c r="E44" s="102"/>
      <c r="F44" s="9"/>
      <c r="G44" s="2"/>
      <c r="H44" s="103"/>
      <c r="I44" s="261"/>
      <c r="J44" s="97"/>
      <c r="K44" s="2"/>
      <c r="R44" s="19"/>
    </row>
    <row r="45" spans="1:20" ht="16">
      <c r="E45" s="102"/>
      <c r="F45" s="9"/>
      <c r="K45" s="2"/>
      <c r="R45" s="19"/>
    </row>
    <row r="46" spans="1:20" ht="28">
      <c r="A46" s="347" t="s">
        <v>429</v>
      </c>
      <c r="K46" s="2"/>
      <c r="R46" s="19"/>
    </row>
    <row r="47" spans="1:20" ht="16">
      <c r="A47" s="60"/>
      <c r="B47" s="60"/>
      <c r="C47" s="60"/>
      <c r="D47" s="60"/>
      <c r="E47" s="60"/>
      <c r="F47" s="9"/>
      <c r="K47" s="2"/>
      <c r="R47" s="19"/>
    </row>
    <row r="48" spans="1:20" ht="16">
      <c r="A48" s="348" t="s">
        <v>124</v>
      </c>
      <c r="B48" s="348"/>
      <c r="C48" s="341"/>
      <c r="D48" s="341"/>
      <c r="E48" s="341"/>
      <c r="F48" s="9"/>
      <c r="R48" s="19"/>
    </row>
    <row r="49" spans="1:18" ht="16">
      <c r="A49" s="163" t="s">
        <v>125</v>
      </c>
      <c r="B49" s="71"/>
      <c r="C49" s="36">
        <v>30</v>
      </c>
      <c r="D49" s="36" t="s">
        <v>23</v>
      </c>
      <c r="E49" s="300">
        <f>C49/60</f>
        <v>0.5</v>
      </c>
      <c r="F49" s="9" t="s">
        <v>22</v>
      </c>
      <c r="K49" s="2"/>
      <c r="L49" s="45"/>
      <c r="R49" s="19"/>
    </row>
    <row r="50" spans="1:18">
      <c r="A50" s="163" t="s">
        <v>119</v>
      </c>
      <c r="B50" s="71"/>
      <c r="C50" s="36">
        <v>30</v>
      </c>
      <c r="D50" s="36" t="s">
        <v>23</v>
      </c>
      <c r="E50" s="300">
        <f>C50/60</f>
        <v>0.5</v>
      </c>
      <c r="F50" t="s">
        <v>22</v>
      </c>
      <c r="K50" s="2"/>
      <c r="R50" s="19"/>
    </row>
    <row r="51" spans="1:18" ht="16">
      <c r="A51" s="163" t="s">
        <v>118</v>
      </c>
      <c r="B51" s="71"/>
      <c r="C51" s="36">
        <v>30</v>
      </c>
      <c r="D51" s="36" t="s">
        <v>121</v>
      </c>
      <c r="E51" s="300">
        <f>C51/60</f>
        <v>0.5</v>
      </c>
      <c r="F51" s="9" t="s">
        <v>22</v>
      </c>
      <c r="K51" s="2"/>
      <c r="L51" s="45"/>
      <c r="R51" s="19"/>
    </row>
    <row r="52" spans="1:18" ht="16">
      <c r="A52" s="163" t="s">
        <v>126</v>
      </c>
      <c r="B52" s="71"/>
      <c r="C52" s="36">
        <v>0</v>
      </c>
      <c r="D52" s="36" t="s">
        <v>23</v>
      </c>
      <c r="E52" s="300">
        <f>C52/60</f>
        <v>0</v>
      </c>
      <c r="F52" s="9" t="s">
        <v>22</v>
      </c>
      <c r="K52" s="2"/>
      <c r="L52" s="45"/>
      <c r="R52" s="19"/>
    </row>
    <row r="53" spans="1:18" ht="16">
      <c r="A53" s="60"/>
      <c r="B53" s="60"/>
      <c r="C53" s="60"/>
      <c r="D53" s="60"/>
      <c r="E53" s="195"/>
      <c r="K53" s="2"/>
      <c r="L53" s="45"/>
      <c r="R53" s="19"/>
    </row>
    <row r="54" spans="1:18" ht="16">
      <c r="F54" s="9"/>
      <c r="K54" s="2"/>
      <c r="L54" s="45"/>
      <c r="R54" s="19"/>
    </row>
    <row r="55" spans="1:18" ht="16">
      <c r="G55" s="2"/>
      <c r="L55" s="45"/>
      <c r="R55" s="19"/>
    </row>
    <row r="56" spans="1:18" ht="16">
      <c r="G56" s="2"/>
      <c r="H56" s="2"/>
      <c r="I56" s="2"/>
      <c r="J56" s="2"/>
      <c r="K56" s="2"/>
      <c r="L56" s="45"/>
    </row>
    <row r="57" spans="1:18" ht="28">
      <c r="A57" s="360" t="s">
        <v>430</v>
      </c>
      <c r="B57" s="347"/>
      <c r="C57" s="347"/>
      <c r="D57" s="81"/>
      <c r="E57" s="81"/>
      <c r="H57" s="2"/>
      <c r="I57" s="2"/>
      <c r="J57" s="2"/>
      <c r="K57" s="2"/>
      <c r="L57" s="2"/>
      <c r="M57" s="45"/>
    </row>
    <row r="58" spans="1:18" ht="16">
      <c r="A58" s="358" t="s">
        <v>324</v>
      </c>
      <c r="B58" s="349"/>
      <c r="C58" s="349"/>
      <c r="D58" s="349"/>
      <c r="E58" s="350"/>
      <c r="F58" s="60"/>
      <c r="M58" s="45"/>
    </row>
    <row r="59" spans="1:18" ht="16">
      <c r="A59" s="351" t="s">
        <v>148</v>
      </c>
      <c r="B59" s="97"/>
      <c r="C59" s="97"/>
      <c r="D59" s="98">
        <v>120</v>
      </c>
      <c r="E59" s="352" t="s">
        <v>146</v>
      </c>
      <c r="F59" s="60"/>
      <c r="M59" s="45"/>
    </row>
    <row r="60" spans="1:18" ht="16">
      <c r="A60" s="351" t="s">
        <v>322</v>
      </c>
      <c r="B60" s="97"/>
      <c r="C60" s="97"/>
      <c r="D60" s="174">
        <f>L31</f>
        <v>0.34703257597709131</v>
      </c>
      <c r="E60" s="352"/>
      <c r="F60" s="60"/>
      <c r="M60" s="45"/>
    </row>
    <row r="61" spans="1:18">
      <c r="A61" s="353" t="s">
        <v>323</v>
      </c>
      <c r="B61" s="301"/>
      <c r="C61" s="301"/>
      <c r="D61" s="302">
        <v>0.87</v>
      </c>
      <c r="E61" s="352"/>
      <c r="F61" s="60"/>
      <c r="I61" s="2"/>
      <c r="J61" s="2"/>
      <c r="M61" s="218"/>
    </row>
    <row r="62" spans="1:18">
      <c r="A62" s="354" t="s">
        <v>149</v>
      </c>
      <c r="B62" s="355"/>
      <c r="C62" s="355"/>
      <c r="D62" s="356">
        <f>D59*D61</f>
        <v>104.4</v>
      </c>
      <c r="E62" s="357" t="s">
        <v>146</v>
      </c>
      <c r="F62" s="60"/>
      <c r="I62" s="2"/>
      <c r="J62" s="2"/>
      <c r="K62" s="103"/>
      <c r="L62" s="103"/>
      <c r="M62" s="264"/>
      <c r="N62" s="99"/>
      <c r="O62" s="99"/>
    </row>
    <row r="63" spans="1:18">
      <c r="A63" s="173" t="s">
        <v>302</v>
      </c>
      <c r="I63" s="11"/>
      <c r="J63" s="2"/>
      <c r="K63" s="102"/>
      <c r="L63" s="102"/>
      <c r="M63" s="264"/>
      <c r="N63" s="99"/>
      <c r="O63" s="99"/>
    </row>
    <row r="64" spans="1:18">
      <c r="I64" s="11"/>
      <c r="J64" s="2"/>
      <c r="K64" s="104"/>
      <c r="L64" s="100"/>
      <c r="M64" s="100"/>
      <c r="N64" s="99"/>
      <c r="O64" s="99"/>
    </row>
    <row r="65" spans="1:18">
      <c r="I65" s="2"/>
      <c r="J65" s="2"/>
      <c r="K65" s="102"/>
      <c r="L65" s="102"/>
      <c r="M65" s="102"/>
      <c r="N65" s="99"/>
      <c r="O65" s="140"/>
    </row>
    <row r="66" spans="1:18">
      <c r="I66" s="11"/>
      <c r="J66" s="2"/>
      <c r="K66" s="103"/>
      <c r="L66" s="102"/>
      <c r="M66" s="264"/>
      <c r="N66" s="99"/>
      <c r="O66" s="99"/>
    </row>
    <row r="67" spans="1:18" ht="28">
      <c r="A67" s="347" t="s">
        <v>431</v>
      </c>
      <c r="B67" s="347"/>
      <c r="K67" s="102"/>
      <c r="L67" s="102"/>
      <c r="M67" s="264"/>
      <c r="N67" s="99"/>
      <c r="O67" s="99"/>
    </row>
    <row r="68" spans="1:18">
      <c r="A68" s="73"/>
      <c r="B68" s="256" t="s">
        <v>25</v>
      </c>
      <c r="C68" s="258" t="s">
        <v>354</v>
      </c>
      <c r="D68" s="260" t="s">
        <v>176</v>
      </c>
      <c r="E68" s="75" t="s">
        <v>300</v>
      </c>
      <c r="F68" s="75" t="s">
        <v>170</v>
      </c>
      <c r="I68" s="11"/>
      <c r="K68" s="99"/>
      <c r="L68" s="99"/>
      <c r="M68" s="99"/>
      <c r="N68" s="99"/>
      <c r="O68" s="140"/>
    </row>
    <row r="69" spans="1:18">
      <c r="A69" s="77" t="s">
        <v>127</v>
      </c>
      <c r="B69" s="257">
        <f t="shared" ref="B69:B86" si="4">$C$37*I13+($E$49+$E$51)*$C$38+($E$51+$E$52+K13)*$C$38+($C$40)</f>
        <v>1866.6717135499207</v>
      </c>
      <c r="C69" s="259">
        <f t="shared" ref="C69:C86" si="5">B69/$D$62</f>
        <v>17.879997256225295</v>
      </c>
      <c r="D69" s="259">
        <f t="shared" ref="D69:D86" si="6">B69/I13</f>
        <v>37.333434270998417</v>
      </c>
      <c r="E69" s="72">
        <f t="shared" ref="E69:E86" si="7">($E$50+$E$52)*$C$38</f>
        <v>180.86500000000001</v>
      </c>
      <c r="F69" s="72">
        <f t="shared" ref="F69:F86" si="8">E69*M13</f>
        <v>542.59500000000003</v>
      </c>
      <c r="K69" s="2"/>
    </row>
    <row r="70" spans="1:18">
      <c r="A70" s="77" t="s">
        <v>128</v>
      </c>
      <c r="B70" s="257">
        <f t="shared" si="4"/>
        <v>2634.7119639754078</v>
      </c>
      <c r="C70" s="259">
        <f t="shared" si="5"/>
        <v>25.236704635779766</v>
      </c>
      <c r="D70" s="259">
        <f t="shared" si="6"/>
        <v>34.667262683886946</v>
      </c>
      <c r="E70" s="72">
        <f t="shared" si="7"/>
        <v>180.86500000000001</v>
      </c>
      <c r="F70" s="72">
        <f t="shared" si="8"/>
        <v>542.59500000000003</v>
      </c>
      <c r="I70" s="102"/>
      <c r="J70" s="102"/>
      <c r="K70" s="102"/>
      <c r="L70" s="99"/>
    </row>
    <row r="71" spans="1:18">
      <c r="A71" s="77" t="s">
        <v>129</v>
      </c>
      <c r="B71" s="257">
        <f t="shared" si="4"/>
        <v>3610.3414519038083</v>
      </c>
      <c r="C71" s="259">
        <f t="shared" si="5"/>
        <v>34.581814673408125</v>
      </c>
      <c r="D71" s="259">
        <f t="shared" si="6"/>
        <v>28.653503586538161</v>
      </c>
      <c r="E71" s="72">
        <f t="shared" si="7"/>
        <v>180.86500000000001</v>
      </c>
      <c r="F71" s="72">
        <f t="shared" si="8"/>
        <v>1085.19</v>
      </c>
      <c r="I71" s="102"/>
      <c r="J71" s="261"/>
      <c r="K71" s="102"/>
      <c r="L71" s="99"/>
    </row>
    <row r="72" spans="1:18">
      <c r="A72" s="77" t="s">
        <v>130</v>
      </c>
      <c r="B72" s="257">
        <f t="shared" si="4"/>
        <v>4615.9974141319681</v>
      </c>
      <c r="C72" s="259">
        <f t="shared" si="5"/>
        <v>44.2145346181223</v>
      </c>
      <c r="D72" s="259">
        <f t="shared" si="6"/>
        <v>26.227258034840727</v>
      </c>
      <c r="E72" s="72">
        <f t="shared" si="7"/>
        <v>180.86500000000001</v>
      </c>
      <c r="F72" s="72">
        <f t="shared" si="8"/>
        <v>180.86500000000001</v>
      </c>
      <c r="I72" s="102"/>
      <c r="J72" s="103"/>
      <c r="K72" s="103"/>
      <c r="L72" s="99"/>
    </row>
    <row r="73" spans="1:18" ht="16">
      <c r="A73" s="77" t="s">
        <v>131</v>
      </c>
      <c r="B73" s="257">
        <f t="shared" si="4"/>
        <v>5639.0480213039855</v>
      </c>
      <c r="C73" s="259">
        <f t="shared" si="5"/>
        <v>54.013869935861926</v>
      </c>
      <c r="D73" s="259">
        <f t="shared" si="6"/>
        <v>24.951539917274271</v>
      </c>
      <c r="E73" s="72">
        <f t="shared" si="7"/>
        <v>180.86500000000001</v>
      </c>
      <c r="F73" s="72">
        <f t="shared" si="8"/>
        <v>180.86500000000001</v>
      </c>
      <c r="I73" s="102"/>
      <c r="J73" s="265"/>
      <c r="K73" s="265"/>
      <c r="L73" s="147"/>
      <c r="M73" s="7"/>
      <c r="N73" s="7"/>
      <c r="O73" s="7"/>
      <c r="P73" s="7"/>
      <c r="Q73" s="7"/>
      <c r="R73" s="7"/>
    </row>
    <row r="74" spans="1:18" ht="16">
      <c r="A74" s="77" t="s">
        <v>132</v>
      </c>
      <c r="B74" s="257">
        <f t="shared" si="4"/>
        <v>6546.6194278974235</v>
      </c>
      <c r="C74" s="259">
        <f t="shared" si="5"/>
        <v>62.707082642695624</v>
      </c>
      <c r="D74" s="259">
        <f t="shared" si="6"/>
        <v>23.719635608323998</v>
      </c>
      <c r="E74" s="72">
        <f t="shared" si="7"/>
        <v>180.86500000000001</v>
      </c>
      <c r="F74" s="72">
        <f t="shared" si="8"/>
        <v>180.86500000000001</v>
      </c>
      <c r="I74" s="102"/>
      <c r="J74" s="266"/>
      <c r="K74" s="265"/>
      <c r="L74" s="147"/>
      <c r="M74" s="7"/>
      <c r="N74" s="7"/>
      <c r="O74" s="7"/>
      <c r="P74" s="7"/>
      <c r="Q74" s="7"/>
      <c r="R74" s="7"/>
    </row>
    <row r="75" spans="1:18" ht="16">
      <c r="A75" s="77" t="s">
        <v>133</v>
      </c>
      <c r="B75" s="90">
        <f t="shared" si="4"/>
        <v>7704.4457967517237</v>
      </c>
      <c r="C75" s="72">
        <f t="shared" si="5"/>
        <v>73.797373532104629</v>
      </c>
      <c r="D75" s="72">
        <f t="shared" si="6"/>
        <v>23.633269315189338</v>
      </c>
      <c r="E75" s="72">
        <f t="shared" si="7"/>
        <v>180.86500000000001</v>
      </c>
      <c r="F75" s="72">
        <f t="shared" si="8"/>
        <v>180.86500000000001</v>
      </c>
      <c r="I75" s="9"/>
      <c r="J75" s="7"/>
      <c r="K75" s="7"/>
      <c r="L75" s="7"/>
      <c r="M75" s="7"/>
      <c r="N75" s="7"/>
      <c r="O75" s="7"/>
      <c r="P75" s="7"/>
      <c r="Q75" s="7"/>
      <c r="R75" s="7"/>
    </row>
    <row r="76" spans="1:18" ht="16">
      <c r="A76" s="77" t="s">
        <v>134</v>
      </c>
      <c r="B76" s="90">
        <f t="shared" si="4"/>
        <v>8798.5712568913441</v>
      </c>
      <c r="C76" s="72">
        <f t="shared" si="5"/>
        <v>84.277502460645053</v>
      </c>
      <c r="D76" s="72">
        <f t="shared" si="6"/>
        <v>23.400455470455704</v>
      </c>
      <c r="E76" s="72">
        <f t="shared" si="7"/>
        <v>180.86500000000001</v>
      </c>
      <c r="F76" s="72">
        <f t="shared" si="8"/>
        <v>180.86500000000001</v>
      </c>
      <c r="I76" s="7"/>
      <c r="J76" s="7"/>
      <c r="K76" s="7"/>
      <c r="L76" s="7"/>
      <c r="M76" s="7"/>
      <c r="N76" s="7"/>
      <c r="O76" s="7"/>
      <c r="P76" s="7"/>
      <c r="Q76" s="7"/>
      <c r="R76" s="7"/>
    </row>
    <row r="77" spans="1:18" ht="16">
      <c r="A77" s="77" t="s">
        <v>135</v>
      </c>
      <c r="B77" s="90">
        <f t="shared" si="4"/>
        <v>9876.4369740141083</v>
      </c>
      <c r="C77" s="72">
        <f t="shared" si="5"/>
        <v>94.601886724273058</v>
      </c>
      <c r="D77" s="72">
        <f t="shared" si="6"/>
        <v>23.184124352145794</v>
      </c>
      <c r="E77" s="72">
        <f t="shared" si="7"/>
        <v>180.86500000000001</v>
      </c>
      <c r="F77" s="72">
        <f t="shared" si="8"/>
        <v>180.86500000000001</v>
      </c>
      <c r="I77" s="9"/>
      <c r="J77" s="7"/>
      <c r="K77" s="7"/>
      <c r="L77" s="7"/>
      <c r="M77" s="18"/>
      <c r="N77" s="7"/>
      <c r="O77" s="7"/>
      <c r="P77" s="7"/>
      <c r="Q77" s="9"/>
      <c r="R77" s="7"/>
    </row>
    <row r="78" spans="1:18" ht="16">
      <c r="A78" s="77" t="s">
        <v>136</v>
      </c>
      <c r="B78" s="90">
        <f t="shared" si="4"/>
        <v>10609.179276435461</v>
      </c>
      <c r="C78" s="72">
        <f t="shared" si="5"/>
        <v>101.62049115359636</v>
      </c>
      <c r="D78" s="72">
        <f t="shared" si="6"/>
        <v>22.288191757217355</v>
      </c>
      <c r="E78" s="72">
        <f t="shared" si="7"/>
        <v>180.86500000000001</v>
      </c>
      <c r="F78" s="72">
        <f t="shared" si="8"/>
        <v>180.86500000000001</v>
      </c>
      <c r="I78" s="176"/>
      <c r="J78" s="177"/>
      <c r="P78" s="7"/>
      <c r="Q78" s="7"/>
      <c r="R78" s="7"/>
    </row>
    <row r="79" spans="1:18" ht="16">
      <c r="A79" s="77" t="s">
        <v>137</v>
      </c>
      <c r="B79" s="90">
        <f t="shared" si="4"/>
        <v>11636.407367037682</v>
      </c>
      <c r="C79" s="72">
        <f t="shared" si="5"/>
        <v>111.45984068043757</v>
      </c>
      <c r="D79" s="72">
        <f t="shared" si="6"/>
        <v>22.122447465851106</v>
      </c>
      <c r="E79" s="72">
        <f t="shared" si="7"/>
        <v>180.86500000000001</v>
      </c>
      <c r="F79" s="72">
        <f t="shared" si="8"/>
        <v>180.86500000000001</v>
      </c>
      <c r="I79" s="178"/>
      <c r="J79" s="176"/>
    </row>
    <row r="80" spans="1:18" ht="16">
      <c r="A80" s="77" t="s">
        <v>138</v>
      </c>
      <c r="B80" s="90">
        <f t="shared" si="4"/>
        <v>12879.90916763381</v>
      </c>
      <c r="C80" s="72">
        <f t="shared" si="5"/>
        <v>123.3707774677568</v>
      </c>
      <c r="D80" s="72">
        <f t="shared" si="6"/>
        <v>22.36095341603092</v>
      </c>
      <c r="E80" s="72">
        <f t="shared" si="7"/>
        <v>180.86500000000001</v>
      </c>
      <c r="F80" s="72">
        <f t="shared" si="8"/>
        <v>180.86500000000001</v>
      </c>
      <c r="I80" s="60"/>
      <c r="J80" s="144"/>
    </row>
    <row r="81" spans="1:13">
      <c r="A81" s="77" t="s">
        <v>139</v>
      </c>
      <c r="B81" s="90">
        <f t="shared" si="4"/>
        <v>13877.635885579937</v>
      </c>
      <c r="C81" s="72">
        <f t="shared" si="5"/>
        <v>132.92754679674269</v>
      </c>
      <c r="D81" s="72">
        <f t="shared" si="6"/>
        <v>22.168747421054213</v>
      </c>
      <c r="E81" s="72">
        <f t="shared" si="7"/>
        <v>180.86500000000001</v>
      </c>
      <c r="F81" s="72">
        <f t="shared" si="8"/>
        <v>180.86500000000001</v>
      </c>
      <c r="I81" s="2"/>
      <c r="J81" s="2"/>
    </row>
    <row r="82" spans="1:13">
      <c r="A82" s="77" t="s">
        <v>140</v>
      </c>
      <c r="B82" s="90">
        <f t="shared" si="4"/>
        <v>15231.234573066286</v>
      </c>
      <c r="C82" s="72">
        <f t="shared" si="5"/>
        <v>145.89305146615214</v>
      </c>
      <c r="D82" s="72">
        <f t="shared" si="6"/>
        <v>22.53141209033474</v>
      </c>
      <c r="E82" s="72">
        <f t="shared" si="7"/>
        <v>180.86500000000001</v>
      </c>
      <c r="F82" s="72">
        <f t="shared" si="8"/>
        <v>180.86500000000001</v>
      </c>
      <c r="I82" s="2"/>
      <c r="J82" s="2"/>
    </row>
    <row r="83" spans="1:13" ht="16">
      <c r="A83" s="77" t="s">
        <v>141</v>
      </c>
      <c r="B83" s="90">
        <f t="shared" si="4"/>
        <v>16148.030347260446</v>
      </c>
      <c r="C83" s="72">
        <f t="shared" si="5"/>
        <v>154.67462018448703</v>
      </c>
      <c r="D83" s="72">
        <f t="shared" si="6"/>
        <v>22.242466043058467</v>
      </c>
      <c r="E83" s="72">
        <f t="shared" si="7"/>
        <v>180.86500000000001</v>
      </c>
      <c r="F83" s="72">
        <f t="shared" si="8"/>
        <v>180.86500000000001</v>
      </c>
      <c r="J83" s="7"/>
    </row>
    <row r="84" spans="1:13" ht="16">
      <c r="A84" s="77" t="s">
        <v>142</v>
      </c>
      <c r="B84" s="90">
        <f t="shared" si="4"/>
        <v>17577.688351596098</v>
      </c>
      <c r="C84" s="72">
        <f t="shared" si="5"/>
        <v>168.36866237161013</v>
      </c>
      <c r="D84" s="72">
        <f t="shared" si="6"/>
        <v>22.651660246902189</v>
      </c>
      <c r="E84" s="72">
        <f t="shared" si="7"/>
        <v>180.86500000000001</v>
      </c>
      <c r="F84" s="72">
        <f t="shared" si="8"/>
        <v>180.86500000000001</v>
      </c>
      <c r="J84" s="7"/>
    </row>
    <row r="85" spans="1:13" ht="16">
      <c r="A85" s="77" t="s">
        <v>143</v>
      </c>
      <c r="B85" s="90">
        <f t="shared" si="4"/>
        <v>18387.693463608364</v>
      </c>
      <c r="C85" s="72">
        <f t="shared" si="5"/>
        <v>176.12733202690004</v>
      </c>
      <c r="D85" s="72">
        <f t="shared" si="6"/>
        <v>22.261130101220779</v>
      </c>
      <c r="E85" s="72">
        <f t="shared" si="7"/>
        <v>180.86500000000001</v>
      </c>
      <c r="F85" s="72">
        <f t="shared" si="8"/>
        <v>180.86500000000001</v>
      </c>
      <c r="J85" s="7"/>
    </row>
    <row r="86" spans="1:13" ht="16">
      <c r="A86" s="77" t="s">
        <v>144</v>
      </c>
      <c r="B86" s="90">
        <f t="shared" si="4"/>
        <v>19072.353219440665</v>
      </c>
      <c r="C86" s="72">
        <f t="shared" si="5"/>
        <v>182.68537566514047</v>
      </c>
      <c r="D86" s="72">
        <f t="shared" si="6"/>
        <v>21.772092716256466</v>
      </c>
      <c r="E86" s="72">
        <f t="shared" si="7"/>
        <v>180.86500000000001</v>
      </c>
      <c r="F86" s="72">
        <f t="shared" si="8"/>
        <v>180.86500000000001</v>
      </c>
      <c r="J86" s="7"/>
      <c r="L86" s="19"/>
      <c r="M86" s="9"/>
    </row>
    <row r="87" spans="1:13" ht="16">
      <c r="J87" s="7"/>
      <c r="L87" s="19"/>
      <c r="M87" s="9"/>
    </row>
    <row r="88" spans="1:13" ht="16">
      <c r="J88" s="7"/>
      <c r="L88" s="19"/>
      <c r="M88" s="7"/>
    </row>
    <row r="89" spans="1:13" ht="16">
      <c r="A89" s="99"/>
      <c r="B89" s="99"/>
      <c r="C89" s="99"/>
      <c r="D89" s="99"/>
      <c r="E89" s="99"/>
      <c r="F89" s="99"/>
      <c r="G89" s="99"/>
      <c r="H89" s="99"/>
      <c r="I89" s="99"/>
      <c r="J89" s="179"/>
      <c r="K89" s="99"/>
      <c r="L89" s="150"/>
      <c r="M89" s="180"/>
    </row>
    <row r="90" spans="1:13">
      <c r="A90" s="140"/>
      <c r="B90" s="140"/>
      <c r="C90" s="140"/>
      <c r="D90" s="140"/>
      <c r="E90" s="140"/>
      <c r="F90" s="145"/>
      <c r="G90" s="140"/>
      <c r="H90" s="140"/>
      <c r="I90" s="99"/>
      <c r="J90" s="99"/>
      <c r="K90" s="140"/>
      <c r="L90" s="99"/>
      <c r="M90" s="99"/>
    </row>
    <row r="91" spans="1:13">
      <c r="A91" s="182"/>
      <c r="B91" s="99"/>
      <c r="C91" s="99"/>
      <c r="D91" s="99"/>
      <c r="E91" s="99"/>
      <c r="F91" s="149"/>
      <c r="G91" s="140"/>
      <c r="H91" s="140"/>
      <c r="I91" s="150"/>
      <c r="J91" s="140"/>
      <c r="K91" s="138"/>
      <c r="L91" s="140"/>
      <c r="M91" s="140"/>
    </row>
    <row r="92" spans="1:13">
      <c r="C92" s="99"/>
      <c r="D92" s="99"/>
      <c r="E92" s="99"/>
      <c r="F92" s="149"/>
      <c r="G92" s="140"/>
      <c r="H92" s="140"/>
      <c r="I92" s="150"/>
      <c r="J92" s="140"/>
      <c r="K92" s="138"/>
      <c r="L92" s="140"/>
      <c r="M92" s="140"/>
    </row>
    <row r="93" spans="1:13">
      <c r="A93" s="136"/>
      <c r="B93" s="140"/>
      <c r="C93" s="99"/>
      <c r="D93" s="99"/>
      <c r="J93" s="140"/>
      <c r="K93" s="138"/>
      <c r="L93" s="140"/>
      <c r="M93" s="140"/>
    </row>
    <row r="94" spans="1:13" ht="29" thickBot="1">
      <c r="A94" s="362" t="s">
        <v>432</v>
      </c>
      <c r="B94" s="99"/>
      <c r="C94" s="99"/>
      <c r="D94" s="99"/>
      <c r="J94" s="140"/>
      <c r="K94" s="138"/>
      <c r="L94" s="140"/>
      <c r="M94" s="140"/>
    </row>
    <row r="95" spans="1:13" ht="16">
      <c r="A95" s="144"/>
      <c r="B95" s="210" t="s">
        <v>354</v>
      </c>
      <c r="C95" s="212" t="s">
        <v>354</v>
      </c>
      <c r="D95" s="7"/>
      <c r="E95" s="7"/>
      <c r="J95" s="103"/>
      <c r="K95" s="138"/>
      <c r="L95" s="140"/>
      <c r="M95" s="140"/>
    </row>
    <row r="96" spans="1:13" ht="17" thickBot="1">
      <c r="A96" s="209" t="s">
        <v>159</v>
      </c>
      <c r="B96" s="211" t="s">
        <v>370</v>
      </c>
      <c r="C96" s="219" t="s">
        <v>371</v>
      </c>
      <c r="D96" s="75" t="s">
        <v>382</v>
      </c>
      <c r="E96" s="223" t="s">
        <v>369</v>
      </c>
      <c r="J96" s="140"/>
      <c r="K96" s="138"/>
      <c r="L96" s="140"/>
      <c r="M96" s="140"/>
    </row>
    <row r="97" spans="1:18" ht="16">
      <c r="A97" s="205">
        <v>1</v>
      </c>
      <c r="B97" s="206">
        <v>28.550599999999999</v>
      </c>
      <c r="C97" s="220">
        <v>17.88</v>
      </c>
      <c r="D97" s="222">
        <f t="shared" ref="D97:D102" si="9">B97-C97</f>
        <v>10.6706</v>
      </c>
      <c r="E97" s="80">
        <f t="shared" ref="E97:E102" si="10">D97/B97</f>
        <v>0.37374345898159761</v>
      </c>
      <c r="J97" s="140"/>
      <c r="K97" s="138"/>
      <c r="L97" s="140"/>
      <c r="M97" s="140"/>
    </row>
    <row r="98" spans="1:18" ht="16">
      <c r="A98" s="207">
        <v>2</v>
      </c>
      <c r="B98" s="208">
        <v>37.380600000000001</v>
      </c>
      <c r="C98" s="221">
        <v>25.24</v>
      </c>
      <c r="D98" s="222">
        <f t="shared" si="9"/>
        <v>12.140600000000003</v>
      </c>
      <c r="E98" s="80">
        <f t="shared" si="10"/>
        <v>0.32478344381845137</v>
      </c>
      <c r="J98" s="140"/>
      <c r="K98" s="138"/>
      <c r="L98" s="140"/>
      <c r="M98" s="140"/>
    </row>
    <row r="99" spans="1:18" ht="16">
      <c r="A99" s="207">
        <v>3</v>
      </c>
      <c r="B99" s="208">
        <v>46.210599999999999</v>
      </c>
      <c r="C99" s="221">
        <v>34.58</v>
      </c>
      <c r="D99" s="222">
        <f t="shared" si="9"/>
        <v>11.630600000000001</v>
      </c>
      <c r="E99" s="80">
        <f t="shared" si="10"/>
        <v>0.25168684241277978</v>
      </c>
      <c r="J99" s="140"/>
      <c r="K99" s="138"/>
      <c r="L99" s="140"/>
      <c r="M99" s="140"/>
    </row>
    <row r="100" spans="1:18" ht="16">
      <c r="A100" s="207">
        <v>4</v>
      </c>
      <c r="B100" s="208">
        <v>55.040599999999998</v>
      </c>
      <c r="C100" s="221">
        <v>44.2</v>
      </c>
      <c r="D100" s="222">
        <f t="shared" si="9"/>
        <v>10.840599999999995</v>
      </c>
      <c r="E100" s="80">
        <f t="shared" si="10"/>
        <v>0.19695642852730522</v>
      </c>
      <c r="J100" s="140"/>
      <c r="K100" s="138"/>
      <c r="L100" s="140"/>
      <c r="M100" s="140"/>
    </row>
    <row r="101" spans="1:18" ht="16">
      <c r="A101" s="207">
        <v>5</v>
      </c>
      <c r="B101" s="208">
        <v>63.870599999999996</v>
      </c>
      <c r="C101" s="221">
        <v>54.01</v>
      </c>
      <c r="D101" s="222">
        <f t="shared" si="9"/>
        <v>9.860599999999998</v>
      </c>
      <c r="E101" s="80">
        <f t="shared" si="10"/>
        <v>0.15438402019082331</v>
      </c>
      <c r="F101" s="102"/>
      <c r="G101" s="103"/>
      <c r="H101" s="102"/>
      <c r="I101" s="99"/>
      <c r="J101" s="99"/>
      <c r="K101" s="99"/>
      <c r="L101" s="99"/>
      <c r="M101" s="99"/>
    </row>
    <row r="102" spans="1:18" ht="16">
      <c r="A102" s="207">
        <v>6</v>
      </c>
      <c r="B102" s="208">
        <v>72.700599999999994</v>
      </c>
      <c r="C102" s="221">
        <v>62.71</v>
      </c>
      <c r="D102" s="222">
        <f t="shared" si="9"/>
        <v>9.9905999999999935</v>
      </c>
      <c r="E102" s="80">
        <f t="shared" si="10"/>
        <v>0.13742114920647139</v>
      </c>
      <c r="F102" s="118"/>
      <c r="G102" s="184"/>
      <c r="H102" s="81"/>
      <c r="I102" s="97"/>
      <c r="J102" s="97"/>
      <c r="K102" s="60"/>
    </row>
    <row r="103" spans="1:18">
      <c r="A103" s="203"/>
      <c r="B103" s="203"/>
      <c r="C103" s="203"/>
      <c r="D103" s="203"/>
      <c r="E103" s="102"/>
      <c r="F103" s="102"/>
      <c r="G103" s="185"/>
      <c r="H103" s="81"/>
      <c r="I103" s="60"/>
      <c r="J103" s="60"/>
      <c r="K103" s="60"/>
      <c r="P103" s="2"/>
      <c r="Q103" s="2"/>
      <c r="R103" s="2"/>
    </row>
    <row r="104" spans="1:18">
      <c r="A104" s="283"/>
      <c r="B104" s="203"/>
      <c r="C104" s="293"/>
      <c r="D104" s="293"/>
      <c r="E104" s="102"/>
      <c r="F104" s="102"/>
      <c r="G104" s="186"/>
      <c r="H104" s="81"/>
      <c r="Q104" s="13"/>
    </row>
    <row r="105" spans="1:18" ht="29">
      <c r="A105" s="361"/>
      <c r="B105" s="389" t="s">
        <v>448</v>
      </c>
      <c r="C105" s="390"/>
      <c r="D105" s="293"/>
      <c r="E105" s="102"/>
      <c r="F105" s="81"/>
      <c r="G105" s="81"/>
      <c r="H105" s="81"/>
      <c r="N105" s="13"/>
      <c r="Q105" s="18"/>
      <c r="R105" s="7"/>
    </row>
    <row r="106" spans="1:18" ht="16">
      <c r="A106" s="283"/>
      <c r="B106" s="203"/>
      <c r="C106" s="293"/>
      <c r="D106" s="293"/>
      <c r="E106" s="102"/>
      <c r="F106" s="81"/>
      <c r="G106" s="81"/>
      <c r="H106" s="81"/>
      <c r="O106" s="7"/>
      <c r="Q106" s="18"/>
      <c r="R106" s="7"/>
    </row>
    <row r="107" spans="1:18" ht="16">
      <c r="A107" s="74" t="s">
        <v>418</v>
      </c>
      <c r="B107" s="74">
        <v>361.73</v>
      </c>
      <c r="C107" s="81"/>
      <c r="D107" s="293"/>
      <c r="E107" s="102"/>
      <c r="F107" s="81"/>
      <c r="G107" s="81"/>
      <c r="H107" s="81"/>
      <c r="N107" s="7"/>
      <c r="O107" s="7"/>
      <c r="Q107" s="18"/>
      <c r="R107" s="7"/>
    </row>
    <row r="108" spans="1:18" ht="16">
      <c r="A108" s="387" t="s">
        <v>419</v>
      </c>
      <c r="B108" s="387">
        <v>10</v>
      </c>
      <c r="C108" s="81"/>
      <c r="D108" s="293"/>
      <c r="E108" s="102"/>
      <c r="F108" s="91"/>
      <c r="G108" s="81"/>
      <c r="H108" s="81"/>
      <c r="N108" s="7"/>
      <c r="O108" s="7"/>
      <c r="Q108" s="18"/>
      <c r="R108" s="7"/>
    </row>
    <row r="109" spans="1:18" ht="16">
      <c r="A109" s="75" t="s">
        <v>420</v>
      </c>
      <c r="B109" s="75" t="s">
        <v>421</v>
      </c>
      <c r="C109" s="75" t="s">
        <v>422</v>
      </c>
      <c r="D109" s="293"/>
      <c r="E109" s="102"/>
      <c r="F109" s="81"/>
      <c r="G109" s="81"/>
      <c r="H109" s="81"/>
      <c r="N109" s="7"/>
      <c r="O109" s="7"/>
      <c r="Q109" s="18"/>
      <c r="R109" s="7"/>
    </row>
    <row r="110" spans="1:18" ht="16">
      <c r="A110" s="306">
        <v>0.33</v>
      </c>
      <c r="B110" s="84">
        <f>A110*B107</f>
        <v>119.37090000000001</v>
      </c>
      <c r="C110" s="84">
        <f>B110*B108</f>
        <v>1193.7090000000001</v>
      </c>
      <c r="D110" s="293"/>
      <c r="E110" s="102"/>
      <c r="F110" s="81"/>
      <c r="G110" s="81"/>
      <c r="H110" s="81"/>
      <c r="I110" s="32"/>
      <c r="N110" s="7"/>
      <c r="O110" s="7"/>
      <c r="Q110" s="18"/>
      <c r="R110" s="7"/>
    </row>
    <row r="111" spans="1:18" ht="16">
      <c r="A111" s="306">
        <v>0.42</v>
      </c>
      <c r="B111" s="84">
        <f>A111*B107</f>
        <v>151.92660000000001</v>
      </c>
      <c r="C111" s="84">
        <f>B111*B108</f>
        <v>1519.2660000000001</v>
      </c>
      <c r="D111" s="293"/>
      <c r="E111" s="102"/>
      <c r="F111" s="81"/>
      <c r="G111" s="81"/>
      <c r="H111" s="81"/>
      <c r="N111" s="7"/>
      <c r="O111" s="7"/>
      <c r="Q111" s="18"/>
      <c r="R111" s="7"/>
    </row>
    <row r="112" spans="1:18" ht="16">
      <c r="A112" s="306">
        <v>0.5</v>
      </c>
      <c r="B112" s="84">
        <f>A112*B107</f>
        <v>180.86500000000001</v>
      </c>
      <c r="C112" s="84">
        <f>B112*B108</f>
        <v>1808.65</v>
      </c>
      <c r="D112" s="293"/>
      <c r="E112" s="102"/>
      <c r="F112" s="81"/>
      <c r="G112" s="81"/>
      <c r="H112" s="81"/>
      <c r="N112" s="7"/>
      <c r="O112" s="7"/>
      <c r="Q112" s="18"/>
      <c r="R112" s="7"/>
    </row>
    <row r="113" spans="1:18" ht="16">
      <c r="A113" s="283"/>
      <c r="B113" s="203"/>
      <c r="C113" s="293"/>
      <c r="D113" s="293"/>
      <c r="E113" s="102"/>
      <c r="F113" s="81"/>
      <c r="G113" s="81"/>
      <c r="H113" s="81"/>
      <c r="N113" s="7"/>
      <c r="O113" s="7"/>
      <c r="Q113" s="18"/>
      <c r="R113" s="7"/>
    </row>
    <row r="114" spans="1:18" ht="16">
      <c r="A114" s="283"/>
      <c r="B114" s="203"/>
      <c r="C114" s="293"/>
      <c r="D114" s="293"/>
      <c r="E114" s="102"/>
      <c r="F114" s="81"/>
      <c r="G114" s="81"/>
      <c r="H114" s="81"/>
      <c r="N114" s="7"/>
      <c r="O114" s="7"/>
      <c r="Q114" s="18"/>
      <c r="R114" s="7"/>
    </row>
    <row r="115" spans="1:18" ht="16">
      <c r="A115" s="294"/>
      <c r="B115" s="294"/>
      <c r="C115" s="294"/>
      <c r="D115" s="203"/>
      <c r="E115" s="102"/>
      <c r="F115" s="81"/>
      <c r="G115" s="81"/>
      <c r="H115" s="81"/>
      <c r="N115" s="7"/>
      <c r="O115" s="7"/>
      <c r="Q115" s="18"/>
      <c r="R115" s="7"/>
    </row>
    <row r="116" spans="1:18" ht="16">
      <c r="A116" s="294"/>
      <c r="B116" s="294"/>
      <c r="C116" s="294"/>
      <c r="D116" s="203"/>
      <c r="E116" s="102"/>
      <c r="F116" s="81"/>
      <c r="G116" s="81"/>
      <c r="H116" s="81"/>
      <c r="N116" s="7"/>
      <c r="O116" s="7"/>
      <c r="Q116" s="18"/>
      <c r="R116" s="7"/>
    </row>
    <row r="117" spans="1:18" ht="16">
      <c r="A117" s="294"/>
      <c r="B117" s="294"/>
      <c r="C117" s="294"/>
      <c r="D117" s="203"/>
      <c r="E117" s="102"/>
      <c r="F117" s="81"/>
      <c r="G117" s="81"/>
      <c r="H117" s="81"/>
      <c r="N117" s="7"/>
      <c r="O117" s="7"/>
      <c r="Q117" s="18"/>
      <c r="R117" s="7"/>
    </row>
    <row r="118" spans="1:18" ht="16">
      <c r="A118" s="294"/>
      <c r="B118" s="203"/>
      <c r="C118" s="203"/>
      <c r="D118" s="203"/>
      <c r="E118" s="99"/>
      <c r="N118" s="7"/>
      <c r="O118" s="7"/>
      <c r="Q118" s="18"/>
      <c r="R118" s="7"/>
    </row>
    <row r="119" spans="1:18" ht="16">
      <c r="A119" s="203"/>
      <c r="B119" s="294"/>
      <c r="C119" s="203"/>
      <c r="D119" s="203"/>
      <c r="E119" s="99"/>
      <c r="F119" s="61"/>
      <c r="G119" s="61"/>
      <c r="N119" s="7"/>
      <c r="O119" s="7"/>
      <c r="Q119" s="18"/>
      <c r="R119" s="7"/>
    </row>
    <row r="120" spans="1:18" ht="16">
      <c r="A120" s="203"/>
      <c r="B120" s="235"/>
      <c r="C120" s="203"/>
      <c r="D120" s="203"/>
      <c r="E120" s="99"/>
      <c r="F120" s="61"/>
      <c r="G120" s="61"/>
      <c r="N120" s="7"/>
      <c r="O120" s="7"/>
      <c r="Q120" s="18"/>
      <c r="R120" s="7"/>
    </row>
    <row r="121" spans="1:18" ht="16">
      <c r="A121" s="203"/>
      <c r="B121" s="203"/>
      <c r="C121" s="294"/>
      <c r="D121" s="203"/>
      <c r="E121" s="99"/>
      <c r="F121" s="61"/>
      <c r="G121" s="61"/>
      <c r="N121" s="7"/>
      <c r="O121" s="7"/>
      <c r="Q121" s="18"/>
      <c r="R121" s="7"/>
    </row>
    <row r="122" spans="1:18" ht="16">
      <c r="A122" s="203"/>
      <c r="B122" s="236"/>
      <c r="C122" s="294"/>
      <c r="D122" s="203"/>
      <c r="E122" s="99"/>
      <c r="F122" s="61"/>
      <c r="G122" s="61"/>
      <c r="N122" s="7"/>
      <c r="O122" s="7"/>
      <c r="Q122" s="18"/>
      <c r="R122" s="7"/>
    </row>
    <row r="123" spans="1:18" ht="16">
      <c r="A123" s="203"/>
      <c r="B123" s="203"/>
      <c r="C123" s="203"/>
      <c r="D123" s="203"/>
      <c r="E123" s="99"/>
      <c r="F123" s="61"/>
      <c r="G123" s="61"/>
      <c r="N123" s="7"/>
      <c r="O123" s="7"/>
    </row>
    <row r="124" spans="1:18">
      <c r="A124" s="283"/>
      <c r="B124" s="203"/>
      <c r="C124" s="293"/>
      <c r="D124" s="203"/>
      <c r="E124" s="99"/>
      <c r="F124" s="99"/>
      <c r="G124" s="99"/>
      <c r="H124" s="99"/>
      <c r="I124" s="99"/>
    </row>
    <row r="125" spans="1:18">
      <c r="A125" s="283"/>
      <c r="B125" s="203"/>
      <c r="C125" s="293"/>
      <c r="D125" s="203"/>
      <c r="E125" s="99"/>
      <c r="F125" s="99"/>
      <c r="G125" s="99"/>
      <c r="H125" s="99"/>
      <c r="I125" s="99"/>
    </row>
    <row r="126" spans="1:18">
      <c r="A126" s="283"/>
      <c r="B126" s="203"/>
      <c r="C126" s="293"/>
      <c r="D126" s="203"/>
      <c r="E126" s="99"/>
      <c r="F126" s="99"/>
      <c r="G126" s="99"/>
      <c r="H126" s="99"/>
      <c r="I126" s="99"/>
    </row>
    <row r="127" spans="1:18">
      <c r="A127" s="283"/>
      <c r="B127" s="203"/>
      <c r="C127" s="293"/>
      <c r="D127" s="203"/>
      <c r="E127" s="99"/>
      <c r="F127" s="99"/>
      <c r="G127" s="99"/>
      <c r="H127" s="99"/>
      <c r="I127" s="99"/>
    </row>
    <row r="128" spans="1:18">
      <c r="A128" s="283"/>
      <c r="B128" s="203"/>
      <c r="C128" s="293"/>
      <c r="D128" s="203"/>
      <c r="E128" s="99"/>
      <c r="F128" s="99"/>
      <c r="G128" s="99"/>
      <c r="H128" s="99"/>
      <c r="I128" s="99"/>
    </row>
    <row r="129" spans="1:9">
      <c r="A129" s="283"/>
      <c r="B129" s="203"/>
      <c r="C129" s="293"/>
      <c r="D129" s="203"/>
      <c r="E129" s="99"/>
      <c r="F129" s="138"/>
      <c r="G129" s="99"/>
      <c r="H129" s="99"/>
      <c r="I129" s="99"/>
    </row>
    <row r="130" spans="1:9">
      <c r="A130" s="283"/>
      <c r="B130" s="203"/>
      <c r="C130" s="293"/>
      <c r="D130" s="203"/>
      <c r="E130" s="99"/>
      <c r="F130" s="99"/>
      <c r="G130" s="99"/>
      <c r="H130" s="99"/>
      <c r="I130" s="99"/>
    </row>
    <row r="131" spans="1:9">
      <c r="A131" s="283"/>
      <c r="B131" s="203"/>
      <c r="C131" s="293"/>
      <c r="D131" s="203"/>
      <c r="E131" s="99"/>
      <c r="F131" s="99"/>
      <c r="G131" s="99"/>
      <c r="H131" s="99"/>
      <c r="I131" s="99"/>
    </row>
    <row r="132" spans="1:9">
      <c r="A132" s="283"/>
      <c r="B132" s="203"/>
      <c r="C132" s="293"/>
      <c r="D132" s="203"/>
      <c r="E132" s="99"/>
      <c r="F132" s="99"/>
      <c r="G132" s="99"/>
      <c r="H132" s="99"/>
      <c r="I132" s="99"/>
    </row>
    <row r="133" spans="1:9">
      <c r="A133" s="283"/>
      <c r="B133" s="203"/>
      <c r="C133" s="293"/>
      <c r="D133" s="294"/>
      <c r="E133" s="99"/>
      <c r="F133" s="99"/>
      <c r="G133" s="99"/>
      <c r="H133" s="99"/>
      <c r="I133" s="99"/>
    </row>
    <row r="134" spans="1:9">
      <c r="A134" s="283"/>
      <c r="B134" s="203"/>
      <c r="C134" s="293"/>
      <c r="D134" s="294"/>
      <c r="E134" s="99"/>
      <c r="F134" s="99"/>
      <c r="G134" s="99"/>
      <c r="H134" s="99"/>
      <c r="I134" s="99"/>
    </row>
    <row r="135" spans="1:9">
      <c r="A135" s="283"/>
      <c r="B135" s="203"/>
      <c r="C135" s="293"/>
      <c r="D135" s="294"/>
      <c r="E135" s="99"/>
      <c r="F135" s="99"/>
      <c r="G135" s="99"/>
      <c r="H135" s="99"/>
      <c r="I135" s="99"/>
    </row>
    <row r="136" spans="1:9">
      <c r="A136" s="283"/>
      <c r="B136" s="203"/>
      <c r="C136" s="293"/>
      <c r="D136" s="294"/>
      <c r="E136" s="99"/>
      <c r="F136" s="99"/>
      <c r="G136" s="99"/>
      <c r="H136" s="99"/>
      <c r="I136" s="99"/>
    </row>
    <row r="137" spans="1:9">
      <c r="A137" s="99"/>
      <c r="B137" s="99"/>
      <c r="C137" s="99"/>
      <c r="D137" s="99"/>
      <c r="E137" s="99"/>
      <c r="F137" s="99"/>
      <c r="G137" s="99"/>
      <c r="H137" s="99"/>
      <c r="I137" s="99"/>
    </row>
    <row r="138" spans="1:9">
      <c r="A138" s="295"/>
      <c r="B138" s="99"/>
      <c r="C138" s="99"/>
      <c r="D138" s="99"/>
      <c r="E138" s="99"/>
      <c r="F138" s="99"/>
      <c r="G138" s="99"/>
      <c r="H138" s="102"/>
      <c r="I138" s="102"/>
    </row>
    <row r="139" spans="1:9">
      <c r="A139" s="99"/>
      <c r="B139" s="99"/>
      <c r="C139" s="99"/>
      <c r="D139" s="99"/>
      <c r="E139" s="99"/>
      <c r="F139" s="99"/>
      <c r="G139" s="99"/>
      <c r="H139" s="102"/>
      <c r="I139" s="102"/>
    </row>
    <row r="140" spans="1:9">
      <c r="A140" s="204"/>
      <c r="B140" s="61"/>
      <c r="C140" s="237"/>
      <c r="D140" s="61"/>
      <c r="E140" s="61"/>
      <c r="F140" s="99"/>
      <c r="G140" s="99"/>
      <c r="H140" s="102"/>
      <c r="I140" s="102"/>
    </row>
    <row r="141" spans="1:9">
      <c r="A141" s="61"/>
      <c r="B141" s="61"/>
      <c r="C141" s="61"/>
      <c r="D141" s="61"/>
      <c r="E141" s="61"/>
      <c r="F141" s="99"/>
      <c r="G141" s="99"/>
      <c r="H141" s="99"/>
      <c r="I141" s="99"/>
    </row>
    <row r="142" spans="1:9" ht="16">
      <c r="A142" s="61"/>
      <c r="B142" s="61"/>
      <c r="C142" s="61"/>
      <c r="D142" s="61"/>
      <c r="E142" s="61"/>
      <c r="F142" s="99"/>
      <c r="G142" s="99"/>
      <c r="H142" s="146"/>
      <c r="I142" s="99"/>
    </row>
    <row r="143" spans="1:9" ht="16">
      <c r="A143" s="61"/>
      <c r="B143" s="61"/>
      <c r="C143" s="61"/>
      <c r="D143" s="61"/>
      <c r="E143" s="61"/>
      <c r="F143" s="99"/>
      <c r="G143" s="99"/>
      <c r="H143" s="146"/>
      <c r="I143" s="99"/>
    </row>
    <row r="144" spans="1:9">
      <c r="A144" s="61"/>
      <c r="B144" s="61"/>
      <c r="C144" s="61"/>
      <c r="D144" s="61"/>
      <c r="E144" s="61"/>
      <c r="F144" s="99"/>
      <c r="G144" s="99"/>
      <c r="H144" s="99"/>
      <c r="I144" s="99"/>
    </row>
    <row r="145" spans="1:13">
      <c r="A145" s="61"/>
      <c r="B145" s="61"/>
      <c r="C145" s="61"/>
      <c r="D145" s="61"/>
      <c r="E145" s="61"/>
      <c r="F145" s="61"/>
      <c r="G145" s="61"/>
      <c r="J145" s="2"/>
      <c r="K145" s="2"/>
    </row>
    <row r="146" spans="1:13">
      <c r="A146" s="61"/>
      <c r="B146" s="61"/>
      <c r="C146" s="61"/>
      <c r="D146" s="61"/>
      <c r="E146" s="61"/>
      <c r="F146" s="61"/>
      <c r="G146" s="61"/>
      <c r="J146" s="2"/>
      <c r="K146" s="2"/>
    </row>
    <row r="147" spans="1:13">
      <c r="A147" s="61"/>
      <c r="B147" s="61"/>
      <c r="C147" s="61"/>
      <c r="D147" s="61"/>
      <c r="E147" s="61"/>
      <c r="F147" s="61"/>
      <c r="G147" s="61"/>
    </row>
    <row r="148" spans="1:13">
      <c r="A148" s="61"/>
      <c r="B148" s="61"/>
      <c r="C148" s="61"/>
      <c r="D148" s="61"/>
      <c r="E148" s="61"/>
      <c r="F148" s="61"/>
      <c r="G148" s="61"/>
    </row>
    <row r="159" spans="1:13">
      <c r="A159" s="2"/>
      <c r="B159" s="2"/>
      <c r="C159" s="2"/>
      <c r="D159" s="2"/>
      <c r="E159" s="2"/>
      <c r="G159" s="2"/>
      <c r="H159" s="2"/>
      <c r="I159" s="2"/>
      <c r="J159" s="2"/>
      <c r="K159" s="2"/>
      <c r="L159" s="2"/>
      <c r="M159" s="2"/>
    </row>
    <row r="160" spans="1:13">
      <c r="A160" s="13"/>
    </row>
    <row r="161" spans="1:16">
      <c r="A161" s="13"/>
      <c r="N161" s="13"/>
      <c r="O161" s="13"/>
      <c r="P161" s="13"/>
    </row>
    <row r="162" spans="1:16">
      <c r="A162" s="13"/>
    </row>
    <row r="163" spans="1:16">
      <c r="A163" s="13"/>
    </row>
    <row r="164" spans="1:16">
      <c r="A164" s="13"/>
    </row>
    <row r="165" spans="1:16">
      <c r="A165" s="13"/>
    </row>
    <row r="166" spans="1:16">
      <c r="A166" s="13"/>
    </row>
    <row r="167" spans="1:16">
      <c r="A167" s="13"/>
    </row>
    <row r="168" spans="1:16">
      <c r="A168" s="13"/>
    </row>
    <row r="169" spans="1:16">
      <c r="A169" s="13"/>
    </row>
    <row r="170" spans="1:16">
      <c r="A170" s="13"/>
    </row>
    <row r="171" spans="1:16">
      <c r="A171" s="13"/>
    </row>
    <row r="172" spans="1:16">
      <c r="A172" s="13"/>
    </row>
    <row r="173" spans="1:16">
      <c r="A173" s="13"/>
    </row>
    <row r="174" spans="1:16">
      <c r="A174" s="13"/>
    </row>
    <row r="175" spans="1:16">
      <c r="A175" s="13"/>
    </row>
    <row r="176" spans="1:16">
      <c r="A176" s="13"/>
    </row>
    <row r="177" spans="1:1">
      <c r="A177" s="13"/>
    </row>
    <row r="194" spans="1:6">
      <c r="A194" s="60"/>
      <c r="B194" s="60"/>
      <c r="C194" s="60"/>
      <c r="D194" s="60"/>
      <c r="E194" s="60"/>
      <c r="F194" s="60"/>
    </row>
    <row r="195" spans="1:6">
      <c r="A195" s="60"/>
      <c r="B195" s="60"/>
      <c r="C195" s="60"/>
      <c r="D195" s="60"/>
      <c r="E195" s="60"/>
      <c r="F195" s="60"/>
    </row>
    <row r="196" spans="1:6">
      <c r="A196" s="60"/>
      <c r="B196" s="60"/>
      <c r="C196" s="60"/>
      <c r="D196" s="60"/>
      <c r="E196" s="60"/>
      <c r="F196" s="60"/>
    </row>
    <row r="197" spans="1:6">
      <c r="A197" s="60"/>
      <c r="B197" s="79"/>
      <c r="C197" s="79"/>
      <c r="D197" s="60"/>
      <c r="E197" s="60"/>
      <c r="F197" s="60"/>
    </row>
    <row r="198" spans="1:6">
      <c r="A198" s="60"/>
      <c r="B198" s="79"/>
      <c r="C198" s="79"/>
      <c r="D198" s="60"/>
      <c r="E198" s="60"/>
      <c r="F198" s="60"/>
    </row>
    <row r="199" spans="1:6">
      <c r="A199" s="60"/>
      <c r="B199" s="79"/>
      <c r="C199" s="79"/>
      <c r="D199" s="60"/>
      <c r="E199" s="60"/>
      <c r="F199" s="60"/>
    </row>
    <row r="200" spans="1:6">
      <c r="A200" s="60"/>
      <c r="B200" s="79"/>
      <c r="C200" s="79"/>
      <c r="D200" s="60"/>
      <c r="E200" s="60"/>
      <c r="F200" s="60"/>
    </row>
    <row r="201" spans="1:6">
      <c r="A201" s="60"/>
      <c r="B201" s="79"/>
      <c r="C201" s="79"/>
      <c r="D201" s="60"/>
      <c r="E201" s="60"/>
      <c r="F201" s="60"/>
    </row>
    <row r="202" spans="1:6">
      <c r="A202" s="60"/>
      <c r="B202" s="79"/>
      <c r="C202" s="79"/>
      <c r="D202" s="60"/>
      <c r="E202" s="60"/>
      <c r="F202" s="60"/>
    </row>
    <row r="203" spans="1:6">
      <c r="A203" s="60"/>
      <c r="B203" s="79"/>
      <c r="C203" s="79"/>
      <c r="D203" s="60"/>
      <c r="E203" s="60"/>
      <c r="F203" s="60"/>
    </row>
    <row r="204" spans="1:6">
      <c r="A204" s="60"/>
      <c r="B204" s="79"/>
      <c r="C204" s="79"/>
      <c r="D204" s="60"/>
      <c r="E204" s="60"/>
      <c r="F204" s="60"/>
    </row>
    <row r="205" spans="1:6">
      <c r="A205" s="60"/>
      <c r="B205" s="79"/>
      <c r="C205" s="79"/>
      <c r="D205" s="60"/>
      <c r="E205" s="60"/>
      <c r="F205" s="60"/>
    </row>
    <row r="206" spans="1:6">
      <c r="A206" s="60"/>
      <c r="B206" s="79"/>
      <c r="C206" s="79"/>
      <c r="D206" s="60"/>
      <c r="E206" s="60"/>
      <c r="F206" s="60"/>
    </row>
    <row r="207" spans="1:6">
      <c r="A207" s="60"/>
      <c r="B207" s="79"/>
      <c r="C207" s="79"/>
      <c r="D207" s="60"/>
      <c r="E207" s="60"/>
      <c r="F207" s="60"/>
    </row>
    <row r="208" spans="1:6">
      <c r="A208" s="60"/>
      <c r="B208" s="79"/>
      <c r="C208" s="79"/>
      <c r="D208" s="60"/>
      <c r="E208" s="60"/>
      <c r="F208" s="60"/>
    </row>
    <row r="209" spans="1:6">
      <c r="A209" s="60"/>
      <c r="B209" s="79"/>
      <c r="C209" s="79"/>
      <c r="D209" s="60"/>
      <c r="E209" s="60"/>
      <c r="F209" s="60"/>
    </row>
    <row r="210" spans="1:6">
      <c r="A210" s="60"/>
      <c r="B210" s="79"/>
      <c r="C210" s="79"/>
      <c r="D210" s="60"/>
      <c r="E210" s="60"/>
      <c r="F210" s="60"/>
    </row>
    <row r="211" spans="1:6">
      <c r="A211" s="60"/>
      <c r="B211" s="79"/>
      <c r="C211" s="79"/>
      <c r="D211" s="60"/>
      <c r="E211" s="60"/>
      <c r="F211" s="60"/>
    </row>
    <row r="212" spans="1:6">
      <c r="A212" s="60"/>
      <c r="B212" s="79"/>
      <c r="C212" s="79"/>
      <c r="D212" s="60"/>
      <c r="E212" s="60"/>
      <c r="F212" s="60"/>
    </row>
    <row r="213" spans="1:6">
      <c r="A213" s="60"/>
      <c r="B213" s="79"/>
      <c r="C213" s="79"/>
      <c r="D213" s="60"/>
      <c r="E213" s="60"/>
      <c r="F213" s="60"/>
    </row>
    <row r="214" spans="1:6">
      <c r="A214" s="60"/>
      <c r="B214" s="79"/>
      <c r="C214" s="79"/>
      <c r="D214" s="60"/>
      <c r="E214" s="60"/>
      <c r="F214" s="60"/>
    </row>
    <row r="215" spans="1:6">
      <c r="A215" s="60"/>
      <c r="B215" s="60"/>
      <c r="C215" s="60"/>
      <c r="D215" s="60"/>
      <c r="E215" s="60"/>
      <c r="F215" s="60"/>
    </row>
    <row r="216" spans="1:6">
      <c r="A216" s="60"/>
      <c r="B216" s="60"/>
      <c r="C216" s="60"/>
      <c r="D216" s="60"/>
      <c r="E216" s="60"/>
      <c r="F216" s="60"/>
    </row>
    <row r="226" spans="2:6">
      <c r="D226" s="24"/>
      <c r="E226" s="24"/>
    </row>
    <row r="227" spans="2:6">
      <c r="D227" s="25"/>
      <c r="E227" s="25"/>
    </row>
    <row r="228" spans="2:6">
      <c r="D228" s="26"/>
      <c r="E228" s="26"/>
    </row>
    <row r="229" spans="2:6">
      <c r="D229" s="15"/>
      <c r="E229" s="15"/>
    </row>
    <row r="230" spans="2:6">
      <c r="C230" s="27"/>
      <c r="D230" s="16"/>
      <c r="E230" s="16"/>
      <c r="F230" s="28"/>
    </row>
    <row r="231" spans="2:6">
      <c r="B231" s="27"/>
      <c r="C231" s="27"/>
      <c r="D231" s="17"/>
      <c r="E231" s="16"/>
      <c r="F231" s="28"/>
    </row>
    <row r="232" spans="2:6">
      <c r="B232" s="27"/>
      <c r="C232" s="27"/>
      <c r="D232" s="17"/>
      <c r="E232" s="16"/>
      <c r="F232" s="28"/>
    </row>
    <row r="233" spans="2:6">
      <c r="B233" s="27"/>
      <c r="C233" s="27"/>
      <c r="D233" s="17"/>
      <c r="E233" s="16"/>
      <c r="F233" s="28"/>
    </row>
    <row r="234" spans="2:6">
      <c r="B234" s="27"/>
      <c r="C234" s="27"/>
      <c r="D234" s="17"/>
      <c r="E234" s="16"/>
    </row>
    <row r="235" spans="2:6">
      <c r="B235" s="27"/>
      <c r="C235" s="27"/>
      <c r="D235" s="17"/>
      <c r="E235" s="16"/>
    </row>
    <row r="236" spans="2:6">
      <c r="B236" s="27"/>
      <c r="C236" s="27"/>
      <c r="D236" s="17"/>
      <c r="E236" s="16"/>
    </row>
    <row r="237" spans="2:6">
      <c r="B237" s="27"/>
      <c r="C237" s="27"/>
      <c r="D237" s="17"/>
      <c r="E237" s="16"/>
    </row>
    <row r="238" spans="2:6">
      <c r="B238" s="27"/>
      <c r="C238" s="27"/>
      <c r="D238" s="17"/>
      <c r="E238" s="16"/>
    </row>
    <row r="239" spans="2:6">
      <c r="B239" s="27"/>
      <c r="C239" s="27"/>
      <c r="D239" s="17"/>
      <c r="E239" s="16"/>
    </row>
    <row r="240" spans="2:6">
      <c r="B240" s="27"/>
      <c r="C240" s="27"/>
      <c r="D240" s="17"/>
      <c r="E240" s="16"/>
    </row>
    <row r="241" spans="2:5">
      <c r="B241" s="27"/>
      <c r="C241" s="27"/>
      <c r="D241" s="17"/>
      <c r="E241" s="16"/>
    </row>
    <row r="242" spans="2:5">
      <c r="B242" s="27"/>
      <c r="C242" s="27"/>
      <c r="D242" s="17"/>
      <c r="E242" s="16"/>
    </row>
    <row r="243" spans="2:5">
      <c r="B243" s="27"/>
      <c r="C243" s="27"/>
      <c r="D243" s="17"/>
      <c r="E243" s="16"/>
    </row>
    <row r="244" spans="2:5">
      <c r="B244" s="27"/>
      <c r="C244" s="27"/>
      <c r="D244" s="17"/>
      <c r="E244" s="16"/>
    </row>
    <row r="245" spans="2:5">
      <c r="B245" s="27"/>
      <c r="C245" s="27"/>
      <c r="D245" s="17"/>
      <c r="E245" s="16"/>
    </row>
    <row r="246" spans="2:5">
      <c r="B246" s="27"/>
      <c r="C246" s="27"/>
      <c r="D246" s="17"/>
      <c r="E246" s="16"/>
    </row>
    <row r="247" spans="2:5">
      <c r="B247" s="27"/>
      <c r="C247" s="27"/>
      <c r="D247" s="17"/>
      <c r="E247" s="16"/>
    </row>
    <row r="248" spans="2:5">
      <c r="B248"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C01D-0B67-9B40-A98F-50AB018C5E9F}">
  <dimension ref="A1:R209"/>
  <sheetViews>
    <sheetView zoomScaleNormal="144" workbookViewId="0">
      <selection activeCell="F27" sqref="F27"/>
    </sheetView>
  </sheetViews>
  <sheetFormatPr baseColWidth="10" defaultRowHeight="15"/>
  <cols>
    <col min="1" max="1" width="18.1640625" customWidth="1"/>
    <col min="2" max="2" width="13.5" customWidth="1"/>
    <col min="3" max="3" width="14.6640625" customWidth="1"/>
    <col min="4" max="4" width="18.83203125" customWidth="1"/>
    <col min="5" max="5" width="16.33203125" customWidth="1"/>
    <col min="6" max="6" width="18" customWidth="1"/>
    <col min="7" max="7" width="20.33203125" customWidth="1"/>
    <col min="8" max="8" width="17.1640625" customWidth="1"/>
    <col min="9" max="9" width="25" customWidth="1"/>
    <col min="10" max="10" width="22.6640625" customWidth="1"/>
    <col min="11" max="11" width="18.33203125" customWidth="1"/>
    <col min="12" max="12" width="13.33203125" customWidth="1"/>
    <col min="13" max="13" width="15.33203125" customWidth="1"/>
    <col min="14" max="14" width="16.83203125" customWidth="1"/>
    <col min="15" max="15" width="20.6640625" customWidth="1"/>
    <col min="16" max="16" width="17.83203125" customWidth="1"/>
    <col min="17" max="17" width="19.1640625" customWidth="1"/>
    <col min="18" max="18" width="19" customWidth="1"/>
  </cols>
  <sheetData>
    <row r="1" spans="1:8">
      <c r="B1" s="60"/>
      <c r="C1" s="60"/>
      <c r="D1" s="60"/>
      <c r="E1" s="60"/>
      <c r="F1" s="60"/>
    </row>
    <row r="2" spans="1:8">
      <c r="B2" s="60"/>
      <c r="C2" s="60"/>
      <c r="D2" s="60"/>
      <c r="E2" s="60"/>
      <c r="F2" s="60"/>
    </row>
    <row r="3" spans="1:8" ht="28">
      <c r="A3" s="347" t="s">
        <v>433</v>
      </c>
      <c r="B3" s="347"/>
      <c r="C3" s="347"/>
    </row>
    <row r="4" spans="1:8" ht="16" thickBot="1"/>
    <row r="5" spans="1:8">
      <c r="B5" s="60"/>
      <c r="C5" s="3" t="s">
        <v>162</v>
      </c>
      <c r="D5" s="4">
        <f>'V5 Ark 4,Sonepriser'!D59</f>
        <v>120</v>
      </c>
      <c r="E5" s="20" t="s">
        <v>146</v>
      </c>
      <c r="F5" s="60"/>
    </row>
    <row r="6" spans="1:8">
      <c r="B6" s="60"/>
      <c r="C6" s="21" t="s">
        <v>161</v>
      </c>
      <c r="D6" s="32">
        <f>'V5 Ark 4,Sonepriser'!D61</f>
        <v>0.87</v>
      </c>
      <c r="E6" s="5"/>
      <c r="F6" s="60"/>
    </row>
    <row r="7" spans="1:8" ht="16" thickBot="1">
      <c r="B7" s="60"/>
      <c r="C7" s="22" t="s">
        <v>164</v>
      </c>
      <c r="D7" s="6">
        <f>D5*D6</f>
        <v>104.4</v>
      </c>
      <c r="E7" s="14" t="s">
        <v>146</v>
      </c>
      <c r="F7" s="60"/>
    </row>
    <row r="8" spans="1:8">
      <c r="B8" s="60"/>
      <c r="C8" s="79"/>
      <c r="D8" s="60"/>
      <c r="E8" s="60"/>
      <c r="F8" s="60"/>
    </row>
    <row r="9" spans="1:8">
      <c r="A9" s="85" t="s">
        <v>330</v>
      </c>
      <c r="B9" s="85" t="s">
        <v>120</v>
      </c>
      <c r="C9" s="75" t="s">
        <v>357</v>
      </c>
      <c r="D9" s="75" t="s">
        <v>329</v>
      </c>
      <c r="E9" s="76" t="s">
        <v>365</v>
      </c>
      <c r="F9" s="76" t="s">
        <v>160</v>
      </c>
      <c r="G9" s="76" t="s">
        <v>163</v>
      </c>
      <c r="H9" s="76" t="s">
        <v>165</v>
      </c>
    </row>
    <row r="10" spans="1:8">
      <c r="A10" s="86">
        <v>6</v>
      </c>
      <c r="B10" s="86" t="s">
        <v>246</v>
      </c>
      <c r="C10" s="74">
        <f>'V5 Ark 3, Input sonepriser'!D89</f>
        <v>136</v>
      </c>
      <c r="D10" s="166">
        <f>'V5 Ark 3, Input sonepriser'!F89</f>
        <v>0.4</v>
      </c>
      <c r="E10" s="82">
        <v>1947</v>
      </c>
      <c r="F10" s="83">
        <v>26</v>
      </c>
      <c r="G10" s="84">
        <f t="shared" ref="G10:G16" si="0">E10/F10</f>
        <v>74.884615384615387</v>
      </c>
      <c r="H10" s="80">
        <f>G10/D5</f>
        <v>0.62403846153846154</v>
      </c>
    </row>
    <row r="11" spans="1:8">
      <c r="A11" s="86">
        <v>6</v>
      </c>
      <c r="B11" s="86" t="s">
        <v>247</v>
      </c>
      <c r="C11" s="74">
        <f>'V5 Ark 3, Input sonepriser'!D90</f>
        <v>145</v>
      </c>
      <c r="D11" s="166">
        <f>'V5 Ark 3, Input sonepriser'!F90</f>
        <v>0.76</v>
      </c>
      <c r="E11" s="82">
        <v>3694</v>
      </c>
      <c r="F11" s="83">
        <v>102</v>
      </c>
      <c r="G11" s="84">
        <f t="shared" si="0"/>
        <v>36.215686274509807</v>
      </c>
      <c r="H11" s="80">
        <f>G11/D5</f>
        <v>0.30179738562091507</v>
      </c>
    </row>
    <row r="12" spans="1:8">
      <c r="A12" s="86">
        <v>7</v>
      </c>
      <c r="B12" s="86" t="s">
        <v>248</v>
      </c>
      <c r="C12" s="133">
        <f>'V5 Ark 3, Input sonepriser'!D98</f>
        <v>175</v>
      </c>
      <c r="D12" s="199">
        <f>'V5 Ark 3, Input sonepriser'!F98</f>
        <v>0.96</v>
      </c>
      <c r="E12" s="82">
        <v>6</v>
      </c>
      <c r="F12" s="83">
        <v>1</v>
      </c>
      <c r="G12" s="84">
        <f t="shared" si="0"/>
        <v>6</v>
      </c>
      <c r="H12" s="80">
        <f>G12/D5</f>
        <v>0.05</v>
      </c>
    </row>
    <row r="13" spans="1:8">
      <c r="A13" s="86">
        <v>8</v>
      </c>
      <c r="B13" s="86" t="s">
        <v>245</v>
      </c>
      <c r="C13" s="133">
        <f>'V5 Ark 3, Input sonepriser'!D100</f>
        <v>183</v>
      </c>
      <c r="D13" s="200">
        <f>'V5 Ark 3, Input sonepriser'!F100</f>
        <v>0.28000000000000003</v>
      </c>
      <c r="E13" s="82">
        <v>6287</v>
      </c>
      <c r="F13" s="83">
        <v>68</v>
      </c>
      <c r="G13" s="84">
        <f t="shared" si="0"/>
        <v>92.455882352941174</v>
      </c>
      <c r="H13" s="80">
        <f>G13/D5</f>
        <v>0.77046568627450973</v>
      </c>
    </row>
    <row r="14" spans="1:8">
      <c r="A14" s="86">
        <v>9</v>
      </c>
      <c r="B14" s="86" t="s">
        <v>249</v>
      </c>
      <c r="C14" s="133">
        <f>'V5 Ark 3, Input sonepriser'!D106</f>
        <v>213</v>
      </c>
      <c r="D14" s="200">
        <f>'V5 Ark 3, Input sonepriser'!F106</f>
        <v>0.48</v>
      </c>
      <c r="E14" s="82">
        <v>5</v>
      </c>
      <c r="F14" s="83">
        <v>2</v>
      </c>
      <c r="G14" s="84">
        <f t="shared" si="0"/>
        <v>2.5</v>
      </c>
      <c r="H14" s="80">
        <f>G14/D5</f>
        <v>2.0833333333333332E-2</v>
      </c>
    </row>
    <row r="15" spans="1:8">
      <c r="A15" s="86">
        <v>10</v>
      </c>
      <c r="B15" s="86" t="s">
        <v>250</v>
      </c>
      <c r="C15" s="133">
        <f>'V5 Ark 3, Input sonepriser'!D114</f>
        <v>249</v>
      </c>
      <c r="D15" s="200">
        <f>'V5 Ark 3, Input sonepriser'!F114</f>
        <v>0.92</v>
      </c>
      <c r="E15" s="82">
        <v>9</v>
      </c>
      <c r="F15" s="83">
        <v>1</v>
      </c>
      <c r="G15" s="84">
        <f t="shared" si="0"/>
        <v>9</v>
      </c>
      <c r="H15" s="80">
        <f>G15/D5</f>
        <v>7.4999999999999997E-2</v>
      </c>
    </row>
    <row r="16" spans="1:8">
      <c r="A16" s="86">
        <v>12</v>
      </c>
      <c r="B16" s="86" t="s">
        <v>251</v>
      </c>
      <c r="C16" s="133">
        <f>'V5 Ark 3, Input sonepriser'!D121</f>
        <v>279</v>
      </c>
      <c r="D16" s="200">
        <f>'V5 Ark 3, Input sonepriser'!F121</f>
        <v>0.12</v>
      </c>
      <c r="E16" s="82">
        <v>445</v>
      </c>
      <c r="F16" s="83">
        <v>5</v>
      </c>
      <c r="G16" s="84">
        <f t="shared" si="0"/>
        <v>89</v>
      </c>
      <c r="H16" s="80">
        <f>G16/D5</f>
        <v>0.7416666666666667</v>
      </c>
    </row>
    <row r="17" spans="1:18">
      <c r="A17" s="85" t="s">
        <v>331</v>
      </c>
      <c r="B17" s="75"/>
      <c r="C17" s="73"/>
      <c r="D17" s="201"/>
      <c r="E17" s="87">
        <f>SUM(E10:E16)</f>
        <v>12393</v>
      </c>
      <c r="F17" s="87">
        <f>SUM(F10:F16)</f>
        <v>205</v>
      </c>
      <c r="G17" s="88">
        <f>AVERAGE(G10:G16)</f>
        <v>44.293740573152334</v>
      </c>
      <c r="H17" s="89">
        <f>AVERAGE(H10:H16)</f>
        <v>0.36911450477626945</v>
      </c>
    </row>
    <row r="18" spans="1:18">
      <c r="B18" s="60"/>
      <c r="C18" s="79"/>
      <c r="D18" s="60"/>
      <c r="E18" s="60"/>
      <c r="F18" s="60"/>
    </row>
    <row r="19" spans="1:18">
      <c r="B19" s="60"/>
      <c r="C19" s="79"/>
      <c r="D19" s="60"/>
      <c r="E19" s="60"/>
      <c r="F19" s="60"/>
    </row>
    <row r="20" spans="1:18">
      <c r="B20" s="60"/>
      <c r="C20" s="79"/>
      <c r="D20" s="60"/>
      <c r="E20" s="60"/>
      <c r="F20" s="60"/>
    </row>
    <row r="21" spans="1:18">
      <c r="A21" s="202"/>
      <c r="B21" s="202"/>
      <c r="E21" s="60"/>
      <c r="F21" s="60"/>
    </row>
    <row r="22" spans="1:18">
      <c r="A22" s="203"/>
      <c r="B22" s="203"/>
      <c r="E22" s="60"/>
      <c r="F22" s="60"/>
    </row>
    <row r="23" spans="1:18">
      <c r="A23" s="203"/>
      <c r="B23" s="203"/>
      <c r="E23" s="60"/>
      <c r="F23" s="60"/>
    </row>
    <row r="24" spans="1:18">
      <c r="A24" s="203"/>
      <c r="B24" s="203"/>
      <c r="E24" s="99"/>
      <c r="F24" s="99"/>
      <c r="G24" s="99"/>
      <c r="H24" s="99"/>
      <c r="I24" s="99"/>
      <c r="J24" s="99"/>
    </row>
    <row r="25" spans="1:18">
      <c r="A25" s="203"/>
      <c r="B25" s="203"/>
      <c r="E25" s="138"/>
      <c r="F25" s="99"/>
      <c r="G25" s="99"/>
      <c r="H25" s="139"/>
      <c r="I25" s="99"/>
      <c r="J25" s="99"/>
    </row>
    <row r="26" spans="1:18">
      <c r="A26" s="203"/>
      <c r="B26" s="203"/>
      <c r="E26" s="138"/>
      <c r="F26" s="99"/>
      <c r="H26" s="139"/>
      <c r="I26" s="140"/>
      <c r="J26" s="99"/>
    </row>
    <row r="27" spans="1:18">
      <c r="A27" s="203"/>
      <c r="B27" s="203"/>
      <c r="E27" s="138"/>
      <c r="F27" s="99"/>
      <c r="G27" s="99"/>
      <c r="H27" s="139"/>
      <c r="I27" s="140"/>
      <c r="J27" s="99"/>
      <c r="Q27" s="19"/>
    </row>
    <row r="28" spans="1:18">
      <c r="A28" s="203"/>
      <c r="B28" s="203"/>
      <c r="E28" s="138"/>
      <c r="F28" s="99"/>
      <c r="G28" s="99"/>
      <c r="H28" s="139"/>
      <c r="I28" s="140"/>
      <c r="J28" s="99"/>
    </row>
    <row r="29" spans="1:18">
      <c r="A29" s="202"/>
      <c r="B29" s="100"/>
      <c r="E29" s="138"/>
      <c r="F29" s="99"/>
      <c r="G29" s="99"/>
      <c r="H29" s="139"/>
      <c r="I29" s="140"/>
      <c r="J29" s="99"/>
      <c r="Q29" s="19"/>
    </row>
    <row r="30" spans="1:18">
      <c r="C30" s="99"/>
      <c r="D30" s="137"/>
      <c r="E30" s="138"/>
      <c r="F30" s="99"/>
      <c r="G30" s="99"/>
      <c r="H30" s="139"/>
      <c r="I30" s="99"/>
      <c r="J30" s="140"/>
    </row>
    <row r="31" spans="1:18">
      <c r="A31" t="s">
        <v>368</v>
      </c>
      <c r="C31" s="99"/>
      <c r="D31" s="137"/>
      <c r="E31" s="138"/>
      <c r="F31" s="99"/>
      <c r="G31" s="99"/>
      <c r="H31" s="139"/>
      <c r="I31" s="99"/>
      <c r="J31" s="99"/>
      <c r="Q31" s="19"/>
    </row>
    <row r="32" spans="1:18">
      <c r="C32" s="99"/>
      <c r="D32" s="99"/>
      <c r="E32" s="99"/>
      <c r="F32" s="99"/>
      <c r="G32" s="99"/>
      <c r="H32" s="139"/>
      <c r="I32" s="99"/>
      <c r="J32" s="99"/>
      <c r="R32" s="2"/>
    </row>
    <row r="33" spans="2:16">
      <c r="C33" s="99"/>
      <c r="D33" s="99"/>
      <c r="E33" s="99"/>
      <c r="F33" s="99"/>
      <c r="G33" s="99"/>
      <c r="H33" s="99"/>
      <c r="I33" s="99"/>
      <c r="J33" s="99"/>
    </row>
    <row r="34" spans="2:16">
      <c r="N34" s="61"/>
      <c r="O34" s="61"/>
      <c r="P34" s="61"/>
    </row>
    <row r="35" spans="2:16">
      <c r="B35" s="29"/>
      <c r="C35" s="2"/>
      <c r="D35" s="2"/>
      <c r="E35" s="29"/>
      <c r="F35" s="99"/>
      <c r="N35" s="61"/>
      <c r="O35" s="61"/>
      <c r="P35" s="61"/>
    </row>
    <row r="36" spans="2:16">
      <c r="N36" s="61"/>
      <c r="O36" s="61"/>
      <c r="P36" s="61"/>
    </row>
    <row r="37" spans="2:16">
      <c r="N37" s="61"/>
      <c r="O37" s="61"/>
      <c r="P37" s="61"/>
    </row>
    <row r="38" spans="2:16">
      <c r="N38" s="61"/>
      <c r="O38" s="61"/>
      <c r="P38" s="61"/>
    </row>
    <row r="39" spans="2:16">
      <c r="N39" s="61"/>
      <c r="O39" s="61"/>
      <c r="P39" s="61"/>
    </row>
    <row r="40" spans="2:16">
      <c r="B40" s="29"/>
      <c r="N40" s="61"/>
      <c r="O40" s="61"/>
      <c r="P40" s="61"/>
    </row>
    <row r="41" spans="2:16">
      <c r="N41" s="61"/>
      <c r="O41" s="61"/>
      <c r="P41" s="61"/>
    </row>
    <row r="42" spans="2:16">
      <c r="N42" s="61"/>
      <c r="O42" s="61"/>
      <c r="P42" s="61"/>
    </row>
    <row r="43" spans="2:16">
      <c r="N43" s="61"/>
      <c r="O43" s="61"/>
      <c r="P43" s="61"/>
    </row>
    <row r="46" spans="2:16">
      <c r="C46" s="13"/>
      <c r="D46" s="13"/>
      <c r="E46" s="13"/>
    </row>
    <row r="47" spans="2:16">
      <c r="D47" s="60"/>
      <c r="E47" s="60"/>
      <c r="F47" s="60"/>
      <c r="G47" s="63"/>
      <c r="H47" s="2"/>
      <c r="J47" s="2"/>
    </row>
    <row r="48" spans="2:16">
      <c r="D48" s="60"/>
      <c r="E48" s="60"/>
      <c r="F48" s="62"/>
      <c r="G48" s="60"/>
    </row>
    <row r="49" spans="1:15">
      <c r="D49" s="60"/>
      <c r="E49" s="60"/>
      <c r="F49" s="60"/>
      <c r="G49" s="60"/>
    </row>
    <row r="50" spans="1:15">
      <c r="D50" s="60"/>
      <c r="E50" s="60"/>
      <c r="F50" s="60"/>
      <c r="G50" s="60"/>
    </row>
    <row r="51" spans="1:15">
      <c r="A51" s="99"/>
      <c r="B51" s="99"/>
      <c r="C51" s="99"/>
      <c r="D51" s="99"/>
      <c r="E51" s="99"/>
      <c r="F51" s="99"/>
      <c r="G51" s="99"/>
      <c r="H51" s="99"/>
      <c r="I51" s="99"/>
    </row>
    <row r="52" spans="1:15">
      <c r="A52" s="99"/>
      <c r="B52" s="99"/>
      <c r="C52" s="99"/>
      <c r="D52" s="99"/>
      <c r="E52" s="99"/>
      <c r="F52" s="99"/>
      <c r="G52" s="99"/>
      <c r="H52" s="99"/>
      <c r="I52" s="99"/>
    </row>
    <row r="53" spans="1:15">
      <c r="A53" s="136"/>
      <c r="B53" s="136"/>
      <c r="C53" s="99"/>
      <c r="D53" s="99"/>
      <c r="E53" s="99"/>
      <c r="F53" s="99"/>
      <c r="G53" s="99"/>
      <c r="H53" s="99"/>
      <c r="I53" s="99"/>
    </row>
    <row r="54" spans="1:15">
      <c r="A54" s="99"/>
      <c r="B54" s="99"/>
      <c r="C54" s="140"/>
      <c r="D54" s="99"/>
      <c r="E54" s="140"/>
      <c r="F54" s="140"/>
      <c r="G54" s="99"/>
      <c r="H54" s="99"/>
      <c r="I54" s="99"/>
      <c r="J54" s="60"/>
      <c r="K54" s="60"/>
      <c r="L54" s="60"/>
      <c r="M54" s="60"/>
      <c r="N54" s="60"/>
      <c r="O54" s="60"/>
    </row>
    <row r="55" spans="1:15">
      <c r="A55" s="99"/>
      <c r="B55" s="99"/>
      <c r="C55" s="140"/>
      <c r="D55" s="140"/>
      <c r="E55" s="140"/>
      <c r="F55" s="140"/>
      <c r="G55" s="140"/>
      <c r="H55" s="140"/>
      <c r="I55" s="140"/>
      <c r="J55" s="60"/>
      <c r="K55" s="60"/>
      <c r="L55" s="63"/>
      <c r="M55" s="60"/>
      <c r="N55" s="60"/>
      <c r="O55" s="60"/>
    </row>
    <row r="56" spans="1:15">
      <c r="A56" s="99"/>
      <c r="B56" s="99"/>
      <c r="C56" s="99"/>
      <c r="D56" s="99"/>
      <c r="E56" s="99"/>
      <c r="F56" s="99"/>
      <c r="G56" s="99"/>
      <c r="H56" s="140"/>
      <c r="I56" s="138"/>
      <c r="J56" s="63"/>
      <c r="K56" s="63"/>
      <c r="L56" s="60"/>
      <c r="M56" s="60"/>
      <c r="N56" s="60"/>
      <c r="O56" s="60"/>
    </row>
    <row r="57" spans="1:15">
      <c r="A57" s="99"/>
      <c r="B57" s="99"/>
      <c r="C57" s="99"/>
      <c r="D57" s="99"/>
      <c r="E57" s="99"/>
      <c r="F57" s="99"/>
      <c r="G57" s="99"/>
      <c r="H57" s="140"/>
      <c r="I57" s="138"/>
      <c r="J57" s="63"/>
      <c r="K57" s="63"/>
      <c r="L57" s="60"/>
      <c r="M57" s="60"/>
      <c r="N57" s="60"/>
      <c r="O57" s="60"/>
    </row>
    <row r="58" spans="1:15">
      <c r="A58" s="99"/>
      <c r="B58" s="99"/>
      <c r="C58" s="99"/>
      <c r="D58" s="99"/>
      <c r="E58" s="99"/>
      <c r="F58" s="99"/>
      <c r="G58" s="99"/>
      <c r="H58" s="140"/>
      <c r="I58" s="138"/>
      <c r="J58" s="63"/>
      <c r="K58" s="63"/>
      <c r="L58" s="60"/>
      <c r="M58" s="60"/>
      <c r="N58" s="60"/>
      <c r="O58" s="60"/>
    </row>
    <row r="59" spans="1:15">
      <c r="A59" s="99"/>
      <c r="B59" s="99"/>
      <c r="C59" s="99"/>
      <c r="D59" s="99"/>
      <c r="E59" s="99"/>
      <c r="F59" s="99"/>
      <c r="G59" s="99"/>
      <c r="H59" s="140"/>
      <c r="I59" s="138"/>
      <c r="J59" s="63"/>
      <c r="K59" s="63"/>
      <c r="L59" s="60"/>
      <c r="M59" s="60"/>
      <c r="N59" s="60"/>
      <c r="O59" s="60"/>
    </row>
    <row r="60" spans="1:15">
      <c r="A60" s="99"/>
      <c r="B60" s="99"/>
      <c r="C60" s="99"/>
      <c r="D60" s="99"/>
      <c r="E60" s="99"/>
      <c r="F60" s="99"/>
      <c r="G60" s="99"/>
      <c r="H60" s="140"/>
      <c r="I60" s="138"/>
      <c r="J60" s="63"/>
      <c r="K60" s="63"/>
      <c r="L60" s="60"/>
      <c r="M60" s="60"/>
      <c r="N60" s="60"/>
      <c r="O60" s="60"/>
    </row>
    <row r="61" spans="1:15">
      <c r="A61" s="99"/>
      <c r="B61" s="140"/>
      <c r="C61" s="99"/>
      <c r="D61" s="99"/>
      <c r="E61" s="99"/>
      <c r="F61" s="99"/>
      <c r="G61" s="99"/>
      <c r="H61" s="140"/>
      <c r="I61" s="138"/>
      <c r="J61" s="63"/>
      <c r="K61" s="63"/>
      <c r="L61" s="60"/>
      <c r="M61" s="60"/>
      <c r="N61" s="60"/>
      <c r="O61" s="60"/>
    </row>
    <row r="62" spans="1:15">
      <c r="A62" s="99"/>
      <c r="B62" s="140"/>
      <c r="C62" s="99"/>
      <c r="D62" s="99"/>
      <c r="E62" s="99"/>
      <c r="F62" s="99"/>
      <c r="G62" s="99"/>
      <c r="H62" s="99"/>
      <c r="I62" s="99"/>
      <c r="J62" s="60"/>
      <c r="K62" s="60"/>
      <c r="L62" s="60"/>
      <c r="M62" s="60"/>
      <c r="N62" s="60"/>
      <c r="O62" s="60"/>
    </row>
    <row r="63" spans="1:15">
      <c r="A63" s="99"/>
      <c r="B63" s="136"/>
      <c r="C63" s="99"/>
      <c r="D63" s="99"/>
      <c r="E63" s="99"/>
      <c r="F63" s="99"/>
      <c r="G63" s="99"/>
      <c r="H63" s="99"/>
      <c r="I63" s="99"/>
      <c r="J63" s="60"/>
      <c r="K63" s="60"/>
      <c r="L63" s="60"/>
      <c r="M63" s="60"/>
      <c r="N63" s="60"/>
      <c r="O63" s="60"/>
    </row>
    <row r="64" spans="1:15">
      <c r="A64" s="99"/>
      <c r="B64" s="136"/>
      <c r="C64" s="145"/>
      <c r="D64" s="140"/>
      <c r="E64" s="140"/>
      <c r="F64" s="140"/>
      <c r="G64" s="99"/>
      <c r="H64" s="99"/>
      <c r="I64" s="99"/>
      <c r="J64" s="60"/>
      <c r="K64" s="60"/>
      <c r="L64" s="60"/>
      <c r="M64" s="60"/>
      <c r="N64" s="60"/>
      <c r="O64" s="60"/>
    </row>
    <row r="65" spans="1:15">
      <c r="A65" s="99"/>
      <c r="B65" s="136"/>
      <c r="C65" s="145"/>
      <c r="D65" s="140"/>
      <c r="E65" s="140"/>
      <c r="F65" s="140"/>
      <c r="G65" s="99"/>
      <c r="H65" s="99"/>
      <c r="I65" s="99"/>
      <c r="J65" s="60"/>
      <c r="K65" s="60"/>
      <c r="L65" s="60"/>
      <c r="M65" s="60"/>
      <c r="N65" s="60"/>
      <c r="O65" s="60"/>
    </row>
    <row r="66" spans="1:15">
      <c r="A66" s="99"/>
      <c r="B66" s="136"/>
      <c r="C66" s="145"/>
      <c r="D66" s="99"/>
      <c r="E66" s="99"/>
      <c r="F66" s="99"/>
      <c r="G66" s="99"/>
      <c r="H66" s="99"/>
      <c r="I66" s="99"/>
    </row>
    <row r="67" spans="1:15">
      <c r="A67" s="99"/>
      <c r="B67" s="136"/>
      <c r="C67" s="140"/>
      <c r="D67" s="140"/>
      <c r="E67" s="140"/>
      <c r="F67" s="140"/>
      <c r="G67" s="99"/>
      <c r="H67" s="99"/>
      <c r="I67" s="99"/>
    </row>
    <row r="68" spans="1:15">
      <c r="A68" s="99"/>
      <c r="B68" s="136"/>
      <c r="C68" s="140"/>
      <c r="D68" s="140"/>
      <c r="E68" s="140"/>
      <c r="F68" s="140"/>
      <c r="G68" s="99"/>
      <c r="H68" s="99"/>
      <c r="I68" s="99"/>
    </row>
    <row r="69" spans="1:15">
      <c r="A69" s="99"/>
      <c r="B69" s="99"/>
      <c r="C69" s="140"/>
      <c r="D69" s="140"/>
      <c r="E69" s="140"/>
      <c r="F69" s="140"/>
      <c r="G69" s="99"/>
      <c r="H69" s="99"/>
      <c r="I69" s="99"/>
    </row>
    <row r="70" spans="1:15">
      <c r="A70" s="99"/>
      <c r="B70" s="136"/>
      <c r="C70" s="140"/>
      <c r="D70" s="140"/>
      <c r="E70" s="140"/>
      <c r="F70" s="140"/>
      <c r="G70" s="99"/>
      <c r="H70" s="99"/>
      <c r="I70" s="99"/>
    </row>
    <row r="71" spans="1:15">
      <c r="A71" s="99"/>
      <c r="B71" s="140"/>
      <c r="C71" s="140"/>
      <c r="D71" s="140"/>
      <c r="E71" s="140"/>
      <c r="F71" s="140"/>
      <c r="G71" s="99"/>
      <c r="H71" s="99"/>
      <c r="I71" s="99"/>
    </row>
    <row r="72" spans="1:15">
      <c r="A72" s="99"/>
      <c r="B72" s="140"/>
      <c r="C72" s="140"/>
      <c r="D72" s="140"/>
      <c r="E72" s="140"/>
      <c r="F72" s="140"/>
      <c r="G72" s="99"/>
      <c r="H72" s="99"/>
      <c r="I72" s="99"/>
    </row>
    <row r="73" spans="1:15">
      <c r="A73" s="99"/>
      <c r="B73" s="145"/>
      <c r="C73" s="136"/>
      <c r="D73" s="99"/>
      <c r="E73" s="99"/>
      <c r="F73" s="99"/>
      <c r="G73" s="99"/>
      <c r="H73" s="99"/>
      <c r="I73" s="99"/>
    </row>
    <row r="74" spans="1:15" ht="16">
      <c r="A74" s="99"/>
      <c r="B74" s="145"/>
      <c r="C74" s="140"/>
      <c r="D74" s="140"/>
      <c r="E74" s="140"/>
      <c r="F74" s="140"/>
      <c r="G74" s="146"/>
      <c r="H74" s="99"/>
      <c r="I74" s="99"/>
    </row>
    <row r="75" spans="1:15">
      <c r="A75" s="99"/>
      <c r="B75" s="140"/>
      <c r="C75" s="140"/>
      <c r="D75" s="140"/>
      <c r="E75" s="140"/>
      <c r="F75" s="140"/>
      <c r="G75" s="99"/>
      <c r="H75" s="99"/>
      <c r="I75" s="99"/>
    </row>
    <row r="76" spans="1:15" ht="16">
      <c r="A76" s="99"/>
      <c r="B76" s="140"/>
      <c r="C76" s="140"/>
      <c r="D76" s="140"/>
      <c r="E76" s="140"/>
      <c r="F76" s="140"/>
      <c r="G76" s="146"/>
      <c r="H76" s="99"/>
      <c r="I76" s="99"/>
    </row>
    <row r="77" spans="1:15" ht="16">
      <c r="A77" s="99"/>
      <c r="B77" s="140"/>
      <c r="C77" s="140"/>
      <c r="D77" s="140"/>
      <c r="E77" s="140"/>
      <c r="F77" s="140"/>
      <c r="G77" s="146"/>
      <c r="H77" s="99"/>
      <c r="I77" s="99"/>
    </row>
    <row r="78" spans="1:15" ht="16">
      <c r="A78" s="99"/>
      <c r="B78" s="140"/>
      <c r="C78" s="140"/>
      <c r="D78" s="140"/>
      <c r="E78" s="140"/>
      <c r="F78" s="140"/>
      <c r="G78" s="146"/>
      <c r="H78" s="99"/>
      <c r="I78" s="99"/>
    </row>
    <row r="79" spans="1:15" ht="16">
      <c r="A79" s="99"/>
      <c r="B79" s="140"/>
      <c r="C79" s="140"/>
      <c r="D79" s="99"/>
      <c r="E79" s="140"/>
      <c r="F79" s="140"/>
      <c r="G79" s="146"/>
      <c r="H79" s="99"/>
      <c r="I79" s="99"/>
    </row>
    <row r="80" spans="1:15" ht="16">
      <c r="A80" s="99"/>
      <c r="B80" s="145"/>
      <c r="C80" s="99"/>
      <c r="D80" s="99"/>
      <c r="E80" s="99"/>
      <c r="F80" s="99"/>
      <c r="G80" s="146"/>
      <c r="H80" s="99"/>
      <c r="I80" s="99"/>
    </row>
    <row r="81" spans="1:9" ht="16">
      <c r="A81" s="99"/>
      <c r="B81" s="140"/>
      <c r="C81" s="140"/>
      <c r="D81" s="140"/>
      <c r="E81" s="140"/>
      <c r="F81" s="140"/>
      <c r="G81" s="146"/>
      <c r="H81" s="99"/>
      <c r="I81" s="99"/>
    </row>
    <row r="82" spans="1:9" ht="16">
      <c r="A82" s="99"/>
      <c r="B82" s="140"/>
      <c r="C82" s="140"/>
      <c r="D82" s="140"/>
      <c r="E82" s="140"/>
      <c r="F82" s="140"/>
      <c r="G82" s="146"/>
      <c r="H82" s="99"/>
      <c r="I82" s="99"/>
    </row>
    <row r="83" spans="1:9" ht="16">
      <c r="A83" s="99"/>
      <c r="B83" s="140"/>
      <c r="C83" s="99"/>
      <c r="D83" s="99"/>
      <c r="E83" s="99"/>
      <c r="F83" s="99"/>
      <c r="G83" s="146"/>
      <c r="H83" s="99"/>
      <c r="I83" s="99"/>
    </row>
    <row r="84" spans="1:9" ht="16">
      <c r="A84" s="99"/>
      <c r="B84" s="140"/>
      <c r="C84" s="99"/>
      <c r="D84" s="99"/>
      <c r="E84" s="99"/>
      <c r="F84" s="99"/>
      <c r="G84" s="146"/>
      <c r="H84" s="99"/>
      <c r="I84" s="99"/>
    </row>
    <row r="85" spans="1:9" ht="16">
      <c r="A85" s="99"/>
      <c r="B85" s="140"/>
      <c r="C85" s="99"/>
      <c r="D85" s="99"/>
      <c r="E85" s="99"/>
      <c r="F85" s="99"/>
      <c r="G85" s="146"/>
      <c r="H85" s="99"/>
      <c r="I85" s="99"/>
    </row>
    <row r="86" spans="1:9" ht="16">
      <c r="A86" s="99"/>
      <c r="B86" s="140"/>
      <c r="C86" s="140"/>
      <c r="D86" s="140"/>
      <c r="E86" s="140"/>
      <c r="F86" s="99"/>
      <c r="G86" s="146"/>
      <c r="H86" s="99"/>
      <c r="I86" s="99"/>
    </row>
    <row r="87" spans="1:9" ht="16">
      <c r="A87" s="99"/>
      <c r="B87" s="140"/>
      <c r="C87" s="140"/>
      <c r="D87" s="140"/>
      <c r="E87" s="140"/>
      <c r="F87" s="99"/>
      <c r="G87" s="146"/>
      <c r="H87" s="99"/>
      <c r="I87" s="99"/>
    </row>
    <row r="88" spans="1:9" ht="16">
      <c r="A88" s="99"/>
      <c r="B88" s="140"/>
      <c r="C88" s="145"/>
      <c r="D88" s="140"/>
      <c r="E88" s="140"/>
      <c r="F88" s="99"/>
      <c r="G88" s="146"/>
      <c r="H88" s="146"/>
      <c r="I88" s="99"/>
    </row>
    <row r="89" spans="1:9">
      <c r="A89" s="99"/>
      <c r="B89" s="140"/>
      <c r="C89" s="145"/>
      <c r="D89" s="140"/>
      <c r="E89" s="140"/>
      <c r="F89" s="99"/>
      <c r="G89" s="99"/>
      <c r="H89" s="99"/>
      <c r="I89" s="99"/>
    </row>
    <row r="90" spans="1:9" ht="16">
      <c r="A90" s="99"/>
      <c r="B90" s="99"/>
      <c r="C90" s="140"/>
      <c r="D90" s="140"/>
      <c r="E90" s="140"/>
      <c r="F90" s="99"/>
      <c r="G90" s="146"/>
      <c r="H90" s="99"/>
      <c r="I90" s="99"/>
    </row>
    <row r="91" spans="1:9" ht="16">
      <c r="A91" s="99"/>
      <c r="B91" s="99"/>
      <c r="C91" s="145"/>
      <c r="D91" s="140"/>
      <c r="E91" s="140"/>
      <c r="F91" s="99"/>
      <c r="G91" s="146"/>
      <c r="H91" s="99"/>
      <c r="I91" s="99"/>
    </row>
    <row r="92" spans="1:9">
      <c r="A92" s="99"/>
      <c r="B92" s="99"/>
      <c r="C92" s="99"/>
      <c r="D92" s="99"/>
      <c r="E92" s="99"/>
      <c r="F92" s="99"/>
      <c r="G92" s="99"/>
      <c r="H92" s="99"/>
      <c r="I92" s="99"/>
    </row>
    <row r="93" spans="1:9">
      <c r="A93" s="99"/>
      <c r="B93" s="99"/>
      <c r="C93" s="145"/>
      <c r="D93" s="99"/>
      <c r="E93" s="99"/>
      <c r="F93" s="99"/>
      <c r="G93" s="99"/>
      <c r="H93" s="99"/>
      <c r="I93" s="99"/>
    </row>
    <row r="94" spans="1:9">
      <c r="A94" s="99"/>
      <c r="B94" s="99"/>
      <c r="C94" s="99"/>
      <c r="D94" s="99"/>
      <c r="E94" s="99"/>
      <c r="F94" s="99"/>
      <c r="G94" s="99"/>
      <c r="H94" s="99"/>
      <c r="I94" s="99"/>
    </row>
    <row r="95" spans="1:9">
      <c r="A95" s="99"/>
      <c r="B95" s="99"/>
      <c r="C95" s="99"/>
      <c r="D95" s="99"/>
      <c r="E95" s="99"/>
      <c r="F95" s="99"/>
      <c r="G95" s="99"/>
      <c r="H95" s="99"/>
      <c r="I95" s="99"/>
    </row>
    <row r="96" spans="1:9">
      <c r="A96" s="99"/>
      <c r="B96" s="99"/>
      <c r="C96" s="99"/>
      <c r="D96" s="99"/>
      <c r="E96" s="99"/>
      <c r="F96" s="99"/>
      <c r="G96" s="99"/>
      <c r="H96" s="99"/>
      <c r="I96" s="99"/>
    </row>
    <row r="97" spans="1:14">
      <c r="A97" s="99"/>
      <c r="B97" s="99"/>
      <c r="C97" s="99"/>
      <c r="D97" s="99"/>
      <c r="E97" s="99"/>
      <c r="F97" s="99"/>
      <c r="G97" s="99"/>
      <c r="H97" s="99"/>
      <c r="I97" s="99"/>
    </row>
    <row r="98" spans="1:14">
      <c r="A98" s="99"/>
      <c r="B98" s="99"/>
      <c r="C98" s="99"/>
      <c r="D98" s="99"/>
      <c r="E98" s="99"/>
      <c r="F98" s="99"/>
      <c r="G98" s="99"/>
      <c r="H98" s="99"/>
      <c r="I98" s="99"/>
    </row>
    <row r="99" spans="1:14">
      <c r="A99" s="99"/>
      <c r="B99" s="99"/>
      <c r="C99" s="99"/>
      <c r="D99" s="99"/>
      <c r="E99" s="99"/>
      <c r="F99" s="99"/>
      <c r="G99" s="99"/>
      <c r="H99" s="99"/>
      <c r="I99" s="99"/>
    </row>
    <row r="100" spans="1:14">
      <c r="A100" s="99"/>
      <c r="B100" s="99"/>
      <c r="C100" s="99"/>
      <c r="D100" s="99"/>
      <c r="E100" s="99"/>
      <c r="F100" s="99"/>
      <c r="G100" s="99"/>
      <c r="H100" s="99"/>
      <c r="I100" s="99"/>
    </row>
    <row r="101" spans="1:14">
      <c r="A101" s="99"/>
      <c r="B101" s="99"/>
      <c r="C101" s="99"/>
      <c r="D101" s="99"/>
      <c r="E101" s="99"/>
      <c r="F101" s="99"/>
      <c r="G101" s="99"/>
      <c r="H101" s="99"/>
      <c r="I101" s="140"/>
      <c r="J101" s="2"/>
      <c r="K101" s="2"/>
    </row>
    <row r="102" spans="1:14" ht="16">
      <c r="A102" s="99"/>
      <c r="B102" s="99"/>
      <c r="C102" s="136"/>
      <c r="D102" s="136"/>
      <c r="E102" s="136"/>
      <c r="F102" s="136"/>
      <c r="G102" s="136"/>
      <c r="H102" s="99"/>
      <c r="I102" s="147"/>
      <c r="J102" s="7"/>
      <c r="K102" s="7"/>
    </row>
    <row r="103" spans="1:14" ht="16">
      <c r="A103" s="99"/>
      <c r="B103" s="99"/>
      <c r="C103" s="140"/>
      <c r="D103" s="140"/>
      <c r="E103" s="140"/>
      <c r="F103" s="140"/>
      <c r="G103" s="140"/>
      <c r="H103" s="99"/>
      <c r="I103" s="147"/>
      <c r="J103" s="7"/>
      <c r="K103" s="7"/>
    </row>
    <row r="104" spans="1:14" ht="16">
      <c r="A104" s="99"/>
      <c r="B104" s="99"/>
      <c r="C104" s="140"/>
      <c r="D104" s="140"/>
      <c r="E104" s="140"/>
      <c r="F104" s="140"/>
      <c r="G104" s="140"/>
      <c r="H104" s="99"/>
      <c r="I104" s="147"/>
      <c r="J104" s="7"/>
      <c r="K104" s="7"/>
    </row>
    <row r="105" spans="1:14" ht="16">
      <c r="A105" s="99"/>
      <c r="B105" s="99"/>
      <c r="C105" s="140"/>
      <c r="D105" s="140"/>
      <c r="E105" s="140"/>
      <c r="F105" s="140"/>
      <c r="G105" s="99"/>
      <c r="H105" s="99"/>
      <c r="I105" s="147"/>
      <c r="J105" s="7"/>
      <c r="K105" s="7"/>
    </row>
    <row r="106" spans="1:14" ht="16">
      <c r="A106" s="99"/>
      <c r="B106" s="99"/>
      <c r="C106" s="140"/>
      <c r="D106" s="140"/>
      <c r="E106" s="140"/>
      <c r="F106" s="140"/>
      <c r="G106" s="99"/>
      <c r="H106" s="99"/>
      <c r="I106" s="146"/>
      <c r="J106" s="7"/>
      <c r="K106" s="7"/>
    </row>
    <row r="107" spans="1:14" ht="16">
      <c r="A107" s="99"/>
      <c r="B107" s="99"/>
      <c r="C107" s="140"/>
      <c r="D107" s="140"/>
      <c r="E107" s="140"/>
      <c r="F107" s="140"/>
      <c r="G107" s="99"/>
      <c r="H107" s="99"/>
      <c r="I107" s="146"/>
      <c r="J107" s="7"/>
      <c r="K107" s="7"/>
    </row>
    <row r="108" spans="1:14" ht="16">
      <c r="A108" s="99"/>
      <c r="B108" s="99"/>
      <c r="C108" s="140"/>
      <c r="D108" s="140"/>
      <c r="E108" s="140"/>
      <c r="F108" s="140"/>
      <c r="G108" s="99"/>
      <c r="H108" s="99"/>
      <c r="I108" s="99"/>
      <c r="J108" s="10"/>
    </row>
    <row r="109" spans="1:14" ht="16">
      <c r="A109" s="99"/>
      <c r="B109" s="99"/>
      <c r="C109" s="99"/>
      <c r="D109" s="99"/>
      <c r="E109" s="99"/>
      <c r="F109" s="99"/>
      <c r="G109" s="99"/>
      <c r="H109" s="99"/>
      <c r="I109" s="99"/>
      <c r="J109" s="7"/>
      <c r="L109" t="s">
        <v>179</v>
      </c>
      <c r="N109" t="s">
        <v>177</v>
      </c>
    </row>
    <row r="110" spans="1:14" ht="16">
      <c r="A110" s="99"/>
      <c r="B110" s="136"/>
      <c r="C110" s="99"/>
      <c r="D110" s="99"/>
      <c r="E110" s="99"/>
      <c r="F110" s="99"/>
      <c r="G110" s="99"/>
      <c r="H110" s="99"/>
      <c r="I110" s="99"/>
      <c r="J110" s="7"/>
      <c r="L110">
        <f>D98</f>
        <v>0</v>
      </c>
      <c r="N110">
        <v>12.7</v>
      </c>
    </row>
    <row r="111" spans="1:14">
      <c r="A111" s="99"/>
      <c r="B111" s="136"/>
      <c r="C111" s="99"/>
      <c r="D111" s="99"/>
      <c r="E111" s="99"/>
      <c r="F111" s="99"/>
      <c r="G111" s="99"/>
      <c r="H111" s="99"/>
      <c r="I111" s="99"/>
    </row>
    <row r="112" spans="1:14" ht="16">
      <c r="A112" s="99"/>
      <c r="B112" s="136"/>
      <c r="C112" s="99"/>
      <c r="D112" s="99"/>
      <c r="E112" s="99"/>
      <c r="F112" s="99"/>
      <c r="G112" s="99"/>
      <c r="H112" s="99"/>
      <c r="I112" s="99"/>
      <c r="J112" s="7"/>
    </row>
    <row r="113" spans="1:16" ht="16">
      <c r="A113" s="99"/>
      <c r="B113" s="136"/>
      <c r="C113" s="136"/>
      <c r="D113" s="136"/>
      <c r="E113" s="99"/>
      <c r="F113" s="99"/>
      <c r="G113" s="99"/>
      <c r="H113" s="99"/>
      <c r="I113" s="99"/>
      <c r="J113" s="7"/>
    </row>
    <row r="114" spans="1:16" ht="16">
      <c r="A114" s="99"/>
      <c r="B114" s="136"/>
      <c r="C114" s="99"/>
      <c r="D114" s="99"/>
      <c r="E114" s="99"/>
      <c r="F114" s="99"/>
      <c r="G114" s="99"/>
      <c r="H114" s="99"/>
      <c r="I114" s="99"/>
      <c r="J114" s="7"/>
      <c r="N114" t="s">
        <v>186</v>
      </c>
    </row>
    <row r="115" spans="1:16">
      <c r="A115" s="99"/>
      <c r="B115" s="136"/>
      <c r="C115" s="140"/>
      <c r="D115" s="140"/>
      <c r="E115" s="140"/>
      <c r="F115" s="140"/>
      <c r="G115" s="145"/>
      <c r="H115" s="140"/>
      <c r="I115" s="140"/>
      <c r="J115" s="54" t="s">
        <v>153</v>
      </c>
      <c r="K115" s="40" t="s">
        <v>154</v>
      </c>
      <c r="L115" s="42" t="s">
        <v>109</v>
      </c>
      <c r="M115" s="33" t="s">
        <v>116</v>
      </c>
      <c r="N115" s="33" t="s">
        <v>167</v>
      </c>
    </row>
    <row r="116" spans="1:16">
      <c r="A116" s="99"/>
      <c r="B116" s="99"/>
      <c r="C116" s="99"/>
      <c r="D116" s="99"/>
      <c r="E116" s="99"/>
      <c r="F116" s="99"/>
      <c r="G116" s="148"/>
      <c r="H116" s="99"/>
      <c r="I116" s="99"/>
      <c r="J116">
        <f>J117</f>
        <v>0</v>
      </c>
      <c r="K116" t="e">
        <f>I116/J116</f>
        <v>#DIV/0!</v>
      </c>
      <c r="L116" t="e">
        <f>(H88)*I116+(F79+F81+K116)*D91+(F65+F72)*D91+(D93+F82)</f>
        <v>#DIV/0!</v>
      </c>
      <c r="M116" s="33" t="e">
        <f t="shared" ref="M116:M126" si="1">L116/I116</f>
        <v>#DIV/0!</v>
      </c>
      <c r="N116" s="36" t="e">
        <f>L116/D98</f>
        <v>#DIV/0!</v>
      </c>
    </row>
    <row r="117" spans="1:16">
      <c r="A117" s="99"/>
      <c r="B117" s="99"/>
      <c r="C117" s="99"/>
      <c r="D117" s="99"/>
      <c r="E117" s="99"/>
      <c r="F117" s="99"/>
      <c r="G117" s="149"/>
      <c r="H117" s="140"/>
      <c r="I117" s="140"/>
      <c r="J117" s="54">
        <f>J56</f>
        <v>0</v>
      </c>
      <c r="K117" s="41" t="e">
        <f>I117/J117</f>
        <v>#DIV/0!</v>
      </c>
      <c r="L117" s="40" t="e">
        <f>(H88)*I117+(F79+F81+K117)*D91+(F65+F72)*D91+(F82+D93)</f>
        <v>#DIV/0!</v>
      </c>
      <c r="M117" s="33" t="e">
        <f t="shared" si="1"/>
        <v>#DIV/0!</v>
      </c>
      <c r="N117" s="36" t="e">
        <f>L117/D98</f>
        <v>#DIV/0!</v>
      </c>
      <c r="O117" t="s">
        <v>178</v>
      </c>
      <c r="P117" t="s">
        <v>180</v>
      </c>
    </row>
    <row r="118" spans="1:16" ht="16">
      <c r="A118" s="99"/>
      <c r="B118" s="99"/>
      <c r="C118" s="99"/>
      <c r="D118" s="99"/>
      <c r="E118" s="99"/>
      <c r="F118" s="99"/>
      <c r="G118" s="149"/>
      <c r="H118" s="140"/>
      <c r="I118" s="140"/>
      <c r="J118" s="142">
        <f t="shared" ref="J118:J126" si="2">J117</f>
        <v>0</v>
      </c>
      <c r="K118" s="41" t="e">
        <f>I118/J118</f>
        <v>#DIV/0!</v>
      </c>
      <c r="L118" s="40" t="e">
        <f>H88*I118+(F79+F81+K118)*D91+(F65+F72)*D91+(F82+D93)</f>
        <v>#DIV/0!</v>
      </c>
      <c r="M118" s="33" t="e">
        <f t="shared" si="1"/>
        <v>#DIV/0!</v>
      </c>
      <c r="N118" s="36" t="e">
        <f>L118/D98</f>
        <v>#DIV/0!</v>
      </c>
      <c r="O118" s="2">
        <v>277</v>
      </c>
      <c r="P118" s="30">
        <v>0.1</v>
      </c>
    </row>
    <row r="119" spans="1:16" ht="16">
      <c r="A119" s="99"/>
      <c r="B119" s="99"/>
      <c r="C119" s="99"/>
      <c r="D119" s="99"/>
      <c r="E119" s="99"/>
      <c r="F119" s="99"/>
      <c r="G119" s="149"/>
      <c r="H119" s="140"/>
      <c r="I119" s="140"/>
      <c r="J119" s="142">
        <f t="shared" si="2"/>
        <v>0</v>
      </c>
      <c r="K119" s="41" t="e">
        <f>I119/J119</f>
        <v>#DIV/0!</v>
      </c>
      <c r="L119" s="40" t="e">
        <f>H88*I119+(F79+F81+K119)*D91+(F65+F72)*D91+(D93+F82)</f>
        <v>#DIV/0!</v>
      </c>
      <c r="M119" s="33" t="e">
        <f t="shared" si="1"/>
        <v>#DIV/0!</v>
      </c>
      <c r="N119" s="36" t="e">
        <f>L119/D98</f>
        <v>#DIV/0!</v>
      </c>
    </row>
    <row r="120" spans="1:16" ht="16">
      <c r="A120" s="99"/>
      <c r="B120" s="136"/>
      <c r="C120" s="99"/>
      <c r="D120" s="99"/>
      <c r="E120" s="99"/>
      <c r="F120" s="99"/>
      <c r="G120" s="149"/>
      <c r="H120" s="140"/>
      <c r="I120" s="140"/>
      <c r="J120" s="143">
        <f t="shared" si="2"/>
        <v>0</v>
      </c>
      <c r="K120" s="41" t="e">
        <f>I120/J120</f>
        <v>#DIV/0!</v>
      </c>
      <c r="L120" s="40" t="e">
        <f>H88*I120+(F79+F81+K120)*D91+(F65+F72)*D91+(D93+F82)</f>
        <v>#DIV/0!</v>
      </c>
      <c r="M120" s="33" t="e">
        <f t="shared" si="1"/>
        <v>#DIV/0!</v>
      </c>
      <c r="N120" s="36" t="e">
        <f>L120/D98</f>
        <v>#DIV/0!</v>
      </c>
    </row>
    <row r="121" spans="1:16">
      <c r="A121" s="99"/>
      <c r="B121" s="99"/>
      <c r="C121" s="99"/>
      <c r="D121" s="99"/>
      <c r="E121" s="99"/>
      <c r="F121" s="99"/>
      <c r="G121" s="149"/>
      <c r="H121" s="140"/>
      <c r="I121" s="140"/>
      <c r="J121" s="54">
        <f t="shared" si="2"/>
        <v>0</v>
      </c>
      <c r="K121" s="41" t="e">
        <f>I121/J120:J121</f>
        <v>#DIV/0!</v>
      </c>
      <c r="L121" s="40" t="e">
        <f>H88*I121+(F79+F81+K121)*D91+(F65+F72)*D91+(F82+D93)</f>
        <v>#DIV/0!</v>
      </c>
      <c r="M121" s="33" t="e">
        <f t="shared" si="1"/>
        <v>#DIV/0!</v>
      </c>
      <c r="N121" s="36" t="e">
        <f>L121/D98</f>
        <v>#DIV/0!</v>
      </c>
    </row>
    <row r="122" spans="1:16" ht="16">
      <c r="A122" s="99"/>
      <c r="B122" s="140"/>
      <c r="C122" s="99"/>
      <c r="D122" s="99"/>
      <c r="E122" s="99"/>
      <c r="F122" s="99"/>
      <c r="G122" s="149"/>
      <c r="H122" s="140"/>
      <c r="I122" s="140"/>
      <c r="J122" s="142">
        <f t="shared" si="2"/>
        <v>0</v>
      </c>
      <c r="K122" s="41" t="e">
        <f>I122/J122</f>
        <v>#DIV/0!</v>
      </c>
      <c r="L122" s="40" t="e">
        <f>H88*I122+(F79+F81+K122)*D91+(F65+F72)*D91+(F82+D93)</f>
        <v>#DIV/0!</v>
      </c>
      <c r="M122" s="33" t="e">
        <f t="shared" si="1"/>
        <v>#DIV/0!</v>
      </c>
      <c r="N122" s="36" t="e">
        <f>L122/D98</f>
        <v>#DIV/0!</v>
      </c>
    </row>
    <row r="123" spans="1:16" ht="16">
      <c r="A123" s="99"/>
      <c r="B123" s="136"/>
      <c r="C123" s="99"/>
      <c r="D123" s="99"/>
      <c r="E123" s="99"/>
      <c r="F123" s="99"/>
      <c r="G123" s="149"/>
      <c r="H123" s="140"/>
      <c r="I123" s="140"/>
      <c r="J123" s="142">
        <f t="shared" si="2"/>
        <v>0</v>
      </c>
      <c r="K123" s="41" t="e">
        <f>I123/J123</f>
        <v>#DIV/0!</v>
      </c>
      <c r="L123" s="40" t="e">
        <f>H88*I123+(F79+F81+K123)*D91+(F65+F72)*D91+(F82+D93)</f>
        <v>#DIV/0!</v>
      </c>
      <c r="M123" s="33" t="e">
        <f t="shared" si="1"/>
        <v>#DIV/0!</v>
      </c>
      <c r="N123" s="36" t="e">
        <f>L123/D98</f>
        <v>#DIV/0!</v>
      </c>
    </row>
    <row r="124" spans="1:16" ht="16">
      <c r="A124" s="99"/>
      <c r="B124" s="99"/>
      <c r="C124" s="99"/>
      <c r="D124" s="99"/>
      <c r="E124" s="99"/>
      <c r="F124" s="99"/>
      <c r="G124" s="149"/>
      <c r="H124" s="140"/>
      <c r="I124" s="140"/>
      <c r="J124" s="142">
        <f t="shared" si="2"/>
        <v>0</v>
      </c>
      <c r="K124" s="41" t="e">
        <f>I124/J124</f>
        <v>#DIV/0!</v>
      </c>
      <c r="L124" s="40" t="e">
        <f>H88*I124+(F79+F81+K124)*D91+(F65+F72)*D91+(F82+D93)</f>
        <v>#DIV/0!</v>
      </c>
      <c r="M124" s="33" t="e">
        <f t="shared" si="1"/>
        <v>#DIV/0!</v>
      </c>
      <c r="N124" s="36" t="e">
        <f>L124/D98</f>
        <v>#DIV/0!</v>
      </c>
    </row>
    <row r="125" spans="1:16" ht="16">
      <c r="A125" s="99"/>
      <c r="B125" s="99"/>
      <c r="C125" s="99"/>
      <c r="D125" s="99"/>
      <c r="E125" s="99"/>
      <c r="F125" s="99"/>
      <c r="G125" s="149"/>
      <c r="H125" s="140"/>
      <c r="I125" s="140"/>
      <c r="J125" s="142">
        <f t="shared" si="2"/>
        <v>0</v>
      </c>
      <c r="K125" s="41" t="e">
        <f>I125/J125</f>
        <v>#DIV/0!</v>
      </c>
      <c r="L125" s="40" t="e">
        <f>H88*I125+(F79+F81+K125)*D91+(F65+F72)*D91+(F82+D93)</f>
        <v>#DIV/0!</v>
      </c>
      <c r="M125" s="33" t="e">
        <f t="shared" si="1"/>
        <v>#DIV/0!</v>
      </c>
      <c r="N125" s="36" t="e">
        <f>L125/D98</f>
        <v>#DIV/0!</v>
      </c>
    </row>
    <row r="126" spans="1:16" ht="16">
      <c r="A126" s="99"/>
      <c r="B126" s="99"/>
      <c r="C126" s="99"/>
      <c r="D126" s="99"/>
      <c r="E126" s="99"/>
      <c r="F126" s="99"/>
      <c r="G126" s="149"/>
      <c r="H126" s="140"/>
      <c r="I126" s="140"/>
      <c r="J126" s="142">
        <f t="shared" si="2"/>
        <v>0</v>
      </c>
      <c r="K126" s="41" t="e">
        <f>I126/J126</f>
        <v>#DIV/0!</v>
      </c>
      <c r="L126" s="40" t="e">
        <f>H88*I126+(F79+F81+K126)*D91+(F65+F72)*D91+(F82+D93)</f>
        <v>#DIV/0!</v>
      </c>
      <c r="M126" s="33" t="e">
        <f t="shared" si="1"/>
        <v>#DIV/0!</v>
      </c>
      <c r="N126" s="36" t="e">
        <f>L126/D98</f>
        <v>#DIV/0!</v>
      </c>
    </row>
    <row r="127" spans="1:16">
      <c r="A127" s="99"/>
      <c r="B127" s="99"/>
      <c r="C127" s="99"/>
      <c r="D127" s="99"/>
      <c r="E127" s="99"/>
      <c r="F127" s="99"/>
      <c r="G127" s="99"/>
      <c r="H127" s="99"/>
      <c r="I127" s="140"/>
      <c r="J127" s="2"/>
      <c r="K127" s="2"/>
      <c r="N127" s="2"/>
    </row>
    <row r="128" spans="1:16">
      <c r="A128" s="99"/>
      <c r="B128" s="99"/>
      <c r="C128" s="99"/>
      <c r="D128" s="99"/>
      <c r="E128" s="99"/>
      <c r="F128" s="99"/>
      <c r="G128" s="99"/>
      <c r="H128" s="99"/>
      <c r="I128" s="140"/>
      <c r="J128" s="2"/>
      <c r="K128" s="2"/>
    </row>
    <row r="129" spans="1:15">
      <c r="A129" s="99"/>
      <c r="B129" s="136"/>
      <c r="C129" s="136"/>
      <c r="D129" s="99"/>
      <c r="E129" s="99"/>
      <c r="F129" s="99"/>
      <c r="G129" s="99"/>
      <c r="H129" s="99"/>
      <c r="I129" s="140"/>
      <c r="J129" s="2"/>
      <c r="K129" s="2"/>
    </row>
    <row r="130" spans="1:15">
      <c r="A130" s="99"/>
      <c r="B130" s="136"/>
      <c r="C130" s="99"/>
      <c r="D130" s="99"/>
      <c r="E130" s="99"/>
      <c r="F130" s="99"/>
      <c r="G130" s="99"/>
      <c r="H130" s="99"/>
      <c r="I130" s="140"/>
      <c r="J130" s="2"/>
      <c r="K130" s="2"/>
      <c r="L130" t="s">
        <v>181</v>
      </c>
    </row>
    <row r="131" spans="1:15">
      <c r="A131" s="99"/>
      <c r="B131" s="99"/>
      <c r="C131" s="99"/>
      <c r="D131" s="99"/>
      <c r="E131" s="99"/>
      <c r="F131" s="99"/>
      <c r="G131" s="99"/>
      <c r="H131" s="99"/>
      <c r="I131" s="140"/>
      <c r="J131" s="2"/>
      <c r="K131" s="2"/>
      <c r="L131">
        <f>7229-6675</f>
        <v>554</v>
      </c>
      <c r="M131" t="s">
        <v>2</v>
      </c>
      <c r="N131" t="s">
        <v>182</v>
      </c>
    </row>
    <row r="132" spans="1:15">
      <c r="A132" s="99"/>
      <c r="B132" s="99"/>
      <c r="C132" s="99"/>
      <c r="D132" s="99"/>
      <c r="E132" s="99"/>
      <c r="F132" s="99"/>
      <c r="G132" s="99"/>
      <c r="H132" s="99"/>
      <c r="I132" s="99"/>
      <c r="L132" t="s">
        <v>183</v>
      </c>
    </row>
    <row r="133" spans="1:15">
      <c r="A133" s="99"/>
      <c r="B133" s="99"/>
      <c r="C133" s="99"/>
      <c r="D133" s="139"/>
      <c r="E133" s="99"/>
      <c r="F133" s="99"/>
      <c r="G133" s="99"/>
      <c r="H133" s="99"/>
      <c r="I133" s="99"/>
    </row>
    <row r="134" spans="1:15">
      <c r="A134" s="99"/>
      <c r="B134" s="99"/>
      <c r="C134" s="99"/>
      <c r="D134" s="139"/>
      <c r="E134" s="99"/>
      <c r="F134" s="99"/>
      <c r="G134" s="99"/>
      <c r="H134" s="99"/>
      <c r="I134" s="99"/>
    </row>
    <row r="135" spans="1:15">
      <c r="A135" s="99"/>
      <c r="B135" s="99"/>
      <c r="C135" s="99"/>
      <c r="D135" s="139"/>
      <c r="E135" s="99"/>
      <c r="F135" s="99"/>
      <c r="G135" s="99"/>
      <c r="H135" s="99"/>
      <c r="I135" s="99"/>
    </row>
    <row r="136" spans="1:15">
      <c r="A136" s="99"/>
      <c r="B136" s="99"/>
      <c r="C136" s="99"/>
      <c r="D136" s="139"/>
      <c r="E136" s="99"/>
      <c r="F136" s="99"/>
      <c r="G136" s="99"/>
      <c r="H136" s="99"/>
      <c r="I136" s="99"/>
      <c r="L136">
        <v>6674</v>
      </c>
    </row>
    <row r="137" spans="1:15">
      <c r="A137" s="99"/>
      <c r="B137" s="99"/>
      <c r="C137" s="148"/>
      <c r="D137" s="99"/>
      <c r="E137" s="99"/>
      <c r="F137" s="99"/>
      <c r="G137" s="99"/>
      <c r="H137" s="99"/>
      <c r="I137" s="99"/>
    </row>
    <row r="138" spans="1:15">
      <c r="A138" s="99"/>
      <c r="B138" s="99"/>
      <c r="C138" s="148"/>
      <c r="D138" s="99"/>
      <c r="E138" s="99"/>
      <c r="F138" s="99"/>
      <c r="G138" s="99"/>
      <c r="H138" s="99"/>
      <c r="I138" s="99"/>
    </row>
    <row r="139" spans="1:15">
      <c r="A139" s="99"/>
      <c r="B139" s="99"/>
      <c r="C139" s="148"/>
      <c r="D139" s="99"/>
      <c r="E139" s="99"/>
      <c r="F139" s="99"/>
      <c r="G139" s="99"/>
      <c r="H139" s="99"/>
      <c r="I139" s="99"/>
    </row>
    <row r="140" spans="1:15">
      <c r="A140" s="99"/>
      <c r="B140" s="99"/>
      <c r="C140" s="99"/>
      <c r="D140" s="139"/>
      <c r="E140" s="99"/>
      <c r="F140" s="99"/>
      <c r="G140" s="99"/>
      <c r="H140" s="99"/>
      <c r="I140" s="99"/>
    </row>
    <row r="141" spans="1:15">
      <c r="A141" s="99"/>
      <c r="B141" s="99"/>
      <c r="C141" s="99"/>
      <c r="D141" s="139"/>
      <c r="E141" s="99"/>
      <c r="F141" s="99"/>
      <c r="G141" s="99"/>
      <c r="H141" s="99"/>
      <c r="I141" s="99"/>
    </row>
    <row r="142" spans="1:15">
      <c r="A142" s="99"/>
      <c r="B142" s="99"/>
      <c r="C142" s="99"/>
      <c r="D142" s="99"/>
      <c r="E142" s="99"/>
      <c r="F142" s="99"/>
      <c r="G142" s="99"/>
      <c r="H142" s="99"/>
      <c r="I142" s="99"/>
    </row>
    <row r="143" spans="1:15">
      <c r="A143" s="99"/>
      <c r="B143" s="99"/>
      <c r="C143" s="99"/>
      <c r="D143" s="99"/>
      <c r="E143" s="99"/>
      <c r="F143" s="99"/>
      <c r="G143" s="99"/>
      <c r="H143" s="99"/>
      <c r="I143" s="99"/>
    </row>
    <row r="144" spans="1:15">
      <c r="A144" s="99"/>
      <c r="B144" s="99"/>
      <c r="C144" s="99"/>
      <c r="D144" s="99"/>
      <c r="E144" s="99"/>
      <c r="F144" s="99"/>
      <c r="G144" s="99"/>
      <c r="H144" s="99"/>
      <c r="I144" s="99"/>
      <c r="O144">
        <f>R129-L136</f>
        <v>-6674</v>
      </c>
    </row>
    <row r="145" spans="1:9">
      <c r="A145" s="99"/>
      <c r="B145" s="99"/>
      <c r="C145" s="99"/>
      <c r="D145" s="99"/>
      <c r="E145" s="99"/>
      <c r="F145" s="99"/>
      <c r="G145" s="99"/>
      <c r="H145" s="99"/>
      <c r="I145" s="99"/>
    </row>
    <row r="146" spans="1:9">
      <c r="A146" s="99"/>
      <c r="B146" s="99"/>
      <c r="C146" s="99"/>
      <c r="D146" s="99"/>
      <c r="E146" s="99"/>
      <c r="F146" s="99"/>
      <c r="G146" s="99"/>
      <c r="H146" s="99"/>
      <c r="I146" s="99"/>
    </row>
    <row r="147" spans="1:9">
      <c r="A147" s="99"/>
      <c r="B147" s="99"/>
      <c r="C147" s="99"/>
      <c r="D147" s="99"/>
      <c r="E147" s="99"/>
      <c r="F147" s="99"/>
      <c r="G147" s="99"/>
      <c r="H147" s="99"/>
      <c r="I147" s="99"/>
    </row>
    <row r="148" spans="1:9">
      <c r="A148" s="99"/>
      <c r="B148" s="99"/>
      <c r="C148" s="99"/>
      <c r="D148" s="99"/>
      <c r="E148" s="99"/>
      <c r="F148" s="99"/>
      <c r="G148" s="99"/>
      <c r="H148" s="99"/>
      <c r="I148" s="99"/>
    </row>
    <row r="149" spans="1:9">
      <c r="A149" s="99"/>
      <c r="B149" s="99"/>
      <c r="C149" s="99"/>
      <c r="D149" s="99"/>
      <c r="E149" s="99"/>
      <c r="F149" s="99"/>
      <c r="G149" s="99"/>
      <c r="H149" s="99"/>
      <c r="I149" s="99"/>
    </row>
    <row r="150" spans="1:9">
      <c r="A150" s="99"/>
      <c r="B150" s="99"/>
      <c r="C150" s="99"/>
      <c r="D150" s="99"/>
      <c r="E150" s="99"/>
      <c r="F150" s="99"/>
      <c r="G150" s="99"/>
      <c r="H150" s="99"/>
      <c r="I150" s="99"/>
    </row>
    <row r="151" spans="1:9">
      <c r="A151" s="99"/>
      <c r="B151" s="99"/>
      <c r="C151" s="99"/>
      <c r="D151" s="99"/>
      <c r="E151" s="99"/>
      <c r="F151" s="99"/>
      <c r="G151" s="99"/>
      <c r="H151" s="99"/>
      <c r="I151" s="99"/>
    </row>
    <row r="152" spans="1:9">
      <c r="A152" s="99"/>
      <c r="B152" s="99"/>
      <c r="C152" s="99"/>
      <c r="D152" s="99"/>
      <c r="E152" s="99"/>
      <c r="F152" s="99"/>
      <c r="G152" s="99"/>
      <c r="H152" s="99"/>
      <c r="I152" s="99"/>
    </row>
    <row r="153" spans="1:9">
      <c r="A153" s="99"/>
      <c r="B153" s="99"/>
      <c r="C153" s="99"/>
      <c r="D153" s="99"/>
      <c r="E153" s="99"/>
      <c r="F153" s="99"/>
      <c r="G153" s="99"/>
      <c r="H153" s="99"/>
      <c r="I153" s="99"/>
    </row>
    <row r="154" spans="1:9">
      <c r="A154" s="99"/>
      <c r="B154" s="99"/>
      <c r="C154" s="99"/>
      <c r="D154" s="99"/>
      <c r="E154" s="99"/>
      <c r="F154" s="99"/>
      <c r="G154" s="99"/>
      <c r="H154" s="99"/>
      <c r="I154" s="99"/>
    </row>
    <row r="155" spans="1:9">
      <c r="A155" s="99"/>
      <c r="B155" s="99"/>
      <c r="C155" s="99"/>
      <c r="D155" s="99"/>
      <c r="E155" s="99"/>
      <c r="F155" s="99"/>
      <c r="G155" s="99"/>
      <c r="H155" s="99"/>
      <c r="I155" s="99"/>
    </row>
    <row r="156" spans="1:9">
      <c r="A156" s="99"/>
      <c r="B156" s="99"/>
      <c r="C156" s="99"/>
      <c r="D156" s="99"/>
      <c r="E156" s="99"/>
      <c r="F156" s="99"/>
      <c r="G156" s="99"/>
      <c r="H156" s="99"/>
      <c r="I156" s="99"/>
    </row>
    <row r="157" spans="1:9">
      <c r="A157" s="99"/>
      <c r="B157" s="99"/>
      <c r="C157" s="99"/>
      <c r="D157" s="99"/>
      <c r="E157" s="99"/>
      <c r="F157" s="99"/>
      <c r="G157" s="99"/>
      <c r="H157" s="99"/>
      <c r="I157" s="99"/>
    </row>
    <row r="158" spans="1:9">
      <c r="A158" s="99"/>
      <c r="B158" s="99"/>
      <c r="C158" s="148"/>
      <c r="D158" s="99"/>
      <c r="E158" s="99"/>
      <c r="F158" s="99"/>
      <c r="G158" s="99"/>
      <c r="H158" s="99"/>
      <c r="I158" s="99"/>
    </row>
    <row r="159" spans="1:9">
      <c r="A159" s="99"/>
      <c r="B159" s="99"/>
      <c r="C159" s="148"/>
      <c r="D159" s="99"/>
      <c r="E159" s="99"/>
      <c r="F159" s="99"/>
      <c r="G159" s="99"/>
      <c r="H159" s="99"/>
      <c r="I159" s="99"/>
    </row>
    <row r="160" spans="1:9">
      <c r="A160" s="99"/>
      <c r="B160" s="99"/>
      <c r="C160" s="148"/>
      <c r="D160" s="140"/>
      <c r="E160" s="99"/>
      <c r="F160" s="99"/>
      <c r="G160" s="99"/>
      <c r="H160" s="99"/>
      <c r="I160" s="99"/>
    </row>
    <row r="161" spans="1:14">
      <c r="A161" s="99"/>
      <c r="B161" s="99"/>
      <c r="C161" s="99"/>
      <c r="D161" s="99"/>
      <c r="E161" s="99"/>
      <c r="F161" s="99"/>
      <c r="G161" s="99"/>
      <c r="H161" s="99"/>
      <c r="I161" s="99"/>
    </row>
    <row r="162" spans="1:14">
      <c r="A162" s="99"/>
      <c r="B162" s="99"/>
      <c r="C162" s="99"/>
      <c r="D162" s="99"/>
      <c r="E162" s="99"/>
      <c r="F162" s="99"/>
      <c r="G162" s="99"/>
      <c r="H162" s="99"/>
      <c r="I162" s="99"/>
    </row>
    <row r="163" spans="1:14">
      <c r="A163" s="99"/>
      <c r="B163" s="99"/>
      <c r="C163" s="99"/>
      <c r="D163" s="99"/>
      <c r="E163" s="99"/>
      <c r="F163" s="99"/>
      <c r="G163" s="99"/>
      <c r="H163" s="99"/>
      <c r="I163" s="99"/>
    </row>
    <row r="164" spans="1:14">
      <c r="A164" s="99"/>
      <c r="B164" s="99"/>
      <c r="C164" s="99"/>
      <c r="D164" s="99"/>
      <c r="E164" s="99"/>
      <c r="F164" s="99"/>
      <c r="G164" s="99"/>
      <c r="H164" s="99"/>
      <c r="I164" s="99"/>
    </row>
    <row r="165" spans="1:14">
      <c r="A165" s="99"/>
      <c r="B165" s="99"/>
      <c r="C165" s="99"/>
      <c r="D165" s="99"/>
      <c r="E165" s="99"/>
      <c r="F165" s="99"/>
      <c r="G165" s="99"/>
      <c r="H165" s="99"/>
      <c r="I165" s="99"/>
    </row>
    <row r="166" spans="1:14">
      <c r="A166" s="99"/>
      <c r="B166" s="99"/>
      <c r="C166" s="99"/>
      <c r="D166" s="99"/>
      <c r="E166" s="99"/>
      <c r="F166" s="99"/>
      <c r="G166" s="99"/>
      <c r="H166" s="99"/>
      <c r="I166" s="99"/>
    </row>
    <row r="167" spans="1:14">
      <c r="A167" s="99"/>
      <c r="B167" s="99"/>
      <c r="C167" s="148"/>
      <c r="D167" s="99"/>
      <c r="E167" s="99"/>
      <c r="F167" s="99"/>
      <c r="G167" s="99"/>
      <c r="H167" s="99"/>
      <c r="I167" s="99"/>
    </row>
    <row r="168" spans="1:14">
      <c r="A168" s="99"/>
      <c r="B168" s="99"/>
      <c r="C168" s="148"/>
      <c r="D168" s="99"/>
      <c r="E168" s="99"/>
      <c r="F168" s="99"/>
      <c r="G168" s="99"/>
      <c r="H168" s="99"/>
      <c r="I168" s="99"/>
    </row>
    <row r="169" spans="1:14">
      <c r="A169" s="99"/>
      <c r="B169" s="99"/>
      <c r="C169" s="148"/>
      <c r="D169" s="136"/>
      <c r="E169" s="150"/>
      <c r="F169" s="99"/>
      <c r="G169" s="99"/>
      <c r="H169" s="99"/>
      <c r="I169" s="99"/>
    </row>
    <row r="170" spans="1:14">
      <c r="A170" s="99"/>
      <c r="B170" s="99"/>
      <c r="C170" s="99"/>
      <c r="D170" s="99"/>
      <c r="E170" s="99"/>
      <c r="F170" s="99"/>
      <c r="G170" s="99"/>
      <c r="H170" s="99"/>
      <c r="I170" s="99"/>
    </row>
    <row r="171" spans="1:14">
      <c r="A171" s="99"/>
      <c r="B171" s="99"/>
      <c r="C171" s="99"/>
      <c r="D171" s="99"/>
      <c r="E171" s="99"/>
      <c r="F171" s="99"/>
      <c r="G171" s="99"/>
      <c r="H171" s="99"/>
      <c r="I171" s="99"/>
    </row>
    <row r="172" spans="1:14">
      <c r="A172" s="99"/>
      <c r="B172" s="99"/>
      <c r="C172" s="99"/>
      <c r="D172" s="99"/>
      <c r="E172" s="99"/>
      <c r="F172" s="99"/>
      <c r="G172" s="99"/>
      <c r="H172" s="99"/>
      <c r="I172" s="99"/>
    </row>
    <row r="173" spans="1:14">
      <c r="A173" s="99"/>
      <c r="B173" s="99"/>
      <c r="C173" s="99"/>
      <c r="D173" s="99"/>
      <c r="E173" s="99"/>
      <c r="F173" s="99"/>
      <c r="G173" s="99"/>
      <c r="H173" s="99"/>
      <c r="I173" s="99"/>
    </row>
    <row r="174" spans="1:14">
      <c r="A174" s="99"/>
      <c r="B174" s="99"/>
      <c r="C174" s="140"/>
      <c r="D174" s="140"/>
      <c r="E174" s="140"/>
      <c r="F174" s="140"/>
      <c r="G174" s="145"/>
      <c r="H174" s="140"/>
      <c r="I174" s="140"/>
      <c r="L174" s="2"/>
    </row>
    <row r="175" spans="1:14">
      <c r="A175" s="99"/>
      <c r="B175" s="136"/>
      <c r="C175" s="99"/>
      <c r="D175" s="99"/>
      <c r="E175" s="99"/>
      <c r="F175" s="99"/>
      <c r="G175" s="149"/>
      <c r="H175" s="140"/>
      <c r="I175" s="140"/>
      <c r="K175" s="2"/>
      <c r="N175" s="2"/>
    </row>
    <row r="176" spans="1:14" ht="16">
      <c r="A176" s="99"/>
      <c r="B176" s="136"/>
      <c r="C176" s="99"/>
      <c r="D176" s="99"/>
      <c r="E176" s="99"/>
      <c r="F176" s="99"/>
      <c r="G176" s="149"/>
      <c r="H176" s="140"/>
      <c r="I176" s="140"/>
      <c r="J176" s="7"/>
      <c r="K176" s="2"/>
      <c r="N176" s="2"/>
    </row>
    <row r="177" spans="1:14" ht="16">
      <c r="A177" s="99"/>
      <c r="B177" s="99"/>
      <c r="C177" s="99"/>
      <c r="D177" s="99"/>
      <c r="E177" s="99"/>
      <c r="F177" s="99"/>
      <c r="G177" s="149"/>
      <c r="H177" s="140"/>
      <c r="I177" s="140"/>
      <c r="J177" s="7"/>
      <c r="K177" s="2"/>
      <c r="N177" s="2"/>
    </row>
    <row r="178" spans="1:14" ht="16">
      <c r="A178" s="99"/>
      <c r="B178" s="99"/>
      <c r="C178" s="99"/>
      <c r="D178" s="99"/>
      <c r="E178" s="99"/>
      <c r="F178" s="99"/>
      <c r="G178" s="149"/>
      <c r="H178" s="140"/>
      <c r="I178" s="140"/>
      <c r="J178" s="43"/>
      <c r="K178" s="2"/>
      <c r="N178" s="2"/>
    </row>
    <row r="179" spans="1:14">
      <c r="A179" s="99"/>
      <c r="B179" s="99"/>
      <c r="C179" s="99"/>
      <c r="D179" s="99"/>
      <c r="E179" s="99"/>
      <c r="F179" s="99"/>
      <c r="G179" s="149"/>
      <c r="H179" s="140"/>
      <c r="I179" s="140"/>
      <c r="K179" s="2"/>
      <c r="N179" s="2"/>
    </row>
    <row r="180" spans="1:14" ht="16">
      <c r="A180" s="99"/>
      <c r="B180" s="99"/>
      <c r="C180" s="99"/>
      <c r="D180" s="99"/>
      <c r="E180" s="99"/>
      <c r="F180" s="99"/>
      <c r="G180" s="149"/>
      <c r="H180" s="140"/>
      <c r="I180" s="140"/>
      <c r="J180" s="7"/>
      <c r="K180" s="2"/>
      <c r="N180" s="2"/>
    </row>
    <row r="181" spans="1:14" ht="16">
      <c r="A181" s="99"/>
      <c r="B181" s="140"/>
      <c r="C181" s="99"/>
      <c r="D181" s="99"/>
      <c r="E181" s="99"/>
      <c r="F181" s="99"/>
      <c r="G181" s="149"/>
      <c r="H181" s="140"/>
      <c r="I181" s="140"/>
      <c r="J181" s="7"/>
      <c r="K181" s="2"/>
      <c r="N181" s="2"/>
    </row>
    <row r="182" spans="1:14" ht="16">
      <c r="A182" s="99"/>
      <c r="B182" s="136"/>
      <c r="C182" s="99"/>
      <c r="D182" s="99"/>
      <c r="E182" s="99"/>
      <c r="F182" s="99"/>
      <c r="G182" s="149"/>
      <c r="H182" s="140"/>
      <c r="I182" s="140"/>
      <c r="J182" s="7"/>
      <c r="K182" s="2"/>
      <c r="N182" s="2"/>
    </row>
    <row r="183" spans="1:14" ht="16">
      <c r="A183" s="99"/>
      <c r="B183" s="99"/>
      <c r="C183" s="99"/>
      <c r="D183" s="99"/>
      <c r="E183" s="99"/>
      <c r="F183" s="99"/>
      <c r="G183" s="149"/>
      <c r="H183" s="140"/>
      <c r="I183" s="140"/>
      <c r="J183" s="7"/>
      <c r="K183" s="2"/>
      <c r="N183" s="2"/>
    </row>
    <row r="184" spans="1:14" ht="16">
      <c r="A184" s="99"/>
      <c r="B184" s="99"/>
      <c r="C184" s="99"/>
      <c r="D184" s="99"/>
      <c r="E184" s="99"/>
      <c r="F184" s="99"/>
      <c r="G184" s="149"/>
      <c r="H184" s="140"/>
      <c r="I184" s="140"/>
      <c r="J184" s="7"/>
      <c r="K184" s="2"/>
      <c r="N184" s="2"/>
    </row>
    <row r="185" spans="1:14">
      <c r="A185" s="99"/>
      <c r="B185" s="99"/>
      <c r="C185" s="99"/>
      <c r="D185" s="99"/>
      <c r="E185" s="99"/>
      <c r="F185" s="99"/>
      <c r="G185" s="99"/>
      <c r="H185" s="99"/>
      <c r="I185" s="99"/>
    </row>
    <row r="186" spans="1:14">
      <c r="A186" s="99"/>
      <c r="B186" s="99"/>
      <c r="C186" s="99"/>
      <c r="D186" s="99"/>
      <c r="E186" s="99"/>
      <c r="F186" s="99"/>
      <c r="G186" s="99"/>
      <c r="H186" s="99"/>
      <c r="I186" s="99"/>
    </row>
    <row r="187" spans="1:14">
      <c r="A187" s="99"/>
      <c r="B187" s="99"/>
      <c r="C187" s="99"/>
      <c r="D187" s="99"/>
      <c r="E187" s="99"/>
      <c r="F187" s="99"/>
      <c r="G187" s="99"/>
      <c r="H187" s="99"/>
      <c r="I187" s="99"/>
    </row>
    <row r="188" spans="1:14">
      <c r="A188" s="99"/>
      <c r="B188" s="136"/>
      <c r="C188" s="99"/>
      <c r="D188" s="99"/>
      <c r="E188" s="99"/>
      <c r="F188" s="99"/>
      <c r="G188" s="99"/>
      <c r="H188" s="99"/>
      <c r="I188" s="99"/>
    </row>
    <row r="189" spans="1:14">
      <c r="A189" s="99"/>
      <c r="B189" s="136"/>
      <c r="C189" s="99"/>
      <c r="D189" s="99"/>
      <c r="E189" s="99"/>
      <c r="F189" s="99"/>
      <c r="G189" s="99"/>
      <c r="H189" s="99"/>
      <c r="I189" s="99"/>
    </row>
    <row r="190" spans="1:14">
      <c r="A190" s="99"/>
      <c r="B190" s="99"/>
      <c r="C190" s="99"/>
      <c r="D190" s="99"/>
      <c r="E190" s="99"/>
      <c r="F190" s="99"/>
      <c r="G190" s="99"/>
      <c r="H190" s="99"/>
      <c r="I190" s="99"/>
    </row>
    <row r="191" spans="1:14">
      <c r="A191" s="99"/>
      <c r="B191" s="99"/>
      <c r="C191" s="99"/>
      <c r="D191" s="136"/>
      <c r="E191" s="150"/>
      <c r="F191" s="99"/>
      <c r="G191" s="99"/>
      <c r="H191" s="99"/>
      <c r="I191" s="99"/>
    </row>
    <row r="192" spans="1:14">
      <c r="A192" s="99"/>
      <c r="B192" s="99"/>
      <c r="C192" s="99"/>
      <c r="D192" s="99"/>
      <c r="E192" s="99"/>
      <c r="F192" s="99"/>
      <c r="G192" s="99"/>
      <c r="H192" s="99"/>
      <c r="I192" s="99"/>
    </row>
    <row r="193" spans="1:14">
      <c r="A193" s="99"/>
      <c r="B193" s="99"/>
      <c r="C193" s="99"/>
      <c r="D193" s="99"/>
      <c r="E193" s="99"/>
      <c r="F193" s="99"/>
      <c r="G193" s="99"/>
      <c r="H193" s="99"/>
      <c r="I193" s="99"/>
    </row>
    <row r="194" spans="1:14">
      <c r="A194" s="99"/>
      <c r="B194" s="99"/>
      <c r="C194" s="140"/>
      <c r="D194" s="140"/>
      <c r="E194" s="140"/>
      <c r="F194" s="140"/>
      <c r="G194" s="145"/>
      <c r="H194" s="140"/>
      <c r="I194" s="140"/>
      <c r="L194" s="2"/>
    </row>
    <row r="195" spans="1:14">
      <c r="A195" s="99"/>
      <c r="B195" s="99"/>
      <c r="C195" s="99"/>
      <c r="D195" s="99"/>
      <c r="E195" s="99"/>
      <c r="F195" s="99"/>
      <c r="G195" s="149"/>
      <c r="H195" s="140"/>
      <c r="I195" s="140"/>
      <c r="K195" s="2"/>
      <c r="N195" s="2"/>
    </row>
    <row r="196" spans="1:14" ht="16">
      <c r="A196" s="99"/>
      <c r="B196" s="99"/>
      <c r="C196" s="99"/>
      <c r="D196" s="99"/>
      <c r="E196" s="99"/>
      <c r="F196" s="99"/>
      <c r="G196" s="149"/>
      <c r="H196" s="140"/>
      <c r="I196" s="140"/>
      <c r="J196" s="7"/>
      <c r="K196" s="2"/>
      <c r="N196" s="2"/>
    </row>
    <row r="197" spans="1:14" ht="16">
      <c r="A197" s="99"/>
      <c r="B197" s="99"/>
      <c r="C197" s="99"/>
      <c r="D197" s="99"/>
      <c r="E197" s="99"/>
      <c r="F197" s="99"/>
      <c r="G197" s="149"/>
      <c r="H197" s="140"/>
      <c r="I197" s="140"/>
      <c r="J197" s="7"/>
      <c r="K197" s="2"/>
      <c r="N197" s="2"/>
    </row>
    <row r="198" spans="1:14" ht="16">
      <c r="A198" s="99"/>
      <c r="B198" s="136"/>
      <c r="C198" s="99"/>
      <c r="D198" s="99"/>
      <c r="E198" s="99"/>
      <c r="F198" s="99"/>
      <c r="G198" s="149"/>
      <c r="H198" s="140"/>
      <c r="I198" s="140"/>
      <c r="J198" s="43"/>
      <c r="K198" s="2"/>
      <c r="N198" s="2"/>
    </row>
    <row r="199" spans="1:14">
      <c r="A199" s="99"/>
      <c r="B199" s="136"/>
      <c r="C199" s="99"/>
      <c r="D199" s="99"/>
      <c r="E199" s="99"/>
      <c r="F199" s="99"/>
      <c r="G199" s="149"/>
      <c r="H199" s="140"/>
      <c r="I199" s="140"/>
      <c r="K199" s="2"/>
      <c r="N199" s="2"/>
    </row>
    <row r="200" spans="1:14" ht="16">
      <c r="A200" s="99"/>
      <c r="B200" s="136"/>
      <c r="C200" s="99"/>
      <c r="D200" s="99"/>
      <c r="E200" s="99"/>
      <c r="F200" s="99"/>
      <c r="G200" s="149"/>
      <c r="H200" s="140"/>
      <c r="I200" s="140"/>
      <c r="J200" s="7"/>
      <c r="K200" s="2"/>
      <c r="N200" s="2"/>
    </row>
    <row r="201" spans="1:14" ht="16">
      <c r="A201" s="99"/>
      <c r="B201" s="140"/>
      <c r="C201" s="99"/>
      <c r="D201" s="99"/>
      <c r="E201" s="99"/>
      <c r="F201" s="99"/>
      <c r="G201" s="149"/>
      <c r="H201" s="140"/>
      <c r="I201" s="140"/>
      <c r="J201" s="7"/>
      <c r="K201" s="2"/>
      <c r="N201" s="2"/>
    </row>
    <row r="202" spans="1:14" ht="16">
      <c r="A202" s="99"/>
      <c r="B202" s="136"/>
      <c r="C202" s="99"/>
      <c r="D202" s="99"/>
      <c r="E202" s="99"/>
      <c r="F202" s="99"/>
      <c r="G202" s="149"/>
      <c r="H202" s="140"/>
      <c r="I202" s="140"/>
      <c r="J202" s="7"/>
      <c r="K202" s="2"/>
      <c r="N202" s="2"/>
    </row>
    <row r="203" spans="1:14" ht="16">
      <c r="A203" s="99"/>
      <c r="B203" s="99"/>
      <c r="C203" s="99"/>
      <c r="D203" s="99"/>
      <c r="E203" s="99"/>
      <c r="F203" s="99"/>
      <c r="G203" s="149"/>
      <c r="H203" s="140"/>
      <c r="I203" s="140"/>
      <c r="J203" s="7"/>
      <c r="K203" s="2"/>
      <c r="N203" s="2"/>
    </row>
    <row r="204" spans="1:14" ht="16">
      <c r="A204" s="99"/>
      <c r="B204" s="99"/>
      <c r="C204" s="99"/>
      <c r="D204" s="99"/>
      <c r="E204" s="99"/>
      <c r="F204" s="99"/>
      <c r="G204" s="149"/>
      <c r="H204" s="140"/>
      <c r="I204" s="140"/>
      <c r="J204" s="7"/>
      <c r="K204" s="2"/>
      <c r="N204" s="2"/>
    </row>
    <row r="205" spans="1:14">
      <c r="A205" s="99"/>
      <c r="B205" s="99"/>
      <c r="C205" s="99"/>
      <c r="D205" s="99"/>
      <c r="E205" s="99"/>
      <c r="F205" s="99"/>
      <c r="G205" s="99"/>
      <c r="H205" s="99"/>
      <c r="I205" s="99"/>
    </row>
    <row r="208" spans="1:14">
      <c r="B208" s="13"/>
    </row>
    <row r="209" spans="2:2">
      <c r="B209" s="1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DB471-181C-C449-B741-D516AB721EB3}">
  <dimension ref="A4:N40"/>
  <sheetViews>
    <sheetView topLeftCell="A2" workbookViewId="0">
      <selection activeCell="F18" sqref="F18"/>
    </sheetView>
  </sheetViews>
  <sheetFormatPr baseColWidth="10" defaultRowHeight="15"/>
  <cols>
    <col min="1" max="1" width="17.6640625" customWidth="1"/>
    <col min="2" max="2" width="27.6640625" customWidth="1"/>
    <col min="3" max="3" width="19.1640625" customWidth="1"/>
    <col min="5" max="5" width="13.33203125" customWidth="1"/>
    <col min="6" max="6" width="32.33203125" customWidth="1"/>
    <col min="8" max="8" width="13.5" customWidth="1"/>
    <col min="9" max="9" width="26.33203125" customWidth="1"/>
    <col min="10" max="10" width="10.83203125" customWidth="1"/>
    <col min="11" max="11" width="19.1640625" customWidth="1"/>
  </cols>
  <sheetData>
    <row r="4" spans="1:14" ht="28">
      <c r="A4" s="347" t="s">
        <v>434</v>
      </c>
      <c r="B4" s="347"/>
      <c r="C4" s="347"/>
      <c r="D4" s="13"/>
      <c r="E4" s="13"/>
      <c r="F4" s="13"/>
    </row>
    <row r="6" spans="1:14">
      <c r="A6" s="51" t="s">
        <v>337</v>
      </c>
      <c r="B6" s="51"/>
      <c r="C6" s="51"/>
      <c r="D6" s="51"/>
    </row>
    <row r="8" spans="1:14">
      <c r="A8" s="73" t="s">
        <v>339</v>
      </c>
      <c r="B8" s="90">
        <f>'V5 Ark 4,Sonepriser'!B74</f>
        <v>6546.6194278974235</v>
      </c>
      <c r="C8" s="74"/>
      <c r="J8" s="99"/>
      <c r="K8" s="99"/>
      <c r="L8" s="99"/>
      <c r="M8" s="99"/>
      <c r="N8" s="99"/>
    </row>
    <row r="9" spans="1:14">
      <c r="A9" s="73" t="s">
        <v>338</v>
      </c>
      <c r="B9" s="74">
        <v>120</v>
      </c>
      <c r="C9" s="74" t="s">
        <v>146</v>
      </c>
      <c r="J9" s="102"/>
      <c r="K9" s="99"/>
      <c r="L9" s="99"/>
      <c r="M9" s="99"/>
      <c r="N9" s="99"/>
    </row>
    <row r="10" spans="1:14">
      <c r="J10" s="268"/>
      <c r="K10" s="99"/>
      <c r="L10" s="99"/>
      <c r="M10" s="99"/>
      <c r="N10" s="99"/>
    </row>
    <row r="11" spans="1:14">
      <c r="J11" s="268"/>
      <c r="K11" s="99"/>
      <c r="L11" s="99"/>
      <c r="M11" s="99"/>
      <c r="N11" s="99"/>
    </row>
    <row r="12" spans="1:14">
      <c r="A12" s="366" t="s">
        <v>161</v>
      </c>
      <c r="B12" s="366" t="s">
        <v>340</v>
      </c>
      <c r="C12" s="366" t="s">
        <v>175</v>
      </c>
      <c r="H12" s="99"/>
      <c r="I12" s="99"/>
      <c r="J12" s="268"/>
      <c r="K12" s="99"/>
      <c r="L12" s="99"/>
      <c r="M12" s="99"/>
      <c r="N12" s="99"/>
    </row>
    <row r="13" spans="1:14">
      <c r="A13" s="34">
        <f>0.1</f>
        <v>0.1</v>
      </c>
      <c r="B13" s="33">
        <f>B9*A13</f>
        <v>12</v>
      </c>
      <c r="C13" s="44">
        <f>B8/B13</f>
        <v>545.55161899145196</v>
      </c>
      <c r="H13" s="102"/>
      <c r="I13" s="102"/>
      <c r="J13" s="99"/>
      <c r="K13" s="99"/>
      <c r="L13" s="99"/>
      <c r="M13" s="99"/>
      <c r="N13" s="99"/>
    </row>
    <row r="14" spans="1:14">
      <c r="A14" s="34">
        <v>0.2</v>
      </c>
      <c r="B14" s="33">
        <f>B9*A14</f>
        <v>24</v>
      </c>
      <c r="C14" s="44">
        <f>B8/B14</f>
        <v>272.77580949572598</v>
      </c>
      <c r="H14" s="228"/>
      <c r="I14" s="102"/>
      <c r="J14" s="99"/>
      <c r="K14" s="99"/>
      <c r="L14" s="99"/>
      <c r="M14" s="99"/>
      <c r="N14" s="99"/>
    </row>
    <row r="15" spans="1:14">
      <c r="A15" s="34">
        <v>0.3</v>
      </c>
      <c r="B15" s="33">
        <f>B9*A15</f>
        <v>36</v>
      </c>
      <c r="C15" s="44">
        <f>B8/B15</f>
        <v>181.85053966381733</v>
      </c>
      <c r="H15" s="226"/>
      <c r="I15" s="102"/>
      <c r="J15" s="99"/>
      <c r="K15" s="99"/>
      <c r="L15" s="99"/>
      <c r="M15" s="99"/>
      <c r="N15" s="99"/>
    </row>
    <row r="16" spans="1:14">
      <c r="A16" s="34">
        <v>0.4</v>
      </c>
      <c r="B16" s="33">
        <f>B9*A16</f>
        <v>48</v>
      </c>
      <c r="C16" s="44">
        <f>B8/B16</f>
        <v>136.38790474786299</v>
      </c>
      <c r="H16" s="226"/>
      <c r="I16" s="102"/>
      <c r="J16" s="99"/>
      <c r="K16" s="99"/>
      <c r="L16" s="99"/>
      <c r="M16" s="99"/>
      <c r="N16" s="99"/>
    </row>
    <row r="17" spans="1:14">
      <c r="A17" s="34">
        <v>0.5</v>
      </c>
      <c r="B17" s="33">
        <f>B9*A17</f>
        <v>60</v>
      </c>
      <c r="C17" s="44">
        <f>B8/B17</f>
        <v>109.11032379829039</v>
      </c>
      <c r="H17" s="99"/>
      <c r="I17" s="99"/>
      <c r="J17" s="99"/>
      <c r="K17" s="102"/>
      <c r="L17" s="102"/>
      <c r="M17" s="102"/>
      <c r="N17" s="99"/>
    </row>
    <row r="18" spans="1:14">
      <c r="A18" s="34">
        <v>0.6</v>
      </c>
      <c r="B18" s="33">
        <f>B9*A18</f>
        <v>72</v>
      </c>
      <c r="C18" s="44">
        <f>B8/B18</f>
        <v>90.925269831908665</v>
      </c>
      <c r="H18" s="99"/>
      <c r="I18" s="99"/>
      <c r="J18" s="99"/>
      <c r="K18" s="102"/>
      <c r="L18" s="102"/>
      <c r="M18" s="102"/>
      <c r="N18" s="99"/>
    </row>
    <row r="19" spans="1:14">
      <c r="A19" s="34">
        <v>0.7</v>
      </c>
      <c r="B19" s="33">
        <f>B9*A19</f>
        <v>84</v>
      </c>
      <c r="C19" s="44">
        <f>B8/B19</f>
        <v>77.935945570207423</v>
      </c>
      <c r="H19" s="99"/>
      <c r="I19" s="99"/>
      <c r="J19" s="99"/>
      <c r="K19" s="102"/>
      <c r="L19" s="102"/>
      <c r="M19" s="102"/>
      <c r="N19" s="99"/>
    </row>
    <row r="20" spans="1:14">
      <c r="A20" s="34">
        <v>0.8</v>
      </c>
      <c r="B20" s="33">
        <f>B9*A20</f>
        <v>96</v>
      </c>
      <c r="C20" s="44">
        <f>B8/B20</f>
        <v>68.193952373931495</v>
      </c>
      <c r="H20" s="99"/>
      <c r="I20" s="99"/>
      <c r="J20" s="99"/>
      <c r="K20" s="102"/>
      <c r="L20" s="102"/>
      <c r="M20" s="102"/>
      <c r="N20" s="99"/>
    </row>
    <row r="21" spans="1:14">
      <c r="A21" s="34">
        <v>0.9</v>
      </c>
      <c r="B21" s="33">
        <f>B9*A21</f>
        <v>108</v>
      </c>
      <c r="C21" s="44">
        <f>B8/B21</f>
        <v>60.616846554605772</v>
      </c>
      <c r="H21" s="99"/>
      <c r="I21" s="99"/>
      <c r="J21" s="99"/>
      <c r="K21" s="99"/>
      <c r="L21" s="99"/>
      <c r="M21" s="99"/>
      <c r="N21" s="99"/>
    </row>
    <row r="22" spans="1:14">
      <c r="A22" s="34">
        <v>1</v>
      </c>
      <c r="B22" s="33">
        <f>B9*A22</f>
        <v>120</v>
      </c>
      <c r="C22" s="44">
        <f>B8/B22</f>
        <v>54.555161899145197</v>
      </c>
      <c r="H22" s="99"/>
      <c r="I22" s="99"/>
    </row>
    <row r="23" spans="1:14">
      <c r="H23" s="99"/>
      <c r="I23" s="99"/>
    </row>
    <row r="24" spans="1:14">
      <c r="H24" s="99"/>
      <c r="I24" s="99"/>
    </row>
    <row r="25" spans="1:14">
      <c r="H25" s="99"/>
      <c r="I25" s="99"/>
    </row>
    <row r="26" spans="1:14" ht="18">
      <c r="A26" s="141" t="s">
        <v>435</v>
      </c>
      <c r="B26" s="363" t="s">
        <v>436</v>
      </c>
      <c r="C26" s="141"/>
      <c r="D26" s="141"/>
      <c r="E26" s="141"/>
      <c r="F26" s="141"/>
      <c r="G26" s="141"/>
      <c r="H26" s="141"/>
      <c r="I26" s="141"/>
      <c r="J26" s="116"/>
      <c r="K26" s="116"/>
    </row>
    <row r="29" spans="1:14">
      <c r="A29" s="33" t="s">
        <v>174</v>
      </c>
      <c r="B29" s="331">
        <v>0.48</v>
      </c>
    </row>
    <row r="30" spans="1:14">
      <c r="A30" s="33" t="s">
        <v>175</v>
      </c>
      <c r="B30" s="36">
        <f>'V5 Ark 4,Sonepriser'!C74</f>
        <v>62.707082642695624</v>
      </c>
    </row>
    <row r="31" spans="1:14">
      <c r="A31" s="332" t="s">
        <v>327</v>
      </c>
      <c r="B31" s="365">
        <v>0.1</v>
      </c>
    </row>
    <row r="32" spans="1:14">
      <c r="A32" s="33" t="s">
        <v>326</v>
      </c>
      <c r="B32" s="33">
        <f>B9*B31</f>
        <v>12</v>
      </c>
    </row>
    <row r="33" spans="1:5">
      <c r="A33" s="33" t="s">
        <v>25</v>
      </c>
      <c r="B33" s="44">
        <f>B30*B32</f>
        <v>752.48499171234744</v>
      </c>
    </row>
    <row r="34" spans="1:5">
      <c r="E34" s="32"/>
    </row>
    <row r="35" spans="1:5">
      <c r="E35" s="32"/>
    </row>
    <row r="36" spans="1:5">
      <c r="E36" s="32"/>
    </row>
    <row r="37" spans="1:5">
      <c r="A37" s="340" t="s">
        <v>161</v>
      </c>
      <c r="B37" s="340" t="s">
        <v>326</v>
      </c>
      <c r="C37" s="340" t="s">
        <v>25</v>
      </c>
      <c r="E37" s="32"/>
    </row>
    <row r="38" spans="1:5">
      <c r="A38" s="331">
        <v>0.87</v>
      </c>
      <c r="B38" s="33">
        <f>B9*A38</f>
        <v>104.4</v>
      </c>
      <c r="C38" s="364">
        <f>B38*B30</f>
        <v>6546.6194278974235</v>
      </c>
    </row>
    <row r="39" spans="1:5">
      <c r="A39" s="331">
        <v>0.1</v>
      </c>
      <c r="B39" s="33">
        <f>B9*A39</f>
        <v>12</v>
      </c>
      <c r="C39" s="364">
        <f>B39*B30</f>
        <v>752.48499171234744</v>
      </c>
    </row>
    <row r="40" spans="1:5">
      <c r="A40" s="331">
        <v>1</v>
      </c>
      <c r="B40" s="33">
        <f>B9*A40</f>
        <v>120</v>
      </c>
      <c r="C40" s="364">
        <f>B40*B30</f>
        <v>7524.8499171234753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C4B3-68C8-A444-ACE3-A4A827A4F59E}">
  <dimension ref="A3:R97"/>
  <sheetViews>
    <sheetView topLeftCell="A13" workbookViewId="0">
      <selection activeCell="J51" sqref="J51"/>
    </sheetView>
  </sheetViews>
  <sheetFormatPr baseColWidth="10" defaultRowHeight="15"/>
  <cols>
    <col min="1" max="1" width="19.33203125" customWidth="1"/>
    <col min="2" max="2" width="15.83203125" customWidth="1"/>
    <col min="3" max="3" width="11" customWidth="1"/>
    <col min="4" max="4" width="12.33203125" customWidth="1"/>
    <col min="5" max="5" width="9.33203125" customWidth="1"/>
    <col min="6" max="6" width="13.33203125" customWidth="1"/>
    <col min="7" max="7" width="12.33203125" customWidth="1"/>
    <col min="8" max="8" width="22.6640625" customWidth="1"/>
    <col min="9" max="9" width="13.5" customWidth="1"/>
    <col min="10" max="10" width="12.6640625" customWidth="1"/>
    <col min="11" max="11" width="12.83203125" customWidth="1"/>
    <col min="12" max="12" width="10.5" customWidth="1"/>
    <col min="13" max="13" width="14.33203125" customWidth="1"/>
    <col min="14" max="14" width="13.83203125" customWidth="1"/>
  </cols>
  <sheetData>
    <row r="3" spans="1:8" ht="28">
      <c r="A3" s="347" t="s">
        <v>437</v>
      </c>
      <c r="B3" s="347"/>
      <c r="C3" s="347"/>
      <c r="D3" s="347"/>
      <c r="E3" s="347"/>
    </row>
    <row r="5" spans="1:8">
      <c r="A5" s="51" t="s">
        <v>341</v>
      </c>
      <c r="B5" s="51"/>
      <c r="C5" s="51"/>
      <c r="D5" s="51"/>
      <c r="E5" s="51"/>
      <c r="F5" s="51"/>
    </row>
    <row r="7" spans="1:8">
      <c r="A7" s="1" t="s">
        <v>174</v>
      </c>
      <c r="B7" s="1"/>
      <c r="C7" s="281">
        <v>0.1</v>
      </c>
      <c r="G7" s="99"/>
      <c r="H7" s="139"/>
    </row>
    <row r="8" spans="1:8">
      <c r="A8" t="s">
        <v>352</v>
      </c>
      <c r="C8">
        <f>'V5 Ark 4,Sonepriser'!F8</f>
        <v>50</v>
      </c>
      <c r="G8" s="99"/>
      <c r="H8" s="99"/>
    </row>
    <row r="9" spans="1:8">
      <c r="A9" t="s">
        <v>344</v>
      </c>
      <c r="C9">
        <f>C8*C7</f>
        <v>5</v>
      </c>
      <c r="G9" s="99"/>
      <c r="H9" s="99"/>
    </row>
    <row r="10" spans="1:8">
      <c r="A10" t="s">
        <v>342</v>
      </c>
      <c r="C10">
        <f>'V5 Ark 4,Sonepriser'!F18</f>
        <v>252</v>
      </c>
      <c r="G10" s="99"/>
      <c r="H10" s="99"/>
    </row>
    <row r="11" spans="1:8">
      <c r="A11" s="262" t="s">
        <v>345</v>
      </c>
      <c r="B11" s="262"/>
      <c r="C11" s="262">
        <f>C10+C9</f>
        <v>257</v>
      </c>
      <c r="F11" s="99"/>
      <c r="G11" s="99"/>
      <c r="H11" s="99"/>
    </row>
    <row r="12" spans="1:8">
      <c r="F12" s="99"/>
      <c r="G12" s="99"/>
      <c r="H12" s="99"/>
    </row>
    <row r="13" spans="1:8">
      <c r="A13" t="s">
        <v>343</v>
      </c>
      <c r="C13" s="2">
        <f>'V5 Ark 4,Sonepriser'!J18</f>
        <v>56.123015061580872</v>
      </c>
      <c r="F13" s="99"/>
      <c r="G13" s="99"/>
      <c r="H13" s="140"/>
    </row>
    <row r="14" spans="1:8">
      <c r="A14" t="s">
        <v>154</v>
      </c>
      <c r="C14" s="19">
        <f>C11/C13</f>
        <v>4.5792265386670197</v>
      </c>
      <c r="F14" s="99"/>
      <c r="G14" s="99"/>
      <c r="H14" s="150"/>
    </row>
    <row r="15" spans="1:8">
      <c r="F15" s="99"/>
      <c r="G15" s="99"/>
      <c r="H15" s="99"/>
    </row>
    <row r="16" spans="1:8">
      <c r="A16" t="s">
        <v>161</v>
      </c>
      <c r="C16" s="32">
        <v>0.87</v>
      </c>
      <c r="F16" s="99"/>
      <c r="G16" s="99"/>
      <c r="H16" s="148"/>
    </row>
    <row r="17" spans="1:8">
      <c r="A17" t="s">
        <v>162</v>
      </c>
      <c r="C17">
        <v>120</v>
      </c>
      <c r="F17" s="99"/>
      <c r="G17" s="99"/>
      <c r="H17" s="99"/>
    </row>
    <row r="18" spans="1:8">
      <c r="A18" t="s">
        <v>164</v>
      </c>
      <c r="C18">
        <f>C17*C16</f>
        <v>104.4</v>
      </c>
      <c r="F18" s="99"/>
      <c r="G18" s="99"/>
      <c r="H18" s="99"/>
    </row>
    <row r="19" spans="1:8">
      <c r="F19" s="99"/>
      <c r="G19" s="99"/>
      <c r="H19" s="99"/>
    </row>
    <row r="20" spans="1:8">
      <c r="A20" t="s">
        <v>347</v>
      </c>
      <c r="C20" s="2">
        <f>'V5 Ark 4,Sonepriser'!C37</f>
        <v>14.620000000000001</v>
      </c>
      <c r="F20" s="99"/>
      <c r="G20" s="99"/>
      <c r="H20" s="140"/>
    </row>
    <row r="21" spans="1:8">
      <c r="A21" t="s">
        <v>348</v>
      </c>
      <c r="C21" s="2">
        <f>'V5 Ark 4,Sonepriser'!E49</f>
        <v>0.5</v>
      </c>
      <c r="F21" s="99"/>
      <c r="G21" s="99"/>
      <c r="H21" s="140"/>
    </row>
    <row r="22" spans="1:8">
      <c r="A22" t="s">
        <v>118</v>
      </c>
      <c r="C22" s="2">
        <f>'V5 Ark 4,Sonepriser'!E51</f>
        <v>0.5</v>
      </c>
      <c r="F22" s="99"/>
      <c r="G22" s="99"/>
      <c r="H22" s="140"/>
    </row>
    <row r="23" spans="1:8">
      <c r="A23" t="s">
        <v>119</v>
      </c>
      <c r="C23" s="2">
        <f>'V5 Ark 4,Sonepriser'!E50</f>
        <v>0.5</v>
      </c>
      <c r="F23" s="99"/>
      <c r="G23" s="99"/>
      <c r="H23" s="140"/>
    </row>
    <row r="24" spans="1:8">
      <c r="A24" t="s">
        <v>349</v>
      </c>
      <c r="C24" s="2">
        <f>'V5 Ark 4,Sonepriser'!E52</f>
        <v>0</v>
      </c>
      <c r="F24" s="99"/>
      <c r="G24" s="99"/>
      <c r="H24" s="140"/>
    </row>
    <row r="25" spans="1:8">
      <c r="A25" t="s">
        <v>150</v>
      </c>
      <c r="C25">
        <f>'V5 Ark 4,Sonepriser'!C40</f>
        <v>190</v>
      </c>
      <c r="F25" s="99"/>
      <c r="G25" s="99"/>
      <c r="H25" s="99"/>
    </row>
    <row r="26" spans="1:8">
      <c r="A26" t="s">
        <v>189</v>
      </c>
      <c r="C26" s="55">
        <f>'V5 Ark 4,Sonepriser'!C41</f>
        <v>192</v>
      </c>
      <c r="F26" s="99"/>
      <c r="G26" s="99"/>
      <c r="H26" s="267"/>
    </row>
    <row r="27" spans="1:8">
      <c r="F27" s="99"/>
      <c r="G27" s="99"/>
      <c r="H27" s="99"/>
    </row>
    <row r="28" spans="1:8">
      <c r="A28" t="s">
        <v>350</v>
      </c>
      <c r="C28" s="2">
        <f>'V5  Ark 1, Bil 1'!B125</f>
        <v>361.73</v>
      </c>
      <c r="F28" s="99"/>
      <c r="G28" s="99"/>
      <c r="H28" s="140"/>
    </row>
    <row r="29" spans="1:8">
      <c r="F29" s="99"/>
    </row>
    <row r="30" spans="1:8">
      <c r="F30" s="99"/>
    </row>
    <row r="31" spans="1:8">
      <c r="F31" s="99"/>
    </row>
    <row r="32" spans="1:8">
      <c r="A32" s="285"/>
      <c r="B32" s="192"/>
      <c r="C32" s="286"/>
      <c r="F32" s="99"/>
    </row>
    <row r="33" spans="1:10">
      <c r="A33" s="196" t="s">
        <v>351</v>
      </c>
      <c r="B33" s="60"/>
      <c r="C33" s="224">
        <f>'V5 Ark 4,Sonepriser'!D74</f>
        <v>23.719635608323998</v>
      </c>
    </row>
    <row r="34" spans="1:10">
      <c r="A34" s="194"/>
      <c r="B34" s="60"/>
      <c r="C34" s="195"/>
    </row>
    <row r="35" spans="1:10">
      <c r="A35" s="196" t="s">
        <v>175</v>
      </c>
      <c r="B35" s="60"/>
      <c r="C35" s="224">
        <f>'V5 Ark 4,Sonepriser'!C74</f>
        <v>62.707082642695624</v>
      </c>
      <c r="G35" s="99"/>
    </row>
    <row r="36" spans="1:10">
      <c r="A36" s="194"/>
      <c r="B36" s="60"/>
      <c r="C36" s="195"/>
      <c r="G36" s="99"/>
    </row>
    <row r="37" spans="1:10">
      <c r="A37" s="197" t="s">
        <v>395</v>
      </c>
      <c r="B37" s="198"/>
      <c r="C37" s="287">
        <f>C11*B49</f>
        <v>6096.04</v>
      </c>
      <c r="G37" s="99"/>
    </row>
    <row r="44" spans="1:10" ht="16">
      <c r="A44" s="116" t="s">
        <v>435</v>
      </c>
      <c r="B44" s="368" t="s">
        <v>450</v>
      </c>
      <c r="C44" s="116"/>
      <c r="D44" s="116"/>
      <c r="E44" s="116"/>
      <c r="F44" s="116"/>
      <c r="G44" s="116"/>
      <c r="H44" s="100"/>
      <c r="I44" s="116"/>
      <c r="J44" s="116"/>
    </row>
    <row r="45" spans="1:10">
      <c r="A45" s="102"/>
      <c r="B45" s="102"/>
      <c r="C45" s="102"/>
      <c r="D45" s="102"/>
      <c r="E45" s="102"/>
      <c r="F45" s="99"/>
      <c r="G45" s="99"/>
    </row>
    <row r="47" spans="1:10">
      <c r="A47" s="226"/>
      <c r="B47" s="102"/>
      <c r="C47" s="102"/>
      <c r="D47" s="102"/>
      <c r="E47" s="102"/>
      <c r="F47" s="99"/>
      <c r="G47" s="99"/>
    </row>
    <row r="48" spans="1:10">
      <c r="A48" s="226"/>
      <c r="B48" s="102"/>
      <c r="C48" s="102"/>
      <c r="D48" s="102"/>
      <c r="E48" s="102"/>
      <c r="F48" s="99"/>
      <c r="G48" s="99"/>
    </row>
    <row r="49" spans="1:18">
      <c r="A49" s="74" t="s">
        <v>176</v>
      </c>
      <c r="B49" s="74">
        <v>23.72</v>
      </c>
      <c r="C49" s="81"/>
      <c r="D49" s="81"/>
      <c r="E49" s="81"/>
    </row>
    <row r="50" spans="1:18">
      <c r="A50" s="81"/>
      <c r="B50" s="81"/>
      <c r="C50" s="81"/>
      <c r="D50" s="81"/>
      <c r="E50" s="81"/>
    </row>
    <row r="51" spans="1:18">
      <c r="A51" s="73" t="s">
        <v>329</v>
      </c>
      <c r="B51" s="73" t="s">
        <v>178</v>
      </c>
      <c r="C51" s="73" t="s">
        <v>392</v>
      </c>
      <c r="D51" s="73" t="s">
        <v>353</v>
      </c>
      <c r="E51" s="73" t="s">
        <v>383</v>
      </c>
      <c r="F51" s="73" t="s">
        <v>384</v>
      </c>
      <c r="I51" s="102"/>
      <c r="J51" s="102"/>
      <c r="K51" s="102"/>
    </row>
    <row r="52" spans="1:18">
      <c r="A52" s="166">
        <v>0.48</v>
      </c>
      <c r="B52" s="74">
        <v>276</v>
      </c>
      <c r="C52" s="90">
        <f>'V5 Ark 4,Sonepriser'!B74</f>
        <v>6546.6194278974235</v>
      </c>
      <c r="E52" s="190"/>
      <c r="F52" s="73"/>
      <c r="I52" s="263"/>
      <c r="J52" s="263"/>
      <c r="K52" s="102"/>
    </row>
    <row r="53" spans="1:18">
      <c r="A53" s="166">
        <v>0.1</v>
      </c>
      <c r="B53" s="74">
        <v>257</v>
      </c>
      <c r="C53" s="33"/>
      <c r="D53" s="90">
        <f>B53*B49</f>
        <v>6096.04</v>
      </c>
      <c r="E53" s="90">
        <f>D53-C52</f>
        <v>-450.57942789742356</v>
      </c>
      <c r="F53" s="282">
        <f>E53/C52</f>
        <v>-6.8826274821680911E-2</v>
      </c>
      <c r="I53" s="263"/>
      <c r="J53" s="263"/>
      <c r="K53" s="228"/>
    </row>
    <row r="54" spans="1:18">
      <c r="A54" s="166">
        <v>1</v>
      </c>
      <c r="B54" s="74">
        <v>302</v>
      </c>
      <c r="C54" s="33"/>
      <c r="D54" s="90">
        <f>B54*B49</f>
        <v>7163.44</v>
      </c>
      <c r="E54" s="90">
        <f>D54-C52</f>
        <v>616.82057210257608</v>
      </c>
      <c r="F54" s="282">
        <f>E54/C52</f>
        <v>9.4219708186195919E-2</v>
      </c>
      <c r="I54" s="263"/>
      <c r="J54" s="263"/>
      <c r="K54" s="228"/>
    </row>
    <row r="55" spans="1:18">
      <c r="A55" s="99"/>
      <c r="B55" s="99"/>
      <c r="C55" s="99"/>
      <c r="D55" s="99"/>
      <c r="E55" s="99"/>
      <c r="F55" s="99"/>
      <c r="G55" s="99"/>
      <c r="H55" s="99"/>
      <c r="I55" s="99"/>
      <c r="J55" s="99"/>
      <c r="K55" s="99"/>
      <c r="L55" s="99"/>
      <c r="M55" s="99"/>
      <c r="N55" s="99"/>
      <c r="O55" s="99"/>
      <c r="P55" s="99"/>
      <c r="Q55" s="99"/>
      <c r="R55" s="99"/>
    </row>
    <row r="56" spans="1:18">
      <c r="A56" s="280"/>
      <c r="B56" s="99"/>
      <c r="C56" s="99"/>
      <c r="D56" s="99"/>
      <c r="E56" s="99"/>
      <c r="F56" s="99"/>
      <c r="G56" s="99"/>
      <c r="H56" s="99"/>
      <c r="I56" s="99"/>
      <c r="J56" s="99"/>
      <c r="K56" s="99"/>
      <c r="L56" s="99"/>
      <c r="M56" s="99"/>
      <c r="N56" s="99"/>
      <c r="O56" s="99"/>
      <c r="P56" s="99"/>
      <c r="Q56" s="99"/>
      <c r="R56" s="99"/>
    </row>
    <row r="57" spans="1:18">
      <c r="A57" s="99"/>
      <c r="B57" s="99"/>
      <c r="C57" s="99"/>
      <c r="D57" s="99"/>
      <c r="E57" s="99"/>
      <c r="F57" s="99"/>
      <c r="G57" s="99"/>
      <c r="H57" s="99"/>
      <c r="I57" s="99"/>
      <c r="J57" s="99"/>
      <c r="K57" s="99"/>
      <c r="L57" s="99"/>
      <c r="M57" s="99"/>
      <c r="N57" s="99"/>
      <c r="O57" s="99"/>
      <c r="P57" s="99"/>
      <c r="Q57" s="99"/>
      <c r="R57" s="99"/>
    </row>
    <row r="58" spans="1:18">
      <c r="A58" s="99"/>
      <c r="B58" s="99"/>
      <c r="C58" s="99"/>
      <c r="D58" s="99"/>
      <c r="E58" s="99"/>
      <c r="F58" s="99"/>
      <c r="G58" s="99"/>
      <c r="H58" s="99"/>
      <c r="I58" s="99"/>
      <c r="J58" s="99"/>
      <c r="K58" s="99"/>
      <c r="L58" s="99"/>
      <c r="M58" s="99"/>
      <c r="N58" s="99"/>
      <c r="O58" s="99"/>
      <c r="P58" s="99"/>
      <c r="Q58" s="99"/>
      <c r="R58" s="99"/>
    </row>
    <row r="59" spans="1:18" ht="16">
      <c r="A59" s="388" t="s">
        <v>449</v>
      </c>
      <c r="B59" s="136"/>
      <c r="C59" s="136"/>
      <c r="D59" s="136"/>
      <c r="E59" s="136"/>
      <c r="F59" s="136"/>
      <c r="G59" s="136"/>
      <c r="H59" s="136"/>
      <c r="I59" s="136"/>
      <c r="J59" s="136"/>
      <c r="K59" s="99"/>
      <c r="L59" s="99"/>
      <c r="M59" s="99"/>
      <c r="N59" s="99"/>
      <c r="O59" s="99"/>
      <c r="P59" s="99"/>
      <c r="Q59" s="99"/>
      <c r="R59" s="99"/>
    </row>
    <row r="60" spans="1:18">
      <c r="A60" s="99"/>
      <c r="B60" s="99"/>
      <c r="C60" s="99"/>
      <c r="D60" s="99"/>
      <c r="E60" s="99"/>
      <c r="F60" s="99"/>
      <c r="G60" s="99"/>
      <c r="H60" s="99"/>
      <c r="I60" s="99"/>
      <c r="J60" s="99"/>
      <c r="K60" s="99"/>
      <c r="L60" s="99"/>
      <c r="M60" s="99"/>
      <c r="N60" s="99"/>
      <c r="O60" s="99"/>
      <c r="P60" s="99"/>
      <c r="Q60" s="99"/>
      <c r="R60" s="99"/>
    </row>
    <row r="61" spans="1:18">
      <c r="A61" s="99"/>
      <c r="B61" s="99"/>
      <c r="C61" s="99"/>
      <c r="D61" s="99"/>
      <c r="E61" s="99"/>
      <c r="F61" s="99"/>
      <c r="G61" s="99"/>
      <c r="H61" s="99"/>
      <c r="I61" s="99"/>
      <c r="J61" s="99"/>
      <c r="K61" s="102"/>
      <c r="L61" s="102"/>
      <c r="M61" s="99"/>
      <c r="N61" s="99"/>
      <c r="O61" s="99"/>
      <c r="P61" s="99"/>
      <c r="Q61" s="99"/>
      <c r="R61" s="99"/>
    </row>
    <row r="62" spans="1:18">
      <c r="A62" s="73" t="s">
        <v>451</v>
      </c>
      <c r="B62" s="134">
        <f>'V5 Ark 4,Sonepriser'!C74</f>
        <v>62.707082642695624</v>
      </c>
      <c r="C62" s="99"/>
      <c r="D62" s="99"/>
      <c r="E62" s="99"/>
      <c r="F62" s="99"/>
      <c r="G62" s="99"/>
      <c r="H62" s="99"/>
      <c r="I62" s="99"/>
      <c r="J62" s="99"/>
      <c r="K62" s="102"/>
      <c r="L62" s="102"/>
      <c r="M62" s="99"/>
      <c r="N62" s="99"/>
      <c r="O62" s="99"/>
      <c r="P62" s="99"/>
      <c r="Q62" s="99"/>
      <c r="R62" s="99"/>
    </row>
    <row r="63" spans="1:18">
      <c r="A63" s="133" t="s">
        <v>161</v>
      </c>
      <c r="B63" s="304">
        <v>1</v>
      </c>
      <c r="C63" s="99"/>
      <c r="D63" s="99"/>
      <c r="E63" s="99"/>
      <c r="F63" s="99"/>
      <c r="G63" s="99"/>
      <c r="H63" s="99"/>
      <c r="I63" s="99"/>
      <c r="J63" s="99"/>
      <c r="K63" s="102"/>
      <c r="L63" s="102"/>
      <c r="M63" s="99"/>
      <c r="N63" s="99"/>
      <c r="O63" s="99"/>
      <c r="P63" s="99"/>
      <c r="Q63" s="99"/>
      <c r="R63" s="99"/>
    </row>
    <row r="64" spans="1:18">
      <c r="A64" s="133" t="s">
        <v>326</v>
      </c>
      <c r="B64" s="133">
        <f>120*B63</f>
        <v>120</v>
      </c>
      <c r="C64" s="99"/>
      <c r="D64" s="99"/>
      <c r="E64" s="99"/>
      <c r="F64" s="99"/>
      <c r="G64" s="99"/>
      <c r="H64" s="99"/>
      <c r="I64" s="99"/>
      <c r="J64" s="99"/>
      <c r="K64" s="99"/>
      <c r="L64" s="99"/>
      <c r="M64" s="99"/>
      <c r="N64" s="99"/>
      <c r="O64" s="99"/>
      <c r="P64" s="99"/>
      <c r="Q64" s="99"/>
      <c r="R64" s="99"/>
    </row>
    <row r="65" spans="1:18">
      <c r="A65" s="74" t="s">
        <v>452</v>
      </c>
      <c r="B65" s="333">
        <f>B64*B62</f>
        <v>7524.8499171234753</v>
      </c>
      <c r="C65" s="99"/>
      <c r="D65" s="99"/>
      <c r="E65" s="99"/>
      <c r="F65" s="99"/>
      <c r="G65" s="99"/>
      <c r="H65" s="99"/>
      <c r="I65" s="99"/>
      <c r="J65" s="99"/>
      <c r="K65" s="99"/>
      <c r="L65" s="99"/>
      <c r="M65" s="99"/>
      <c r="N65" s="99"/>
      <c r="O65" s="99"/>
      <c r="P65" s="99"/>
      <c r="Q65" s="99"/>
      <c r="R65" s="99"/>
    </row>
    <row r="66" spans="1:18">
      <c r="C66" s="99"/>
      <c r="D66" s="99"/>
      <c r="E66" s="99"/>
      <c r="F66" s="99"/>
      <c r="G66" s="99"/>
      <c r="H66" s="99"/>
      <c r="I66" s="99"/>
      <c r="J66" s="99"/>
      <c r="K66" s="99"/>
      <c r="L66" s="99"/>
      <c r="M66" s="99"/>
      <c r="N66" s="99"/>
      <c r="O66" s="99"/>
      <c r="P66" s="99"/>
      <c r="Q66" s="99"/>
      <c r="R66" s="99"/>
    </row>
    <row r="67" spans="1:18">
      <c r="A67" s="335"/>
      <c r="B67" s="103"/>
      <c r="C67" s="102"/>
      <c r="D67" s="102"/>
      <c r="E67" s="102"/>
      <c r="F67" s="102"/>
      <c r="G67" s="102"/>
      <c r="H67" s="102"/>
      <c r="I67" s="102"/>
      <c r="J67" s="99"/>
      <c r="K67" s="99"/>
      <c r="L67" s="99"/>
      <c r="M67" s="99"/>
      <c r="N67" s="202"/>
      <c r="O67" s="202"/>
      <c r="P67" s="100"/>
      <c r="Q67" s="202"/>
      <c r="R67" s="99"/>
    </row>
    <row r="68" spans="1:18">
      <c r="A68" s="102"/>
      <c r="B68" s="228"/>
      <c r="C68" s="102"/>
      <c r="D68" s="102"/>
      <c r="E68" s="102"/>
      <c r="F68" s="102"/>
      <c r="G68" s="99"/>
      <c r="H68" s="99"/>
      <c r="I68" s="99"/>
      <c r="J68" s="99"/>
      <c r="K68" s="99"/>
      <c r="L68" s="99"/>
      <c r="M68" s="99"/>
      <c r="N68" s="202"/>
      <c r="O68" s="270"/>
      <c r="P68" s="202"/>
      <c r="Q68" s="100"/>
      <c r="R68" s="99"/>
    </row>
    <row r="69" spans="1:18">
      <c r="A69" s="102"/>
      <c r="B69" s="102"/>
      <c r="C69" s="203"/>
      <c r="D69" s="203"/>
      <c r="E69" s="203"/>
      <c r="F69" s="203"/>
      <c r="G69" s="140"/>
      <c r="H69" s="99"/>
      <c r="I69" s="140"/>
      <c r="J69" s="99"/>
      <c r="K69" s="99"/>
      <c r="L69" s="99"/>
      <c r="M69" s="100"/>
      <c r="N69" s="235"/>
      <c r="O69" s="236"/>
      <c r="P69" s="236"/>
      <c r="Q69" s="236"/>
      <c r="R69" s="99"/>
    </row>
    <row r="70" spans="1:18">
      <c r="A70" s="97"/>
      <c r="B70" s="227"/>
      <c r="C70" s="203"/>
      <c r="D70" s="203"/>
      <c r="E70" s="203"/>
      <c r="F70" s="203"/>
      <c r="G70" s="138"/>
      <c r="H70" s="99"/>
      <c r="I70" s="138"/>
      <c r="J70" s="99"/>
      <c r="K70" s="99"/>
      <c r="L70" s="99"/>
      <c r="M70" s="100"/>
      <c r="N70" s="235"/>
      <c r="O70" s="236"/>
      <c r="P70" s="236"/>
      <c r="Q70" s="236"/>
      <c r="R70" s="99"/>
    </row>
    <row r="71" spans="1:18">
      <c r="A71" s="102"/>
      <c r="B71" s="203"/>
      <c r="C71" s="203"/>
      <c r="D71" s="203"/>
      <c r="E71" s="203"/>
      <c r="F71" s="203"/>
      <c r="G71" s="99"/>
      <c r="H71" s="99"/>
      <c r="I71" s="99"/>
      <c r="J71" s="99"/>
      <c r="K71" s="99"/>
      <c r="L71" s="99"/>
      <c r="M71" s="100"/>
      <c r="N71" s="203"/>
      <c r="O71" s="236"/>
      <c r="P71" s="236"/>
      <c r="Q71" s="203"/>
      <c r="R71" s="99"/>
    </row>
    <row r="72" spans="1:18">
      <c r="A72" s="280"/>
      <c r="B72" s="99"/>
      <c r="C72" s="99"/>
      <c r="D72" s="99"/>
      <c r="E72" s="99"/>
      <c r="F72" s="99"/>
      <c r="G72" s="99"/>
      <c r="H72" s="99"/>
      <c r="I72" s="99"/>
      <c r="J72" s="99"/>
      <c r="K72" s="99"/>
      <c r="L72" s="99"/>
      <c r="M72" s="99"/>
      <c r="N72" s="99"/>
      <c r="O72" s="99"/>
      <c r="P72" s="99"/>
      <c r="Q72" s="99"/>
      <c r="R72" s="99"/>
    </row>
    <row r="73" spans="1:18">
      <c r="A73" s="99"/>
      <c r="B73" s="99"/>
      <c r="C73" s="99"/>
      <c r="D73" s="99"/>
      <c r="E73" s="99"/>
      <c r="F73" s="99"/>
      <c r="G73" s="99"/>
      <c r="H73" s="99"/>
      <c r="I73" s="99"/>
      <c r="J73" s="99"/>
      <c r="K73" s="99"/>
      <c r="L73" s="99"/>
      <c r="M73" s="99"/>
      <c r="N73" s="99"/>
      <c r="O73" s="99"/>
      <c r="P73" s="99"/>
      <c r="Q73" s="99"/>
      <c r="R73" s="99"/>
    </row>
    <row r="74" spans="1:18">
      <c r="A74" s="99"/>
      <c r="B74" s="99"/>
      <c r="C74" s="99"/>
      <c r="D74" s="99"/>
      <c r="E74" s="99"/>
      <c r="F74" s="99"/>
      <c r="G74" s="99"/>
      <c r="H74" s="99"/>
      <c r="I74" s="99"/>
      <c r="J74" s="99"/>
      <c r="K74" s="99"/>
      <c r="L74" s="99"/>
      <c r="M74" s="99"/>
      <c r="N74" s="202"/>
      <c r="O74" s="202"/>
      <c r="P74" s="100"/>
      <c r="Q74" s="202"/>
      <c r="R74" s="99"/>
    </row>
    <row r="75" spans="1:18">
      <c r="A75" s="284"/>
      <c r="B75" s="102"/>
      <c r="C75" s="102"/>
      <c r="D75" s="102"/>
      <c r="E75" s="102"/>
      <c r="F75" s="102"/>
      <c r="G75" s="102"/>
      <c r="H75" s="99"/>
      <c r="I75" s="99"/>
      <c r="J75" s="99"/>
      <c r="K75" s="99"/>
      <c r="L75" s="99"/>
      <c r="M75" s="99"/>
      <c r="N75" s="202"/>
      <c r="O75" s="270"/>
      <c r="P75" s="202"/>
      <c r="Q75" s="100"/>
      <c r="R75" s="99"/>
    </row>
    <row r="76" spans="1:18">
      <c r="A76" s="102"/>
      <c r="B76" s="102"/>
      <c r="C76" s="102"/>
      <c r="D76" s="102"/>
      <c r="E76" s="102"/>
      <c r="F76" s="102"/>
      <c r="G76" s="102"/>
      <c r="H76" s="99"/>
      <c r="I76" s="99"/>
      <c r="J76" s="99"/>
      <c r="K76" s="99"/>
      <c r="L76" s="99"/>
      <c r="M76" s="100"/>
      <c r="N76" s="235"/>
      <c r="O76" s="236"/>
      <c r="P76" s="236"/>
      <c r="Q76" s="236"/>
      <c r="R76" s="99"/>
    </row>
    <row r="77" spans="1:18">
      <c r="A77" s="102"/>
      <c r="B77" s="226"/>
      <c r="C77" s="102"/>
      <c r="D77" s="102"/>
      <c r="E77" s="102"/>
      <c r="F77" s="102"/>
      <c r="G77" s="102"/>
      <c r="H77" s="99"/>
      <c r="I77" s="99"/>
      <c r="J77" s="99"/>
      <c r="K77" s="99"/>
      <c r="L77" s="99"/>
      <c r="M77" s="100"/>
      <c r="N77" s="235"/>
      <c r="O77" s="236"/>
      <c r="P77" s="236"/>
      <c r="Q77" s="236"/>
      <c r="R77" s="99"/>
    </row>
    <row r="78" spans="1:18">
      <c r="A78" s="102"/>
      <c r="B78" s="102"/>
      <c r="C78" s="102"/>
      <c r="D78" s="102"/>
      <c r="E78" s="102"/>
      <c r="F78" s="102"/>
      <c r="G78" s="102"/>
      <c r="H78" s="99"/>
      <c r="I78" s="99"/>
      <c r="J78" s="99"/>
      <c r="K78" s="99"/>
      <c r="L78" s="99"/>
      <c r="M78" s="100"/>
      <c r="N78" s="203"/>
      <c r="O78" s="236"/>
      <c r="P78" s="236"/>
      <c r="Q78" s="203"/>
      <c r="R78" s="99"/>
    </row>
    <row r="79" spans="1:18">
      <c r="A79" s="102"/>
      <c r="B79" s="102"/>
      <c r="C79" s="102"/>
      <c r="D79" s="102"/>
      <c r="E79" s="102"/>
      <c r="F79" s="102"/>
      <c r="G79" s="102"/>
      <c r="H79" s="99"/>
      <c r="I79" s="99"/>
      <c r="J79" s="99"/>
      <c r="K79" s="99"/>
      <c r="L79" s="99"/>
      <c r="M79" s="99"/>
      <c r="N79" s="99"/>
      <c r="O79" s="99"/>
      <c r="P79" s="99"/>
      <c r="Q79" s="99"/>
      <c r="R79" s="99"/>
    </row>
    <row r="80" spans="1:18">
      <c r="A80" s="102"/>
      <c r="B80" s="102"/>
      <c r="C80" s="102"/>
      <c r="D80" s="102"/>
      <c r="E80" s="102"/>
      <c r="F80" s="102"/>
      <c r="G80" s="102"/>
      <c r="H80" s="99"/>
      <c r="I80" s="99"/>
      <c r="J80" s="99"/>
      <c r="K80" s="99"/>
      <c r="L80" s="99"/>
      <c r="M80" s="99"/>
      <c r="N80" s="99"/>
      <c r="O80" s="99"/>
      <c r="P80" s="99"/>
      <c r="Q80" s="99"/>
      <c r="R80" s="99"/>
    </row>
    <row r="81" spans="1:18">
      <c r="A81" s="102"/>
      <c r="B81" s="102"/>
      <c r="C81" s="102"/>
      <c r="D81" s="102"/>
      <c r="E81" s="102"/>
      <c r="F81" s="102"/>
      <c r="G81" s="102"/>
      <c r="H81" s="99"/>
      <c r="I81" s="99"/>
      <c r="J81" s="99"/>
      <c r="K81" s="99"/>
      <c r="L81" s="99"/>
      <c r="M81" s="99"/>
      <c r="N81" s="99"/>
      <c r="O81" s="99"/>
      <c r="P81" s="99"/>
      <c r="Q81" s="99"/>
      <c r="R81" s="99"/>
    </row>
    <row r="82" spans="1:18">
      <c r="A82" s="203"/>
      <c r="B82" s="203"/>
      <c r="C82" s="235"/>
      <c r="D82" s="236"/>
      <c r="E82" s="227"/>
      <c r="F82" s="236"/>
      <c r="G82" s="235"/>
      <c r="H82" s="99"/>
      <c r="I82" s="99"/>
      <c r="J82" s="99"/>
      <c r="K82" s="99"/>
      <c r="L82" s="99"/>
      <c r="M82" s="99"/>
      <c r="N82" s="99"/>
      <c r="O82" s="99"/>
      <c r="P82" s="99"/>
      <c r="Q82" s="99"/>
      <c r="R82" s="99"/>
    </row>
    <row r="83" spans="1:18">
      <c r="A83" s="203"/>
      <c r="B83" s="203"/>
      <c r="C83" s="235"/>
      <c r="D83" s="236"/>
      <c r="E83" s="227"/>
      <c r="F83" s="236"/>
      <c r="G83" s="235"/>
      <c r="H83" s="99"/>
      <c r="I83" s="99"/>
      <c r="J83" s="99"/>
      <c r="K83" s="99"/>
      <c r="L83" s="99"/>
      <c r="M83" s="99"/>
      <c r="N83" s="99"/>
      <c r="O83" s="99"/>
      <c r="P83" s="99"/>
      <c r="Q83" s="99"/>
      <c r="R83" s="99"/>
    </row>
    <row r="84" spans="1:18">
      <c r="A84" s="203"/>
      <c r="B84" s="203"/>
      <c r="C84" s="203"/>
      <c r="D84" s="236"/>
      <c r="E84" s="227"/>
      <c r="F84" s="236"/>
      <c r="G84" s="236"/>
      <c r="H84" s="99"/>
      <c r="I84" s="99"/>
      <c r="J84" s="99"/>
      <c r="K84" s="99"/>
      <c r="L84" s="99"/>
      <c r="M84" s="99"/>
      <c r="N84" s="99"/>
      <c r="O84" s="99"/>
      <c r="P84" s="99"/>
      <c r="Q84" s="99"/>
      <c r="R84" s="99"/>
    </row>
    <row r="85" spans="1:18">
      <c r="A85" s="99"/>
      <c r="B85" s="102"/>
      <c r="C85" s="102"/>
      <c r="D85" s="102"/>
      <c r="E85" s="102"/>
      <c r="F85" s="102"/>
      <c r="G85" s="102"/>
      <c r="H85" s="99"/>
      <c r="I85" s="99"/>
      <c r="J85" s="99"/>
      <c r="K85" s="99"/>
      <c r="L85" s="99"/>
      <c r="M85" s="99"/>
      <c r="N85" s="99"/>
      <c r="O85" s="99"/>
      <c r="P85" s="99"/>
      <c r="Q85" s="99"/>
      <c r="R85" s="99"/>
    </row>
    <row r="86" spans="1:18">
      <c r="A86" s="102"/>
      <c r="B86" s="102"/>
      <c r="C86" s="102"/>
      <c r="D86" s="102"/>
      <c r="E86" s="102"/>
      <c r="F86" s="102"/>
      <c r="G86" s="102"/>
      <c r="H86" s="99"/>
      <c r="I86" s="99"/>
      <c r="J86" s="99"/>
      <c r="K86" s="99"/>
      <c r="L86" s="99"/>
      <c r="M86" s="99"/>
      <c r="N86" s="99"/>
      <c r="O86" s="99"/>
      <c r="P86" s="99"/>
      <c r="Q86" s="99"/>
      <c r="R86" s="99"/>
    </row>
    <row r="87" spans="1:18">
      <c r="A87" s="284"/>
      <c r="B87" s="102"/>
      <c r="C87" s="102"/>
      <c r="D87" s="102"/>
      <c r="E87" s="102"/>
      <c r="F87" s="102"/>
      <c r="G87" s="102"/>
      <c r="H87" s="99"/>
      <c r="I87" s="99"/>
      <c r="J87" s="99"/>
      <c r="K87" s="99"/>
      <c r="L87" s="99"/>
      <c r="M87" s="99"/>
      <c r="N87" s="99"/>
      <c r="O87" s="99"/>
      <c r="P87" s="99"/>
      <c r="Q87" s="99"/>
      <c r="R87" s="99"/>
    </row>
    <row r="88" spans="1:18">
      <c r="A88" s="102"/>
      <c r="B88" s="102"/>
      <c r="C88" s="102"/>
      <c r="D88" s="102"/>
      <c r="E88" s="102"/>
      <c r="F88" s="102"/>
      <c r="G88" s="102"/>
      <c r="H88" s="99"/>
      <c r="I88" s="99"/>
      <c r="J88" s="99"/>
      <c r="K88" s="99"/>
      <c r="L88" s="99"/>
      <c r="M88" s="99"/>
      <c r="N88" s="99"/>
      <c r="O88" s="99"/>
      <c r="P88" s="99"/>
      <c r="Q88" s="99"/>
      <c r="R88" s="99"/>
    </row>
    <row r="89" spans="1:18">
      <c r="A89" s="99"/>
      <c r="B89" s="99"/>
      <c r="C89" s="99"/>
      <c r="D89" s="99"/>
      <c r="E89" s="99"/>
      <c r="F89" s="99"/>
      <c r="G89" s="99"/>
      <c r="H89" s="99"/>
      <c r="I89" s="99"/>
      <c r="J89" s="99"/>
      <c r="K89" s="99"/>
      <c r="L89" s="99"/>
      <c r="M89" s="99"/>
      <c r="N89" s="99"/>
      <c r="O89" s="99"/>
      <c r="P89" s="99"/>
      <c r="Q89" s="99"/>
      <c r="R89" s="99"/>
    </row>
    <row r="90" spans="1:18">
      <c r="A90" s="99"/>
      <c r="B90" s="99"/>
      <c r="C90" s="99"/>
      <c r="D90" s="99"/>
      <c r="E90" s="99"/>
      <c r="F90" s="99"/>
      <c r="G90" s="99"/>
      <c r="H90" s="99"/>
      <c r="I90" s="99"/>
      <c r="J90" s="99"/>
      <c r="K90" s="99"/>
      <c r="L90" s="99"/>
      <c r="M90" s="99"/>
      <c r="N90" s="99"/>
      <c r="O90" s="99"/>
      <c r="P90" s="99"/>
      <c r="Q90" s="99"/>
      <c r="R90" s="99"/>
    </row>
    <row r="91" spans="1:18">
      <c r="A91" s="99"/>
      <c r="B91" s="99"/>
      <c r="C91" s="99"/>
      <c r="D91" s="99"/>
      <c r="E91" s="99"/>
      <c r="F91" s="99"/>
      <c r="G91" s="99"/>
      <c r="H91" s="99"/>
      <c r="I91" s="99"/>
      <c r="J91" s="99"/>
      <c r="K91" s="99"/>
      <c r="L91" s="99"/>
      <c r="M91" s="99"/>
      <c r="N91" s="99"/>
      <c r="O91" s="99"/>
      <c r="P91" s="99"/>
      <c r="Q91" s="99"/>
      <c r="R91" s="99"/>
    </row>
    <row r="92" spans="1:18">
      <c r="A92" s="99"/>
      <c r="B92" s="99"/>
      <c r="C92" s="99"/>
      <c r="D92" s="99"/>
      <c r="E92" s="99"/>
      <c r="F92" s="99"/>
      <c r="G92" s="99"/>
      <c r="H92" s="99"/>
      <c r="I92" s="99"/>
      <c r="J92" s="99"/>
      <c r="K92" s="99"/>
      <c r="L92" s="99"/>
      <c r="M92" s="99"/>
      <c r="N92" s="99"/>
      <c r="O92" s="99"/>
      <c r="P92" s="99"/>
      <c r="Q92" s="99"/>
      <c r="R92" s="99"/>
    </row>
    <row r="93" spans="1:18">
      <c r="A93" s="99"/>
      <c r="B93" s="99"/>
      <c r="C93" s="99"/>
      <c r="D93" s="99"/>
      <c r="E93" s="99"/>
      <c r="F93" s="99"/>
      <c r="G93" s="99"/>
      <c r="H93" s="99"/>
      <c r="I93" s="99"/>
      <c r="J93" s="99"/>
      <c r="K93" s="99"/>
      <c r="L93" s="99"/>
      <c r="M93" s="99"/>
      <c r="N93" s="99"/>
      <c r="O93" s="99"/>
      <c r="P93" s="99"/>
      <c r="Q93" s="99"/>
      <c r="R93" s="99"/>
    </row>
    <row r="94" spans="1:18">
      <c r="A94" s="99"/>
      <c r="B94" s="99"/>
      <c r="C94" s="99"/>
      <c r="D94" s="99"/>
      <c r="E94" s="99"/>
      <c r="F94" s="99"/>
      <c r="G94" s="99"/>
      <c r="H94" s="99"/>
      <c r="I94" s="99"/>
      <c r="J94" s="99"/>
      <c r="K94" s="99"/>
      <c r="L94" s="99"/>
      <c r="M94" s="99"/>
      <c r="N94" s="99"/>
      <c r="O94" s="99"/>
      <c r="P94" s="99"/>
      <c r="Q94" s="99"/>
      <c r="R94" s="99"/>
    </row>
    <row r="95" spans="1:18">
      <c r="A95" s="99"/>
      <c r="B95" s="99"/>
      <c r="C95" s="99"/>
      <c r="D95" s="99"/>
      <c r="E95" s="99"/>
      <c r="F95" s="99"/>
      <c r="G95" s="99"/>
      <c r="H95" s="99"/>
      <c r="I95" s="99"/>
      <c r="J95" s="99"/>
      <c r="K95" s="99"/>
      <c r="L95" s="99"/>
      <c r="M95" s="99"/>
      <c r="N95" s="99"/>
      <c r="O95" s="99"/>
      <c r="P95" s="99"/>
      <c r="Q95" s="99"/>
      <c r="R95" s="99"/>
    </row>
    <row r="96" spans="1:18">
      <c r="A96" s="99"/>
      <c r="B96" s="99"/>
      <c r="C96" s="99"/>
      <c r="D96" s="99"/>
      <c r="E96" s="99"/>
      <c r="F96" s="99"/>
      <c r="G96" s="99"/>
      <c r="H96" s="99"/>
      <c r="I96" s="99"/>
      <c r="J96" s="99"/>
      <c r="K96" s="99"/>
      <c r="L96" s="99"/>
      <c r="M96" s="99"/>
      <c r="N96" s="99"/>
      <c r="O96" s="99"/>
      <c r="P96" s="99"/>
      <c r="Q96" s="99"/>
      <c r="R96" s="99"/>
    </row>
    <row r="97" spans="1:18">
      <c r="A97" s="99"/>
      <c r="B97" s="99"/>
      <c r="C97" s="99"/>
      <c r="D97" s="99"/>
      <c r="E97" s="99"/>
      <c r="F97" s="99"/>
      <c r="G97" s="99"/>
      <c r="H97" s="99"/>
      <c r="I97" s="99"/>
      <c r="J97" s="99"/>
      <c r="K97" s="99"/>
      <c r="L97" s="99"/>
      <c r="M97" s="99"/>
      <c r="N97" s="99"/>
      <c r="O97" s="99"/>
      <c r="P97" s="99"/>
      <c r="Q97" s="99"/>
      <c r="R97" s="9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15C09-09C2-FC48-9A25-2BD92BA30262}">
  <dimension ref="A1:R88"/>
  <sheetViews>
    <sheetView topLeftCell="A20" workbookViewId="0">
      <selection activeCell="B57" sqref="B57"/>
    </sheetView>
  </sheetViews>
  <sheetFormatPr baseColWidth="10" defaultRowHeight="15"/>
  <cols>
    <col min="1" max="1" width="19.1640625" customWidth="1"/>
    <col min="2" max="2" width="13.6640625" customWidth="1"/>
    <col min="3" max="3" width="9.83203125" customWidth="1"/>
    <col min="4" max="4" width="13.33203125" customWidth="1"/>
    <col min="5" max="5" width="11.6640625" customWidth="1"/>
    <col min="6" max="6" width="9" customWidth="1"/>
    <col min="7" max="7" width="18" customWidth="1"/>
    <col min="8" max="8" width="16.83203125" customWidth="1"/>
    <col min="9" max="9" width="14.83203125" customWidth="1"/>
    <col min="10" max="10" width="21.1640625" customWidth="1"/>
    <col min="11" max="11" width="7" customWidth="1"/>
    <col min="12" max="12" width="16.1640625" customWidth="1"/>
    <col min="13" max="13" width="12" customWidth="1"/>
    <col min="14" max="14" width="11.83203125" customWidth="1"/>
    <col min="15" max="15" width="8.6640625" customWidth="1"/>
  </cols>
  <sheetData>
    <row r="1" spans="1:11">
      <c r="B1" s="61"/>
      <c r="C1" s="61"/>
      <c r="D1" s="61"/>
      <c r="E1" s="61"/>
      <c r="F1" s="61"/>
      <c r="G1" s="61"/>
    </row>
    <row r="2" spans="1:11">
      <c r="B2" s="61"/>
      <c r="C2" s="61"/>
      <c r="D2" s="61"/>
      <c r="E2" s="61"/>
      <c r="F2" s="61"/>
      <c r="G2" s="61"/>
    </row>
    <row r="3" spans="1:11" ht="28">
      <c r="A3" s="347" t="s">
        <v>437</v>
      </c>
      <c r="B3" s="347"/>
      <c r="C3" s="347"/>
      <c r="D3" s="347"/>
      <c r="E3" s="347"/>
    </row>
    <row r="6" spans="1:11">
      <c r="A6" s="1" t="s">
        <v>388</v>
      </c>
      <c r="B6" s="1"/>
      <c r="C6" s="279">
        <v>1</v>
      </c>
      <c r="E6" s="1" t="s">
        <v>438</v>
      </c>
      <c r="F6" s="1"/>
      <c r="G6" s="279">
        <v>0.05</v>
      </c>
      <c r="J6" s="1"/>
      <c r="K6" t="s">
        <v>394</v>
      </c>
    </row>
    <row r="7" spans="1:11">
      <c r="A7" t="s">
        <v>352</v>
      </c>
      <c r="C7">
        <f>'V5 Ark 4,Sonepriser'!F8</f>
        <v>50</v>
      </c>
      <c r="E7" t="s">
        <v>352</v>
      </c>
      <c r="G7">
        <f>'V5 Ark 4,Sonepriser'!F8</f>
        <v>50</v>
      </c>
    </row>
    <row r="8" spans="1:11">
      <c r="A8" t="s">
        <v>344</v>
      </c>
      <c r="C8">
        <f>C7*C6</f>
        <v>50</v>
      </c>
      <c r="E8" t="s">
        <v>344</v>
      </c>
      <c r="G8">
        <f>G7*G6</f>
        <v>2.5</v>
      </c>
    </row>
    <row r="9" spans="1:11">
      <c r="A9" t="s">
        <v>342</v>
      </c>
      <c r="C9">
        <f>'V5 Ark 4,Sonepriser'!F18</f>
        <v>252</v>
      </c>
      <c r="E9" t="s">
        <v>385</v>
      </c>
      <c r="G9">
        <f>'V5 Ark 4,Sonepriser'!F19</f>
        <v>302</v>
      </c>
    </row>
    <row r="10" spans="1:11">
      <c r="A10" s="262" t="s">
        <v>345</v>
      </c>
      <c r="B10" s="262"/>
      <c r="C10" s="262">
        <f>C9+C8</f>
        <v>302</v>
      </c>
      <c r="E10" s="262" t="s">
        <v>345</v>
      </c>
      <c r="F10" s="262"/>
      <c r="G10" s="262">
        <f>G9+G8</f>
        <v>304.5</v>
      </c>
    </row>
    <row r="12" spans="1:11">
      <c r="A12" t="s">
        <v>343</v>
      </c>
      <c r="C12" s="2">
        <f>'V5 Ark 4,Sonepriser'!J18</f>
        <v>56.123015061580872</v>
      </c>
      <c r="E12" t="s">
        <v>343</v>
      </c>
      <c r="G12" s="2">
        <f>'V5 Ark 4,Sonepriser'!J19</f>
        <v>53.462544102689748</v>
      </c>
    </row>
    <row r="13" spans="1:11">
      <c r="A13" t="s">
        <v>346</v>
      </c>
      <c r="C13" s="19">
        <f>C10/C12</f>
        <v>5.3810366329861479</v>
      </c>
      <c r="E13" t="s">
        <v>346</v>
      </c>
      <c r="G13" s="19">
        <f>G10/G12</f>
        <v>5.6955763162920698</v>
      </c>
    </row>
    <row r="15" spans="1:11">
      <c r="A15" t="s">
        <v>161</v>
      </c>
      <c r="C15" s="32">
        <v>0.87</v>
      </c>
      <c r="E15" t="s">
        <v>161</v>
      </c>
      <c r="G15" s="32">
        <v>0.87</v>
      </c>
    </row>
    <row r="16" spans="1:11">
      <c r="A16" t="s">
        <v>162</v>
      </c>
      <c r="C16">
        <v>120</v>
      </c>
      <c r="E16" t="s">
        <v>162</v>
      </c>
      <c r="G16">
        <v>120</v>
      </c>
    </row>
    <row r="17" spans="1:7">
      <c r="A17" t="s">
        <v>164</v>
      </c>
      <c r="C17">
        <f>C16*C15</f>
        <v>104.4</v>
      </c>
      <c r="E17" t="s">
        <v>164</v>
      </c>
      <c r="G17">
        <f>G16*G15</f>
        <v>104.4</v>
      </c>
    </row>
    <row r="19" spans="1:7">
      <c r="A19" t="s">
        <v>347</v>
      </c>
      <c r="C19" s="2">
        <f>'V5 Ark 4,Sonepriser'!C37</f>
        <v>14.620000000000001</v>
      </c>
      <c r="E19" t="s">
        <v>347</v>
      </c>
      <c r="G19" s="2">
        <f t="shared" ref="G19:G25" si="0">C19</f>
        <v>14.620000000000001</v>
      </c>
    </row>
    <row r="20" spans="1:7">
      <c r="A20" t="s">
        <v>348</v>
      </c>
      <c r="C20" s="2">
        <f>'V5 Ark 4,Sonepriser'!E49</f>
        <v>0.5</v>
      </c>
      <c r="E20" t="s">
        <v>348</v>
      </c>
      <c r="G20" s="2">
        <f t="shared" si="0"/>
        <v>0.5</v>
      </c>
    </row>
    <row r="21" spans="1:7">
      <c r="A21" t="s">
        <v>118</v>
      </c>
      <c r="C21" s="2">
        <f>'V5 Ark 4,Sonepriser'!E51</f>
        <v>0.5</v>
      </c>
      <c r="E21" t="s">
        <v>118</v>
      </c>
      <c r="G21" s="2">
        <f t="shared" si="0"/>
        <v>0.5</v>
      </c>
    </row>
    <row r="22" spans="1:7">
      <c r="A22" t="s">
        <v>119</v>
      </c>
      <c r="C22" s="2">
        <f>'V5 Ark 4,Sonepriser'!E50</f>
        <v>0.5</v>
      </c>
      <c r="E22" t="s">
        <v>119</v>
      </c>
      <c r="G22" s="2">
        <f t="shared" si="0"/>
        <v>0.5</v>
      </c>
    </row>
    <row r="23" spans="1:7">
      <c r="A23" t="s">
        <v>349</v>
      </c>
      <c r="C23" s="2">
        <f>'V5 Ark 4,Sonepriser'!E52</f>
        <v>0</v>
      </c>
      <c r="E23" t="s">
        <v>349</v>
      </c>
      <c r="G23" s="2">
        <f t="shared" si="0"/>
        <v>0</v>
      </c>
    </row>
    <row r="24" spans="1:7">
      <c r="A24" t="s">
        <v>150</v>
      </c>
      <c r="C24">
        <f>'V5 Ark 4,Sonepriser'!C40</f>
        <v>190</v>
      </c>
      <c r="E24" t="s">
        <v>150</v>
      </c>
      <c r="G24">
        <f t="shared" si="0"/>
        <v>190</v>
      </c>
    </row>
    <row r="25" spans="1:7">
      <c r="A25" t="s">
        <v>189</v>
      </c>
      <c r="C25" s="55">
        <f>'V5 Ark 4,Sonepriser'!C41</f>
        <v>192</v>
      </c>
      <c r="E25" t="s">
        <v>189</v>
      </c>
      <c r="G25" s="55">
        <f t="shared" si="0"/>
        <v>192</v>
      </c>
    </row>
    <row r="27" spans="1:7">
      <c r="A27" t="s">
        <v>350</v>
      </c>
      <c r="C27" s="2">
        <f>'V5  Ark 1, Bil 1'!B125</f>
        <v>361.73</v>
      </c>
      <c r="E27" t="s">
        <v>350</v>
      </c>
      <c r="G27" s="2">
        <f>C27</f>
        <v>361.73</v>
      </c>
    </row>
    <row r="30" spans="1:7">
      <c r="A30" s="191" t="s">
        <v>25</v>
      </c>
      <c r="B30" s="192"/>
      <c r="C30" s="193">
        <f>C19*(C10)+(C20+C21)*C27+(C22+C23+C13)*C27+C24</f>
        <v>7094.3173812500809</v>
      </c>
      <c r="E30" s="191" t="s">
        <v>25</v>
      </c>
      <c r="F30" s="192"/>
      <c r="G30" s="193">
        <f>(G19*G10)+(G20+G21)*G27+(G22+G23+G13)*G27+G24</f>
        <v>7244.6458208923304</v>
      </c>
    </row>
    <row r="31" spans="1:7">
      <c r="A31" s="194"/>
      <c r="B31" s="60"/>
      <c r="C31" s="195"/>
      <c r="E31" s="194"/>
      <c r="F31" s="60"/>
      <c r="G31" s="195"/>
    </row>
    <row r="32" spans="1:7">
      <c r="A32" s="196" t="s">
        <v>351</v>
      </c>
      <c r="B32" s="60"/>
      <c r="C32" s="224">
        <f>'V5 Ark 4,Sonepriser'!D74</f>
        <v>23.719635608323998</v>
      </c>
      <c r="E32" s="196" t="s">
        <v>351</v>
      </c>
      <c r="F32" s="60"/>
      <c r="G32" s="224">
        <f>'V5 Ark 4,Sonepriser'!D75</f>
        <v>23.633269315189338</v>
      </c>
    </row>
    <row r="33" spans="1:18">
      <c r="A33" s="194"/>
      <c r="B33" s="60"/>
      <c r="C33" s="195"/>
      <c r="E33" s="194"/>
      <c r="F33" s="60"/>
      <c r="G33" s="195"/>
    </row>
    <row r="34" spans="1:18">
      <c r="A34" s="197" t="s">
        <v>175</v>
      </c>
      <c r="B34" s="198"/>
      <c r="C34" s="269">
        <f>'V5 Ark 4,Sonepriser'!C74</f>
        <v>62.707082642695624</v>
      </c>
      <c r="E34" s="197" t="s">
        <v>175</v>
      </c>
      <c r="F34" s="198"/>
      <c r="G34" s="269">
        <f>'V5 Ark 4,Sonepriser'!C75</f>
        <v>73.797373532104629</v>
      </c>
    </row>
    <row r="36" spans="1:18">
      <c r="A36" s="50"/>
    </row>
    <row r="38" spans="1:18" ht="16">
      <c r="A38" s="116" t="s">
        <v>440</v>
      </c>
      <c r="B38" s="367" t="s">
        <v>441</v>
      </c>
      <c r="C38" s="116"/>
      <c r="D38" s="116"/>
      <c r="E38" s="116"/>
      <c r="F38" s="116"/>
      <c r="G38" s="116"/>
      <c r="H38" s="116"/>
      <c r="I38" s="116"/>
      <c r="J38" s="116"/>
    </row>
    <row r="39" spans="1:18">
      <c r="N39" t="s">
        <v>439</v>
      </c>
    </row>
    <row r="40" spans="1:18">
      <c r="A40" s="272" t="s">
        <v>159</v>
      </c>
      <c r="B40" s="254" t="s">
        <v>389</v>
      </c>
      <c r="C40" s="254" t="s">
        <v>360</v>
      </c>
      <c r="D40" s="254" t="s">
        <v>328</v>
      </c>
      <c r="E40" s="254" t="s">
        <v>391</v>
      </c>
      <c r="F40" s="231" t="s">
        <v>176</v>
      </c>
      <c r="G40" s="273" t="s">
        <v>392</v>
      </c>
      <c r="H40" s="254" t="s">
        <v>353</v>
      </c>
      <c r="I40" s="274" t="s">
        <v>187</v>
      </c>
      <c r="M40" s="272" t="s">
        <v>159</v>
      </c>
      <c r="N40" s="254" t="s">
        <v>389</v>
      </c>
      <c r="O40" s="310" t="s">
        <v>176</v>
      </c>
      <c r="P40" s="311" t="s">
        <v>392</v>
      </c>
      <c r="Q40" s="311" t="s">
        <v>353</v>
      </c>
      <c r="R40" s="312" t="s">
        <v>187</v>
      </c>
    </row>
    <row r="41" spans="1:18">
      <c r="A41" s="275"/>
      <c r="B41" s="255" t="s">
        <v>390</v>
      </c>
      <c r="C41" s="255" t="s">
        <v>359</v>
      </c>
      <c r="D41" s="255" t="s">
        <v>358</v>
      </c>
      <c r="E41" s="255" t="s">
        <v>393</v>
      </c>
      <c r="F41" s="271"/>
      <c r="G41" s="276"/>
      <c r="H41" s="277"/>
      <c r="I41" s="278"/>
      <c r="M41" s="275"/>
      <c r="N41" s="255" t="s">
        <v>390</v>
      </c>
      <c r="O41" s="313"/>
      <c r="P41" s="320" t="s">
        <v>400</v>
      </c>
      <c r="Q41" s="321" t="s">
        <v>401</v>
      </c>
      <c r="R41" s="314"/>
    </row>
    <row r="42" spans="1:18">
      <c r="A42" s="86">
        <v>6</v>
      </c>
      <c r="B42" s="216">
        <v>1</v>
      </c>
      <c r="C42" s="86">
        <f>C9</f>
        <v>252</v>
      </c>
      <c r="D42" s="86">
        <f>24</f>
        <v>24</v>
      </c>
      <c r="E42" s="86">
        <f>C8</f>
        <v>50</v>
      </c>
      <c r="F42" s="86">
        <v>23.72</v>
      </c>
      <c r="G42" s="90">
        <f>'V5 Ark 4,Sonepriser'!B74</f>
        <v>6546.6194278974235</v>
      </c>
      <c r="H42" s="90">
        <f>F42*(C42+E42)</f>
        <v>7163.44</v>
      </c>
      <c r="I42" s="90">
        <f>G42-H42</f>
        <v>-616.82057210257608</v>
      </c>
      <c r="M42" s="86">
        <v>6</v>
      </c>
      <c r="N42" s="216">
        <v>1</v>
      </c>
      <c r="O42" s="315">
        <v>23.72</v>
      </c>
      <c r="P42" s="316">
        <v>6547</v>
      </c>
      <c r="Q42" s="316">
        <v>7163</v>
      </c>
      <c r="R42" s="316">
        <v>-617</v>
      </c>
    </row>
    <row r="43" spans="1:18">
      <c r="A43" s="86">
        <v>7</v>
      </c>
      <c r="B43" s="216">
        <f>G6</f>
        <v>0.05</v>
      </c>
      <c r="C43" s="86">
        <f>G9</f>
        <v>302</v>
      </c>
      <c r="D43" s="86">
        <v>24</v>
      </c>
      <c r="E43" s="86">
        <f>G8</f>
        <v>2.5</v>
      </c>
      <c r="F43" s="244">
        <v>23.63</v>
      </c>
      <c r="G43" s="90">
        <f>'V5 Ark 4,Sonepriser'!B75</f>
        <v>7704.4457967517237</v>
      </c>
      <c r="H43" s="90">
        <f>F43*(C43+E43)</f>
        <v>7195.335</v>
      </c>
      <c r="I43" s="90">
        <f>G43-H43</f>
        <v>509.11079675172368</v>
      </c>
      <c r="M43" s="86">
        <v>7</v>
      </c>
      <c r="N43" s="216">
        <v>0.05</v>
      </c>
      <c r="O43" s="315">
        <v>23.63</v>
      </c>
      <c r="P43" s="316">
        <v>7704</v>
      </c>
      <c r="Q43" s="316">
        <v>7195</v>
      </c>
      <c r="R43" s="316">
        <v>509</v>
      </c>
    </row>
    <row r="44" spans="1:18">
      <c r="A44" s="73" t="s">
        <v>187</v>
      </c>
      <c r="B44" s="253"/>
      <c r="C44" s="253"/>
      <c r="D44" s="253"/>
      <c r="E44" s="253"/>
      <c r="F44" s="253"/>
      <c r="G44" s="230">
        <f>G42-G43</f>
        <v>-1157.8263688543002</v>
      </c>
      <c r="H44" s="230">
        <f>H42-H43</f>
        <v>-31.895000000000437</v>
      </c>
      <c r="I44" s="73"/>
      <c r="M44" s="73" t="s">
        <v>187</v>
      </c>
      <c r="N44" s="253"/>
      <c r="O44" s="317"/>
      <c r="P44" s="318">
        <v>-1158</v>
      </c>
      <c r="Q44" s="318">
        <v>-32</v>
      </c>
      <c r="R44" s="319"/>
    </row>
    <row r="45" spans="1:18">
      <c r="A45" s="50" t="s">
        <v>302</v>
      </c>
      <c r="B45" s="102"/>
      <c r="C45" s="102"/>
      <c r="D45" s="102"/>
      <c r="E45" s="102"/>
      <c r="K45" s="99"/>
      <c r="L45" s="99"/>
      <c r="M45" s="99"/>
      <c r="N45" s="99"/>
      <c r="O45" s="99"/>
      <c r="P45" s="99"/>
    </row>
    <row r="49" spans="1:15">
      <c r="J49" s="99"/>
      <c r="K49" s="99"/>
    </row>
    <row r="51" spans="1:15" ht="16">
      <c r="A51" s="369" t="s">
        <v>442</v>
      </c>
      <c r="B51" s="370" t="s">
        <v>361</v>
      </c>
      <c r="C51" s="369"/>
      <c r="D51" s="369"/>
      <c r="E51" s="369"/>
      <c r="F51" s="369"/>
      <c r="G51" s="369"/>
      <c r="I51" s="99"/>
    </row>
    <row r="52" spans="1:15">
      <c r="A52" s="102"/>
      <c r="B52" s="102"/>
      <c r="C52" s="102"/>
      <c r="D52" s="102"/>
      <c r="F52" s="99"/>
      <c r="G52" s="99"/>
      <c r="H52" s="99"/>
      <c r="I52" s="99"/>
    </row>
    <row r="53" spans="1:15">
      <c r="A53" s="102"/>
      <c r="G53" s="99"/>
      <c r="H53" s="99"/>
      <c r="I53" s="99"/>
    </row>
    <row r="54" spans="1:15">
      <c r="A54" s="102"/>
      <c r="B54" s="102"/>
      <c r="C54" s="102"/>
      <c r="D54" s="102"/>
      <c r="E54" s="99"/>
      <c r="G54" s="102"/>
      <c r="H54" s="102"/>
      <c r="I54" s="102"/>
      <c r="M54" s="32"/>
    </row>
    <row r="55" spans="1:15">
      <c r="A55" s="203"/>
      <c r="B55" s="203"/>
      <c r="C55" s="235"/>
      <c r="D55" s="236"/>
      <c r="E55" s="102"/>
      <c r="F55" s="102"/>
      <c r="G55" s="102"/>
      <c r="H55" s="102"/>
      <c r="I55" s="263"/>
      <c r="J55" s="263"/>
      <c r="K55" s="102"/>
    </row>
    <row r="56" spans="1:15">
      <c r="A56" s="73" t="s">
        <v>415</v>
      </c>
      <c r="B56" s="134">
        <f>'V5 Ark 4,Sonepriser'!C75</f>
        <v>73.797373532104629</v>
      </c>
      <c r="C56" s="235"/>
      <c r="D56" s="236"/>
      <c r="E56" s="227"/>
      <c r="F56" s="236"/>
      <c r="G56" s="235"/>
      <c r="H56" s="102"/>
      <c r="I56" s="263"/>
      <c r="J56" s="263"/>
      <c r="K56" s="328"/>
      <c r="M56" s="2"/>
    </row>
    <row r="57" spans="1:15">
      <c r="A57" s="133" t="s">
        <v>161</v>
      </c>
      <c r="B57" s="304">
        <v>1</v>
      </c>
      <c r="C57" s="203"/>
      <c r="D57" s="236"/>
      <c r="E57" s="227"/>
      <c r="F57" s="236"/>
      <c r="G57" s="235"/>
      <c r="H57" s="102"/>
      <c r="I57" s="263"/>
      <c r="J57" s="263"/>
      <c r="K57" s="228"/>
      <c r="L57" t="s">
        <v>443</v>
      </c>
    </row>
    <row r="58" spans="1:15">
      <c r="A58" s="133" t="s">
        <v>326</v>
      </c>
      <c r="B58" s="133">
        <f>120*B57</f>
        <v>120</v>
      </c>
      <c r="C58" s="99"/>
      <c r="D58" s="99"/>
      <c r="E58" s="227"/>
      <c r="F58" s="236"/>
      <c r="G58" s="236"/>
      <c r="H58" s="99"/>
      <c r="I58" s="99"/>
      <c r="J58" s="99"/>
      <c r="K58" s="99"/>
    </row>
    <row r="59" spans="1:15">
      <c r="A59" s="74" t="s">
        <v>452</v>
      </c>
      <c r="B59" s="333">
        <f>B58*B56</f>
        <v>8855.6848238525563</v>
      </c>
      <c r="L59" s="73"/>
      <c r="M59" s="73"/>
      <c r="N59" s="73" t="s">
        <v>404</v>
      </c>
      <c r="O59" s="73" t="s">
        <v>405</v>
      </c>
    </row>
    <row r="60" spans="1:15">
      <c r="L60" s="73" t="s">
        <v>352</v>
      </c>
      <c r="M60" s="74">
        <v>50</v>
      </c>
      <c r="N60" s="74">
        <v>50</v>
      </c>
      <c r="O60" s="74">
        <v>2.5</v>
      </c>
    </row>
    <row r="61" spans="1:15">
      <c r="L61" s="73" t="s">
        <v>402</v>
      </c>
      <c r="M61" s="74">
        <v>252</v>
      </c>
      <c r="N61" s="73">
        <f>M61+M60</f>
        <v>302</v>
      </c>
      <c r="O61" s="74"/>
    </row>
    <row r="62" spans="1:15">
      <c r="L62" s="73" t="s">
        <v>403</v>
      </c>
      <c r="M62" s="74">
        <v>302</v>
      </c>
      <c r="N62" s="74"/>
      <c r="O62" s="73">
        <f>M62+O60</f>
        <v>304.5</v>
      </c>
    </row>
    <row r="64" spans="1:15">
      <c r="K64" s="97"/>
      <c r="L64" s="97"/>
    </row>
    <row r="65" spans="1:17">
      <c r="K65" s="97"/>
      <c r="L65" s="97"/>
    </row>
    <row r="66" spans="1:17">
      <c r="A66" s="97"/>
      <c r="B66" s="97"/>
      <c r="K66" s="97"/>
      <c r="L66" s="73" t="s">
        <v>409</v>
      </c>
      <c r="M66" s="74"/>
    </row>
    <row r="67" spans="1:17">
      <c r="A67" s="97"/>
      <c r="B67" s="174"/>
      <c r="K67" s="60"/>
      <c r="L67" s="74" t="s">
        <v>416</v>
      </c>
      <c r="M67" s="74">
        <v>24.4</v>
      </c>
    </row>
    <row r="68" spans="1:17">
      <c r="A68" s="97"/>
      <c r="B68" s="97"/>
      <c r="L68" s="74" t="s">
        <v>410</v>
      </c>
      <c r="M68" s="74">
        <v>30</v>
      </c>
    </row>
    <row r="69" spans="1:17">
      <c r="L69" s="74" t="s">
        <v>411</v>
      </c>
      <c r="M69" s="74">
        <v>50</v>
      </c>
    </row>
    <row r="70" spans="1:17">
      <c r="L70" s="306" t="s">
        <v>161</v>
      </c>
      <c r="M70" s="304">
        <f>(M67+M68+M69)/120</f>
        <v>0.87</v>
      </c>
    </row>
    <row r="71" spans="1:17">
      <c r="L71" s="73" t="s">
        <v>414</v>
      </c>
      <c r="M71" s="72">
        <f>'V5 Ark 4,Sonepriser'!D75</f>
        <v>23.633269315189338</v>
      </c>
    </row>
    <row r="72" spans="1:17">
      <c r="L72" s="73" t="s">
        <v>415</v>
      </c>
      <c r="M72" s="72">
        <f>'V5 Ark 4,Sonepriser'!C75</f>
        <v>73.797373532104629</v>
      </c>
    </row>
    <row r="73" spans="1:17">
      <c r="L73" s="81"/>
      <c r="M73" s="81"/>
    </row>
    <row r="74" spans="1:17">
      <c r="L74" s="73" t="s">
        <v>326</v>
      </c>
      <c r="M74" s="73" t="s">
        <v>412</v>
      </c>
      <c r="N74" s="81"/>
      <c r="O74" s="81"/>
    </row>
    <row r="75" spans="1:17">
      <c r="A75" s="50"/>
      <c r="L75" s="74">
        <f>M67+M68+M69</f>
        <v>104.4</v>
      </c>
      <c r="M75" s="90">
        <f>L75*M72</f>
        <v>7704.4457967517237</v>
      </c>
      <c r="N75" s="81"/>
      <c r="O75" s="81"/>
    </row>
    <row r="76" spans="1:17">
      <c r="L76" s="73" t="s">
        <v>417</v>
      </c>
      <c r="M76" s="73" t="s">
        <v>178</v>
      </c>
      <c r="N76" s="73" t="s">
        <v>413</v>
      </c>
      <c r="O76" s="73" t="s">
        <v>175</v>
      </c>
    </row>
    <row r="77" spans="1:17">
      <c r="J77" s="81"/>
      <c r="K77" s="81"/>
      <c r="L77" s="166">
        <v>0.05</v>
      </c>
      <c r="M77" s="74">
        <v>304.5</v>
      </c>
      <c r="N77" s="90">
        <f>M77*M71</f>
        <v>7196.330506475153</v>
      </c>
      <c r="O77" s="229">
        <f>N77/L75</f>
        <v>68.930368835968892</v>
      </c>
      <c r="P77" s="100"/>
      <c r="Q77" s="202"/>
    </row>
    <row r="78" spans="1:17">
      <c r="L78" s="166">
        <v>0.48</v>
      </c>
      <c r="M78" s="74">
        <v>326</v>
      </c>
      <c r="N78" s="333">
        <f>M78*M71</f>
        <v>7704.4457967517246</v>
      </c>
      <c r="O78" s="229">
        <f>N78/L75</f>
        <v>73.797373532104643</v>
      </c>
      <c r="P78" s="202"/>
      <c r="Q78" s="100"/>
    </row>
    <row r="79" spans="1:17">
      <c r="A79" s="81"/>
      <c r="B79" s="81"/>
      <c r="C79" s="81"/>
      <c r="D79" s="81"/>
      <c r="E79" s="81"/>
      <c r="L79" s="166">
        <v>1</v>
      </c>
      <c r="M79" s="74">
        <v>352</v>
      </c>
      <c r="N79" s="333">
        <f>M71*M79</f>
        <v>8318.9107989466465</v>
      </c>
      <c r="O79" s="229">
        <f>N79/L75</f>
        <v>79.68305362975714</v>
      </c>
      <c r="P79" s="236"/>
      <c r="Q79" s="236"/>
    </row>
    <row r="80" spans="1:17">
      <c r="A80" s="97"/>
      <c r="B80" s="174"/>
      <c r="C80" s="97"/>
      <c r="D80" s="97"/>
      <c r="E80" s="97"/>
      <c r="O80" s="236"/>
      <c r="P80" s="236"/>
      <c r="Q80" s="236"/>
    </row>
    <row r="81" spans="1:17">
      <c r="A81" s="97"/>
      <c r="B81" s="97"/>
      <c r="C81" s="97"/>
      <c r="D81" s="97"/>
      <c r="E81" s="97"/>
      <c r="O81" s="236"/>
      <c r="P81" s="236"/>
      <c r="Q81" s="203"/>
    </row>
    <row r="82" spans="1:17">
      <c r="A82" s="97"/>
      <c r="B82" s="97"/>
      <c r="C82" s="97"/>
      <c r="D82" s="97"/>
      <c r="E82" s="97"/>
    </row>
    <row r="83" spans="1:17">
      <c r="A83" s="97"/>
      <c r="B83" s="97"/>
      <c r="C83" s="97"/>
      <c r="D83" s="97"/>
      <c r="E83" s="97"/>
    </row>
    <row r="84" spans="1:17">
      <c r="J84" s="81"/>
      <c r="K84" s="81"/>
      <c r="L84" s="81"/>
      <c r="M84" s="81"/>
    </row>
    <row r="86" spans="1:17">
      <c r="A86" s="97"/>
      <c r="B86" s="97"/>
      <c r="C86" s="97"/>
      <c r="D86" s="97"/>
      <c r="E86" s="97"/>
      <c r="F86" s="97"/>
      <c r="G86" s="81"/>
    </row>
    <row r="87" spans="1:17">
      <c r="A87" s="181" t="s">
        <v>304</v>
      </c>
      <c r="B87" s="97"/>
      <c r="C87" s="97"/>
      <c r="D87" s="97"/>
      <c r="E87" s="97"/>
      <c r="F87" s="97"/>
      <c r="G87" s="81"/>
    </row>
    <row r="88" spans="1:17">
      <c r="A88" s="81"/>
      <c r="B88" s="81"/>
      <c r="C88" s="81"/>
      <c r="D88" s="81"/>
      <c r="E88" s="81"/>
      <c r="F88" s="81"/>
      <c r="G88" s="8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19</vt:i4>
      </vt:variant>
      <vt:variant>
        <vt:lpstr>Navngitte områder</vt:lpstr>
      </vt:variant>
      <vt:variant>
        <vt:i4>6</vt:i4>
      </vt:variant>
    </vt:vector>
  </HeadingPairs>
  <TitlesOfParts>
    <vt:vector size="25" baseType="lpstr">
      <vt:lpstr>V5  INFO</vt:lpstr>
      <vt:lpstr>V5  Ark 1, Bil 1</vt:lpstr>
      <vt:lpstr>V5  Ark 2, beregning hastighet</vt:lpstr>
      <vt:lpstr>V5 Ark 3, Input sonepriser</vt:lpstr>
      <vt:lpstr>V5 Ark 4,Sonepriser</vt:lpstr>
      <vt:lpstr>V5 Ark 5, U-grad Aust-Agder</vt:lpstr>
      <vt:lpstr>V5 Ark 6, U-grad effekt </vt:lpstr>
      <vt:lpstr>V5 Ark 7, Forutsetning 1</vt:lpstr>
      <vt:lpstr>V5 Ark 8, Forutsetning 2</vt:lpstr>
      <vt:lpstr>V5 Ark 9, Endring prisformat</vt:lpstr>
      <vt:lpstr>V1 Oppsummering</vt:lpstr>
      <vt:lpstr>V1 Kalkyle bil 1</vt:lpstr>
      <vt:lpstr>V1 Grunnlag alle kalkyler</vt:lpstr>
      <vt:lpstr>V2 Kube transportører</vt:lpstr>
      <vt:lpstr>V2 Kube leveranser kommune</vt:lpstr>
      <vt:lpstr>V2 Planleggingsområder</vt:lpstr>
      <vt:lpstr>V2Kube varer avregnet transport</vt:lpstr>
      <vt:lpstr>V3 Stykkpris </vt:lpstr>
      <vt:lpstr>V4 distansematrisen </vt:lpstr>
      <vt:lpstr>'V1 Grunnlag alle kalkyler'!Utskriftsområde</vt:lpstr>
      <vt:lpstr>'V1 Kalkyle bil 1'!Utskriftsområde</vt:lpstr>
      <vt:lpstr>'V1 Oppsummering'!Utskriftsområde</vt:lpstr>
      <vt:lpstr>'V2 Kube transportører'!Utskriftsområde</vt:lpstr>
      <vt:lpstr>'V3 Stykkpris '!Utskriftsområde</vt:lpstr>
      <vt:lpstr>'V1 Kalkyle bil 1'!Utskriftstitler</vt:lpstr>
    </vt:vector>
  </TitlesOfParts>
  <Manager/>
  <Company>BI Norwegian Business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FGL91014</dc:creator>
  <cp:keywords/>
  <dc:description/>
  <cp:lastModifiedBy>Microsoft Office User</cp:lastModifiedBy>
  <cp:revision/>
  <dcterms:created xsi:type="dcterms:W3CDTF">2013-08-15T08:06:30Z</dcterms:created>
  <dcterms:modified xsi:type="dcterms:W3CDTF">2019-06-02T15:25:32Z</dcterms:modified>
  <cp:category/>
  <cp:contentStatus/>
</cp:coreProperties>
</file>