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Users/Morten/Dropbox/Master (delt)/August/"/>
    </mc:Choice>
  </mc:AlternateContent>
  <bookViews>
    <workbookView xWindow="0" yWindow="460" windowWidth="28800" windowHeight="17460" activeTab="1"/>
  </bookViews>
  <sheets>
    <sheet name="Realisasjon" sheetId="2" r:id="rId1"/>
    <sheet name="Utbytte" sheetId="1" r:id="rId2"/>
    <sheet name="Randomisering" sheetId="3" r:id="rId3"/>
  </sheets>
  <definedNames>
    <definedName name="solver_adj" localSheetId="2" hidden="1">Randomisering!$A$31:$A$149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itr" localSheetId="2" hidden="1">2147483647</definedName>
    <definedName name="solver_lhs1" localSheetId="2" hidden="1">Randomisering!$A$31:$A$149</definedName>
    <definedName name="solver_lhs2" localSheetId="2" hidden="1">Randomisering!$A$31:$A$149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2</definedName>
    <definedName name="solver_opt" localSheetId="2" hidden="1">Randomisering!$A$26</definedName>
    <definedName name="solver_pre" localSheetId="2" hidden="1">0.000001</definedName>
    <definedName name="solver_rbv" localSheetId="2" hidden="1">2</definedName>
    <definedName name="solver_rel1" localSheetId="2" hidden="1">1</definedName>
    <definedName name="solver_rel2" localSheetId="2" hidden="1">3</definedName>
    <definedName name="solver_rhs1" localSheetId="2" hidden="1">Randomisering!$A$21</definedName>
    <definedName name="solver_rhs2" localSheetId="2" hidden="1">Randomisering!$A$22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0.08</definedName>
    <definedName name="solver_ver" localSheetId="2" hidden="1">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AC22" i="2"/>
  <c r="AC21" i="2"/>
  <c r="AB23" i="2"/>
  <c r="P26" i="2"/>
  <c r="B2" i="1"/>
  <c r="P5" i="1"/>
  <c r="Y6" i="1"/>
  <c r="I5" i="1"/>
  <c r="L6" i="1"/>
  <c r="U5" i="1"/>
  <c r="Z6" i="1"/>
  <c r="F5" i="1"/>
  <c r="C31" i="1"/>
  <c r="B7" i="1"/>
  <c r="A26" i="3"/>
  <c r="C5" i="3"/>
  <c r="E32" i="3"/>
  <c r="G31" i="3"/>
  <c r="F31" i="3"/>
  <c r="F32" i="3"/>
  <c r="G32" i="3"/>
  <c r="C4" i="3"/>
  <c r="P32" i="3"/>
  <c r="R31" i="3"/>
  <c r="Q31" i="3"/>
  <c r="Q32" i="3"/>
  <c r="R32" i="3"/>
  <c r="D161" i="3"/>
  <c r="E161" i="3"/>
  <c r="C161" i="3"/>
  <c r="E26" i="2"/>
  <c r="R25" i="2"/>
  <c r="Q25" i="2"/>
  <c r="Q26" i="2"/>
  <c r="D5" i="2"/>
  <c r="G25" i="2"/>
  <c r="F25" i="2"/>
  <c r="F26" i="2"/>
  <c r="G26" i="2"/>
  <c r="I26" i="2"/>
  <c r="J26" i="2"/>
  <c r="C10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96" i="1"/>
  <c r="C22" i="1"/>
  <c r="H5" i="1"/>
  <c r="N5" i="1"/>
  <c r="N6" i="1"/>
  <c r="R5" i="1"/>
  <c r="R6" i="1"/>
  <c r="D155" i="2"/>
  <c r="F6" i="1"/>
  <c r="F7" i="1"/>
  <c r="F8" i="1"/>
  <c r="F9" i="1"/>
  <c r="C96" i="1"/>
  <c r="C155" i="2"/>
  <c r="E155" i="2"/>
  <c r="R26" i="2"/>
  <c r="R28" i="2"/>
  <c r="AA6" i="1"/>
  <c r="U6" i="1"/>
  <c r="X6" i="1"/>
  <c r="Y7" i="1"/>
  <c r="F10" i="1"/>
  <c r="O6" i="1"/>
  <c r="G28" i="2"/>
  <c r="K26" i="2"/>
  <c r="R7" i="1"/>
  <c r="T26" i="2"/>
  <c r="V26" i="2"/>
  <c r="R34" i="3"/>
  <c r="T32" i="3"/>
  <c r="V32" i="3"/>
  <c r="I32" i="3"/>
  <c r="T5" i="1"/>
  <c r="F11" i="1"/>
  <c r="V6" i="1"/>
  <c r="W6" i="1"/>
  <c r="Z7" i="1"/>
  <c r="P28" i="2"/>
  <c r="P29" i="2"/>
  <c r="R29" i="2"/>
  <c r="D156" i="2"/>
  <c r="E28" i="2"/>
  <c r="E29" i="2"/>
  <c r="G29" i="2"/>
  <c r="C156" i="2"/>
  <c r="T6" i="1"/>
  <c r="D97" i="1"/>
  <c r="AC5" i="1"/>
  <c r="D96" i="1"/>
  <c r="P34" i="3"/>
  <c r="P35" i="3"/>
  <c r="R35" i="3"/>
  <c r="D162" i="3"/>
  <c r="R8" i="1"/>
  <c r="P6" i="1"/>
  <c r="M6" i="1"/>
  <c r="J32" i="3"/>
  <c r="E156" i="2"/>
  <c r="G34" i="3"/>
  <c r="R9" i="1"/>
  <c r="I29" i="2"/>
  <c r="K32" i="3"/>
  <c r="AC6" i="1"/>
  <c r="AD6" i="1"/>
  <c r="F12" i="1"/>
  <c r="I6" i="1"/>
  <c r="N7" i="1"/>
  <c r="R31" i="2"/>
  <c r="T29" i="2"/>
  <c r="V29" i="2"/>
  <c r="T35" i="3"/>
  <c r="V35" i="3"/>
  <c r="R37" i="3"/>
  <c r="AA7" i="1"/>
  <c r="H6" i="1"/>
  <c r="C97" i="1"/>
  <c r="L7" i="1"/>
  <c r="E34" i="3"/>
  <c r="E35" i="3"/>
  <c r="G35" i="3"/>
  <c r="C162" i="3"/>
  <c r="E162" i="3"/>
  <c r="P31" i="2"/>
  <c r="P32" i="2"/>
  <c r="R32" i="2"/>
  <c r="D157" i="2"/>
  <c r="J6" i="1"/>
  <c r="AC7" i="1"/>
  <c r="O7" i="1"/>
  <c r="P37" i="3"/>
  <c r="P38" i="3"/>
  <c r="R38" i="3"/>
  <c r="D163" i="3"/>
  <c r="U7" i="1"/>
  <c r="X7" i="1"/>
  <c r="Y8" i="1"/>
  <c r="F13" i="1"/>
  <c r="J29" i="2"/>
  <c r="K29" i="2"/>
  <c r="R10" i="1"/>
  <c r="P7" i="1"/>
  <c r="R40" i="3"/>
  <c r="T38" i="3"/>
  <c r="V38" i="3"/>
  <c r="I35" i="3"/>
  <c r="R11" i="1"/>
  <c r="G31" i="2"/>
  <c r="V7" i="1"/>
  <c r="W7" i="1"/>
  <c r="Z8" i="1"/>
  <c r="T7" i="1"/>
  <c r="D98" i="1"/>
  <c r="R34" i="2"/>
  <c r="T32" i="2"/>
  <c r="V32" i="2"/>
  <c r="M7" i="1"/>
  <c r="F14" i="1"/>
  <c r="AD7" i="1"/>
  <c r="AC8" i="1"/>
  <c r="AD8" i="1"/>
  <c r="AC9" i="1"/>
  <c r="F15" i="1"/>
  <c r="AA8" i="1"/>
  <c r="P34" i="2"/>
  <c r="P35" i="2"/>
  <c r="R35" i="2"/>
  <c r="D158" i="2"/>
  <c r="J35" i="3"/>
  <c r="R12" i="1"/>
  <c r="I7" i="1"/>
  <c r="N8" i="1"/>
  <c r="E31" i="2"/>
  <c r="E32" i="2"/>
  <c r="G32" i="2"/>
  <c r="C157" i="2"/>
  <c r="E157" i="2"/>
  <c r="D164" i="3"/>
  <c r="P40" i="3"/>
  <c r="P41" i="3"/>
  <c r="R41" i="3"/>
  <c r="AD9" i="1"/>
  <c r="R37" i="2"/>
  <c r="T35" i="2"/>
  <c r="V35" i="2"/>
  <c r="F16" i="1"/>
  <c r="H7" i="1"/>
  <c r="C98" i="1"/>
  <c r="L8" i="1"/>
  <c r="R13" i="1"/>
  <c r="I32" i="2"/>
  <c r="J7" i="1"/>
  <c r="G37" i="3"/>
  <c r="T41" i="3"/>
  <c r="V41" i="3"/>
  <c r="R43" i="3"/>
  <c r="O8" i="1"/>
  <c r="K35" i="3"/>
  <c r="U8" i="1"/>
  <c r="X8" i="1"/>
  <c r="Y9" i="1"/>
  <c r="P8" i="1"/>
  <c r="M8" i="1"/>
  <c r="P37" i="2"/>
  <c r="P38" i="2"/>
  <c r="R38" i="2"/>
  <c r="D159" i="2"/>
  <c r="P43" i="3"/>
  <c r="P44" i="3"/>
  <c r="R44" i="3"/>
  <c r="D165" i="3"/>
  <c r="Z9" i="1"/>
  <c r="V8" i="1"/>
  <c r="W8" i="1"/>
  <c r="T8" i="1"/>
  <c r="D99" i="1"/>
  <c r="E37" i="3"/>
  <c r="E38" i="3"/>
  <c r="G38" i="3"/>
  <c r="C163" i="3"/>
  <c r="E163" i="3"/>
  <c r="R14" i="1"/>
  <c r="J32" i="2"/>
  <c r="F17" i="1"/>
  <c r="AC10" i="1"/>
  <c r="AA9" i="1"/>
  <c r="I38" i="3"/>
  <c r="R40" i="2"/>
  <c r="T38" i="2"/>
  <c r="V38" i="2"/>
  <c r="F18" i="1"/>
  <c r="G34" i="2"/>
  <c r="T44" i="3"/>
  <c r="V44" i="3"/>
  <c r="R46" i="3"/>
  <c r="AD10" i="1"/>
  <c r="AC11" i="1"/>
  <c r="K32" i="2"/>
  <c r="R15" i="1"/>
  <c r="I8" i="1"/>
  <c r="J8" i="1"/>
  <c r="N9" i="1"/>
  <c r="AD11" i="1"/>
  <c r="AC12" i="1"/>
  <c r="D166" i="3"/>
  <c r="P46" i="3"/>
  <c r="P47" i="3"/>
  <c r="R47" i="3"/>
  <c r="P40" i="2"/>
  <c r="P41" i="2"/>
  <c r="R41" i="2"/>
  <c r="D160" i="2"/>
  <c r="R16" i="1"/>
  <c r="L9" i="1"/>
  <c r="H8" i="1"/>
  <c r="C99" i="1"/>
  <c r="F19" i="1"/>
  <c r="O9" i="1"/>
  <c r="C158" i="2"/>
  <c r="E158" i="2"/>
  <c r="E34" i="2"/>
  <c r="E35" i="2"/>
  <c r="G35" i="2"/>
  <c r="J38" i="3"/>
  <c r="U9" i="1"/>
  <c r="P9" i="1"/>
  <c r="I35" i="2"/>
  <c r="R49" i="3"/>
  <c r="T47" i="3"/>
  <c r="V47" i="3"/>
  <c r="V9" i="1"/>
  <c r="W9" i="1"/>
  <c r="Z10" i="1"/>
  <c r="T9" i="1"/>
  <c r="D100" i="1"/>
  <c r="F20" i="1"/>
  <c r="R17" i="1"/>
  <c r="AD12" i="1"/>
  <c r="AC13" i="1"/>
  <c r="X9" i="1"/>
  <c r="Y10" i="1"/>
  <c r="G40" i="3"/>
  <c r="K38" i="3"/>
  <c r="M9" i="1"/>
  <c r="R43" i="2"/>
  <c r="T41" i="2"/>
  <c r="V41" i="2"/>
  <c r="I9" i="1"/>
  <c r="N10" i="1"/>
  <c r="P43" i="2"/>
  <c r="P44" i="2"/>
  <c r="R44" i="2"/>
  <c r="D161" i="2"/>
  <c r="E40" i="3"/>
  <c r="E41" i="3"/>
  <c r="G41" i="3"/>
  <c r="C164" i="3"/>
  <c r="E164" i="3"/>
  <c r="P49" i="3"/>
  <c r="P50" i="3"/>
  <c r="R50" i="3"/>
  <c r="D167" i="3"/>
  <c r="AD13" i="1"/>
  <c r="AC14" i="1"/>
  <c r="R18" i="1"/>
  <c r="AA10" i="1"/>
  <c r="F21" i="1"/>
  <c r="J35" i="2"/>
  <c r="K35" i="2"/>
  <c r="O10" i="1"/>
  <c r="I41" i="3"/>
  <c r="L10" i="1"/>
  <c r="H9" i="1"/>
  <c r="C100" i="1"/>
  <c r="AD14" i="1"/>
  <c r="AC15" i="1"/>
  <c r="G37" i="2"/>
  <c r="U10" i="1"/>
  <c r="F22" i="1"/>
  <c r="R19" i="1"/>
  <c r="R52" i="3"/>
  <c r="T50" i="3"/>
  <c r="V50" i="3"/>
  <c r="R46" i="2"/>
  <c r="T44" i="2"/>
  <c r="V44" i="2"/>
  <c r="J9" i="1"/>
  <c r="AD15" i="1"/>
  <c r="AC16" i="1"/>
  <c r="V10" i="1"/>
  <c r="W10" i="1"/>
  <c r="Z11" i="1"/>
  <c r="T10" i="1"/>
  <c r="D101" i="1"/>
  <c r="F23" i="1"/>
  <c r="P46" i="2"/>
  <c r="P47" i="2"/>
  <c r="R47" i="2"/>
  <c r="D162" i="2"/>
  <c r="R20" i="1"/>
  <c r="C159" i="2"/>
  <c r="E159" i="2"/>
  <c r="E37" i="2"/>
  <c r="E38" i="2"/>
  <c r="G38" i="2"/>
  <c r="J41" i="3"/>
  <c r="K41" i="3"/>
  <c r="D168" i="3"/>
  <c r="P52" i="3"/>
  <c r="P53" i="3"/>
  <c r="R53" i="3"/>
  <c r="X10" i="1"/>
  <c r="Y11" i="1"/>
  <c r="M10" i="1"/>
  <c r="P10" i="1"/>
  <c r="AD16" i="1"/>
  <c r="AC17" i="1"/>
  <c r="R49" i="2"/>
  <c r="T47" i="2"/>
  <c r="V47" i="2"/>
  <c r="AA11" i="1"/>
  <c r="I10" i="1"/>
  <c r="J10" i="1"/>
  <c r="N11" i="1"/>
  <c r="G43" i="3"/>
  <c r="R21" i="1"/>
  <c r="F24" i="1"/>
  <c r="T53" i="3"/>
  <c r="V53" i="3"/>
  <c r="R55" i="3"/>
  <c r="I38" i="2"/>
  <c r="R22" i="1"/>
  <c r="C165" i="3"/>
  <c r="E165" i="3"/>
  <c r="E43" i="3"/>
  <c r="E44" i="3"/>
  <c r="G44" i="3"/>
  <c r="L11" i="1"/>
  <c r="H10" i="1"/>
  <c r="C101" i="1"/>
  <c r="P49" i="2"/>
  <c r="P50" i="2"/>
  <c r="R50" i="2"/>
  <c r="D163" i="2"/>
  <c r="J38" i="2"/>
  <c r="AD17" i="1"/>
  <c r="AC18" i="1"/>
  <c r="F25" i="1"/>
  <c r="O11" i="1"/>
  <c r="D169" i="3"/>
  <c r="P55" i="3"/>
  <c r="P56" i="3"/>
  <c r="R56" i="3"/>
  <c r="U11" i="1"/>
  <c r="P11" i="1"/>
  <c r="Z12" i="1"/>
  <c r="AA12" i="1"/>
  <c r="V11" i="1"/>
  <c r="W11" i="1"/>
  <c r="T11" i="1"/>
  <c r="D102" i="1"/>
  <c r="I44" i="3"/>
  <c r="AD18" i="1"/>
  <c r="AC19" i="1"/>
  <c r="R52" i="2"/>
  <c r="T50" i="2"/>
  <c r="V50" i="2"/>
  <c r="X11" i="1"/>
  <c r="Y12" i="1"/>
  <c r="T56" i="3"/>
  <c r="V56" i="3"/>
  <c r="R58" i="3"/>
  <c r="G40" i="2"/>
  <c r="F26" i="1"/>
  <c r="K38" i="2"/>
  <c r="M11" i="1"/>
  <c r="R23" i="1"/>
  <c r="R24" i="1"/>
  <c r="E40" i="2"/>
  <c r="E41" i="2"/>
  <c r="G41" i="2"/>
  <c r="C160" i="2"/>
  <c r="E160" i="2"/>
  <c r="AD19" i="1"/>
  <c r="AC20" i="1"/>
  <c r="F27" i="1"/>
  <c r="J44" i="3"/>
  <c r="K44" i="3"/>
  <c r="I11" i="1"/>
  <c r="N12" i="1"/>
  <c r="P58" i="3"/>
  <c r="P59" i="3"/>
  <c r="R59" i="3"/>
  <c r="D170" i="3"/>
  <c r="P52" i="2"/>
  <c r="P53" i="2"/>
  <c r="R53" i="2"/>
  <c r="D164" i="2"/>
  <c r="U12" i="1"/>
  <c r="X12" i="1"/>
  <c r="Y13" i="1"/>
  <c r="L12" i="1"/>
  <c r="H11" i="1"/>
  <c r="C102" i="1"/>
  <c r="R55" i="2"/>
  <c r="T53" i="2"/>
  <c r="V53" i="2"/>
  <c r="F28" i="1"/>
  <c r="I41" i="2"/>
  <c r="J11" i="1"/>
  <c r="Z13" i="1"/>
  <c r="AA13" i="1"/>
  <c r="V12" i="1"/>
  <c r="W12" i="1"/>
  <c r="T12" i="1"/>
  <c r="D103" i="1"/>
  <c r="R61" i="3"/>
  <c r="T59" i="3"/>
  <c r="V59" i="3"/>
  <c r="AD20" i="1"/>
  <c r="AC21" i="1"/>
  <c r="O12" i="1"/>
  <c r="P12" i="1"/>
  <c r="G46" i="3"/>
  <c r="R25" i="1"/>
  <c r="E46" i="3"/>
  <c r="E47" i="3"/>
  <c r="G47" i="3"/>
  <c r="C166" i="3"/>
  <c r="E166" i="3"/>
  <c r="AD21" i="1"/>
  <c r="AC22" i="1"/>
  <c r="J41" i="2"/>
  <c r="K41" i="2"/>
  <c r="U13" i="1"/>
  <c r="X13" i="1"/>
  <c r="Y14" i="1"/>
  <c r="P55" i="2"/>
  <c r="P56" i="2"/>
  <c r="R56" i="2"/>
  <c r="D165" i="2"/>
  <c r="D171" i="3"/>
  <c r="P61" i="3"/>
  <c r="P62" i="3"/>
  <c r="R62" i="3"/>
  <c r="F29" i="1"/>
  <c r="R26" i="1"/>
  <c r="M12" i="1"/>
  <c r="AD22" i="1"/>
  <c r="AC23" i="1"/>
  <c r="R64" i="3"/>
  <c r="T62" i="3"/>
  <c r="V62" i="3"/>
  <c r="V13" i="1"/>
  <c r="W13" i="1"/>
  <c r="Z14" i="1"/>
  <c r="AA14" i="1"/>
  <c r="T13" i="1"/>
  <c r="D104" i="1"/>
  <c r="R27" i="1"/>
  <c r="I12" i="1"/>
  <c r="N13" i="1"/>
  <c r="F30" i="1"/>
  <c r="R58" i="2"/>
  <c r="T56" i="2"/>
  <c r="V56" i="2"/>
  <c r="G43" i="2"/>
  <c r="I47" i="3"/>
  <c r="L13" i="1"/>
  <c r="H12" i="1"/>
  <c r="C103" i="1"/>
  <c r="R28" i="1"/>
  <c r="J47" i="3"/>
  <c r="K47" i="3"/>
  <c r="F31" i="1"/>
  <c r="P64" i="3"/>
  <c r="P65" i="3"/>
  <c r="R65" i="3"/>
  <c r="D172" i="3"/>
  <c r="AD23" i="1"/>
  <c r="AC24" i="1"/>
  <c r="O13" i="1"/>
  <c r="U14" i="1"/>
  <c r="X14" i="1"/>
  <c r="Y15" i="1"/>
  <c r="E43" i="2"/>
  <c r="E44" i="2"/>
  <c r="G44" i="2"/>
  <c r="C161" i="2"/>
  <c r="E161" i="2"/>
  <c r="P58" i="2"/>
  <c r="P59" i="2"/>
  <c r="R59" i="2"/>
  <c r="D166" i="2"/>
  <c r="J12" i="1"/>
  <c r="P13" i="1"/>
  <c r="AD24" i="1"/>
  <c r="AC25" i="1"/>
  <c r="V14" i="1"/>
  <c r="W14" i="1"/>
  <c r="Z15" i="1"/>
  <c r="AA15" i="1"/>
  <c r="T14" i="1"/>
  <c r="D105" i="1"/>
  <c r="F32" i="1"/>
  <c r="R29" i="1"/>
  <c r="R61" i="2"/>
  <c r="T59" i="2"/>
  <c r="V59" i="2"/>
  <c r="I44" i="2"/>
  <c r="R67" i="3"/>
  <c r="T65" i="3"/>
  <c r="V65" i="3"/>
  <c r="G49" i="3"/>
  <c r="M13" i="1"/>
  <c r="P67" i="3"/>
  <c r="P68" i="3"/>
  <c r="R68" i="3"/>
  <c r="D173" i="3"/>
  <c r="I13" i="1"/>
  <c r="N14" i="1"/>
  <c r="C167" i="3"/>
  <c r="E167" i="3"/>
  <c r="E49" i="3"/>
  <c r="E50" i="3"/>
  <c r="G50" i="3"/>
  <c r="P61" i="2"/>
  <c r="P62" i="2"/>
  <c r="R62" i="2"/>
  <c r="D167" i="2"/>
  <c r="F33" i="1"/>
  <c r="AD25" i="1"/>
  <c r="AC26" i="1"/>
  <c r="J44" i="2"/>
  <c r="R30" i="1"/>
  <c r="U15" i="1"/>
  <c r="R31" i="1"/>
  <c r="L14" i="1"/>
  <c r="H13" i="1"/>
  <c r="C104" i="1"/>
  <c r="R64" i="2"/>
  <c r="T62" i="2"/>
  <c r="V62" i="2"/>
  <c r="I50" i="3"/>
  <c r="J13" i="1"/>
  <c r="AD26" i="1"/>
  <c r="AC27" i="1"/>
  <c r="Z16" i="1"/>
  <c r="AA16" i="1"/>
  <c r="V15" i="1"/>
  <c r="W15" i="1"/>
  <c r="T15" i="1"/>
  <c r="D106" i="1"/>
  <c r="G46" i="2"/>
  <c r="X15" i="1"/>
  <c r="Y16" i="1"/>
  <c r="K44" i="2"/>
  <c r="F34" i="1"/>
  <c r="O14" i="1"/>
  <c r="R70" i="3"/>
  <c r="T68" i="3"/>
  <c r="V68" i="3"/>
  <c r="P14" i="1"/>
  <c r="AD27" i="1"/>
  <c r="AC28" i="1"/>
  <c r="J50" i="3"/>
  <c r="M14" i="1"/>
  <c r="F35" i="1"/>
  <c r="P70" i="3"/>
  <c r="P71" i="3"/>
  <c r="R71" i="3"/>
  <c r="D174" i="3"/>
  <c r="C162" i="2"/>
  <c r="E162" i="2"/>
  <c r="E46" i="2"/>
  <c r="E47" i="2"/>
  <c r="G47" i="2"/>
  <c r="U16" i="1"/>
  <c r="X16" i="1"/>
  <c r="Y17" i="1"/>
  <c r="P64" i="2"/>
  <c r="P65" i="2"/>
  <c r="R65" i="2"/>
  <c r="D168" i="2"/>
  <c r="R32" i="1"/>
  <c r="AD28" i="1"/>
  <c r="AC29" i="1"/>
  <c r="T71" i="3"/>
  <c r="V71" i="3"/>
  <c r="R73" i="3"/>
  <c r="G52" i="3"/>
  <c r="R33" i="1"/>
  <c r="I47" i="2"/>
  <c r="K50" i="3"/>
  <c r="R67" i="2"/>
  <c r="T65" i="2"/>
  <c r="V65" i="2"/>
  <c r="F36" i="1"/>
  <c r="Z17" i="1"/>
  <c r="AA17" i="1"/>
  <c r="V16" i="1"/>
  <c r="W16" i="1"/>
  <c r="T16" i="1"/>
  <c r="D107" i="1"/>
  <c r="I14" i="1"/>
  <c r="J14" i="1"/>
  <c r="N15" i="1"/>
  <c r="D175" i="3"/>
  <c r="P73" i="3"/>
  <c r="P74" i="3"/>
  <c r="R74" i="3"/>
  <c r="O15" i="1"/>
  <c r="F37" i="1"/>
  <c r="R34" i="1"/>
  <c r="AD29" i="1"/>
  <c r="AC30" i="1"/>
  <c r="J47" i="2"/>
  <c r="E52" i="3"/>
  <c r="E53" i="3"/>
  <c r="G53" i="3"/>
  <c r="C168" i="3"/>
  <c r="E168" i="3"/>
  <c r="L15" i="1"/>
  <c r="H14" i="1"/>
  <c r="C105" i="1"/>
  <c r="U17" i="1"/>
  <c r="P67" i="2"/>
  <c r="P68" i="2"/>
  <c r="R68" i="2"/>
  <c r="D169" i="2"/>
  <c r="M15" i="1"/>
  <c r="G49" i="2"/>
  <c r="P15" i="1"/>
  <c r="N16" i="1"/>
  <c r="I15" i="1"/>
  <c r="K47" i="2"/>
  <c r="R35" i="1"/>
  <c r="R70" i="2"/>
  <c r="T68" i="2"/>
  <c r="V68" i="2"/>
  <c r="V17" i="1"/>
  <c r="W17" i="1"/>
  <c r="Z18" i="1"/>
  <c r="AA18" i="1"/>
  <c r="T17" i="1"/>
  <c r="D108" i="1"/>
  <c r="AD30" i="1"/>
  <c r="AC31" i="1"/>
  <c r="R76" i="3"/>
  <c r="T74" i="3"/>
  <c r="V74" i="3"/>
  <c r="X17" i="1"/>
  <c r="Y18" i="1"/>
  <c r="I53" i="3"/>
  <c r="F38" i="1"/>
  <c r="AD31" i="1"/>
  <c r="AC32" i="1"/>
  <c r="O16" i="1"/>
  <c r="L16" i="1"/>
  <c r="H15" i="1"/>
  <c r="C106" i="1"/>
  <c r="F39" i="1"/>
  <c r="R36" i="1"/>
  <c r="J53" i="3"/>
  <c r="K53" i="3"/>
  <c r="E49" i="2"/>
  <c r="E50" i="2"/>
  <c r="G50" i="2"/>
  <c r="C163" i="2"/>
  <c r="E163" i="2"/>
  <c r="P76" i="3"/>
  <c r="P77" i="3"/>
  <c r="R77" i="3"/>
  <c r="D176" i="3"/>
  <c r="U18" i="1"/>
  <c r="X18" i="1"/>
  <c r="Y19" i="1"/>
  <c r="P70" i="2"/>
  <c r="P71" i="2"/>
  <c r="R71" i="2"/>
  <c r="D170" i="2"/>
  <c r="J15" i="1"/>
  <c r="P16" i="1"/>
  <c r="AD32" i="1"/>
  <c r="AC33" i="1"/>
  <c r="R73" i="2"/>
  <c r="T71" i="2"/>
  <c r="V71" i="2"/>
  <c r="R79" i="3"/>
  <c r="T77" i="3"/>
  <c r="V77" i="3"/>
  <c r="G55" i="3"/>
  <c r="F40" i="1"/>
  <c r="V18" i="1"/>
  <c r="W18" i="1"/>
  <c r="Z19" i="1"/>
  <c r="AA19" i="1"/>
  <c r="T18" i="1"/>
  <c r="D109" i="1"/>
  <c r="I50" i="2"/>
  <c r="R37" i="1"/>
  <c r="M16" i="1"/>
  <c r="I16" i="1"/>
  <c r="J16" i="1"/>
  <c r="N17" i="1"/>
  <c r="R38" i="1"/>
  <c r="F41" i="1"/>
  <c r="P79" i="3"/>
  <c r="P80" i="3"/>
  <c r="R80" i="3"/>
  <c r="D177" i="3"/>
  <c r="AD33" i="1"/>
  <c r="AC34" i="1"/>
  <c r="U19" i="1"/>
  <c r="C169" i="3"/>
  <c r="E169" i="3"/>
  <c r="E55" i="3"/>
  <c r="E56" i="3"/>
  <c r="G56" i="3"/>
  <c r="J50" i="2"/>
  <c r="P73" i="2"/>
  <c r="P74" i="2"/>
  <c r="R74" i="2"/>
  <c r="D171" i="2"/>
  <c r="AD34" i="1"/>
  <c r="AC35" i="1"/>
  <c r="V19" i="1"/>
  <c r="W19" i="1"/>
  <c r="Z20" i="1"/>
  <c r="AA20" i="1"/>
  <c r="T19" i="1"/>
  <c r="D110" i="1"/>
  <c r="R82" i="3"/>
  <c r="T80" i="3"/>
  <c r="V80" i="3"/>
  <c r="G52" i="2"/>
  <c r="I56" i="3"/>
  <c r="O17" i="1"/>
  <c r="R76" i="2"/>
  <c r="T74" i="2"/>
  <c r="V74" i="2"/>
  <c r="F42" i="1"/>
  <c r="K50" i="2"/>
  <c r="X19" i="1"/>
  <c r="Y20" i="1"/>
  <c r="R39" i="1"/>
  <c r="L17" i="1"/>
  <c r="M17" i="1"/>
  <c r="H16" i="1"/>
  <c r="C107" i="1"/>
  <c r="I17" i="1"/>
  <c r="J17" i="1"/>
  <c r="U20" i="1"/>
  <c r="X20" i="1"/>
  <c r="Y21" i="1"/>
  <c r="P17" i="1"/>
  <c r="N18" i="1"/>
  <c r="AD35" i="1"/>
  <c r="AC36" i="1"/>
  <c r="P76" i="2"/>
  <c r="P77" i="2"/>
  <c r="R77" i="2"/>
  <c r="D172" i="2"/>
  <c r="J56" i="3"/>
  <c r="R40" i="1"/>
  <c r="D178" i="3"/>
  <c r="P82" i="3"/>
  <c r="P83" i="3"/>
  <c r="R83" i="3"/>
  <c r="F43" i="1"/>
  <c r="E52" i="2"/>
  <c r="E53" i="2"/>
  <c r="G53" i="2"/>
  <c r="C164" i="2"/>
  <c r="E164" i="2"/>
  <c r="AD36" i="1"/>
  <c r="AC37" i="1"/>
  <c r="R41" i="1"/>
  <c r="R79" i="2"/>
  <c r="T77" i="2"/>
  <c r="V77" i="2"/>
  <c r="Z21" i="1"/>
  <c r="AA21" i="1"/>
  <c r="V20" i="1"/>
  <c r="W20" i="1"/>
  <c r="T20" i="1"/>
  <c r="D111" i="1"/>
  <c r="F44" i="1"/>
  <c r="I53" i="2"/>
  <c r="R85" i="3"/>
  <c r="T83" i="3"/>
  <c r="V83" i="3"/>
  <c r="G58" i="3"/>
  <c r="O18" i="1"/>
  <c r="K56" i="3"/>
  <c r="L18" i="1"/>
  <c r="M18" i="1"/>
  <c r="H17" i="1"/>
  <c r="C108" i="1"/>
  <c r="AD37" i="1"/>
  <c r="AC38" i="1"/>
  <c r="J53" i="2"/>
  <c r="K53" i="2"/>
  <c r="P18" i="1"/>
  <c r="N19" i="1"/>
  <c r="R42" i="1"/>
  <c r="I18" i="1"/>
  <c r="U21" i="1"/>
  <c r="D179" i="3"/>
  <c r="P85" i="3"/>
  <c r="P86" i="3"/>
  <c r="R86" i="3"/>
  <c r="F45" i="1"/>
  <c r="E58" i="3"/>
  <c r="E59" i="3"/>
  <c r="G59" i="3"/>
  <c r="C170" i="3"/>
  <c r="E170" i="3"/>
  <c r="P79" i="2"/>
  <c r="P80" i="2"/>
  <c r="R80" i="2"/>
  <c r="D173" i="2"/>
  <c r="AD38" i="1"/>
  <c r="AC39" i="1"/>
  <c r="L19" i="1"/>
  <c r="H18" i="1"/>
  <c r="C109" i="1"/>
  <c r="O19" i="1"/>
  <c r="Z22" i="1"/>
  <c r="AA22" i="1"/>
  <c r="V21" i="1"/>
  <c r="W21" i="1"/>
  <c r="T21" i="1"/>
  <c r="D112" i="1"/>
  <c r="G55" i="2"/>
  <c r="R82" i="2"/>
  <c r="T80" i="2"/>
  <c r="V80" i="2"/>
  <c r="R88" i="3"/>
  <c r="T86" i="3"/>
  <c r="V86" i="3"/>
  <c r="X21" i="1"/>
  <c r="Y22" i="1"/>
  <c r="R43" i="1"/>
  <c r="I59" i="3"/>
  <c r="J18" i="1"/>
  <c r="P19" i="1"/>
  <c r="P88" i="3"/>
  <c r="P89" i="3"/>
  <c r="R89" i="3"/>
  <c r="D180" i="3"/>
  <c r="E55" i="2"/>
  <c r="E56" i="2"/>
  <c r="G56" i="2"/>
  <c r="C165" i="2"/>
  <c r="E165" i="2"/>
  <c r="U22" i="1"/>
  <c r="X22" i="1"/>
  <c r="Y23" i="1"/>
  <c r="M19" i="1"/>
  <c r="AD39" i="1"/>
  <c r="AC40" i="1"/>
  <c r="R44" i="1"/>
  <c r="J59" i="3"/>
  <c r="P82" i="2"/>
  <c r="P83" i="2"/>
  <c r="R83" i="2"/>
  <c r="D174" i="2"/>
  <c r="AD40" i="1"/>
  <c r="AC41" i="1"/>
  <c r="I19" i="1"/>
  <c r="N20" i="1"/>
  <c r="I56" i="2"/>
  <c r="G61" i="3"/>
  <c r="R85" i="2"/>
  <c r="T83" i="2"/>
  <c r="V83" i="2"/>
  <c r="R45" i="1"/>
  <c r="K59" i="3"/>
  <c r="V22" i="1"/>
  <c r="W22" i="1"/>
  <c r="Z23" i="1"/>
  <c r="AA23" i="1"/>
  <c r="T22" i="1"/>
  <c r="D113" i="1"/>
  <c r="T89" i="3"/>
  <c r="V89" i="3"/>
  <c r="R91" i="3"/>
  <c r="P85" i="2"/>
  <c r="P86" i="2"/>
  <c r="R86" i="2"/>
  <c r="D175" i="2"/>
  <c r="L20" i="1"/>
  <c r="M20" i="1"/>
  <c r="H19" i="1"/>
  <c r="C110" i="1"/>
  <c r="U23" i="1"/>
  <c r="J56" i="2"/>
  <c r="K56" i="2"/>
  <c r="J19" i="1"/>
  <c r="AD41" i="1"/>
  <c r="AC42" i="1"/>
  <c r="C171" i="3"/>
  <c r="E171" i="3"/>
  <c r="E61" i="3"/>
  <c r="E62" i="3"/>
  <c r="G62" i="3"/>
  <c r="P91" i="3"/>
  <c r="P92" i="3"/>
  <c r="R92" i="3"/>
  <c r="D181" i="3"/>
  <c r="O20" i="1"/>
  <c r="G58" i="2"/>
  <c r="I20" i="1"/>
  <c r="R94" i="3"/>
  <c r="T92" i="3"/>
  <c r="V92" i="3"/>
  <c r="AD42" i="1"/>
  <c r="AC43" i="1"/>
  <c r="I62" i="3"/>
  <c r="V23" i="1"/>
  <c r="W23" i="1"/>
  <c r="Z24" i="1"/>
  <c r="AA24" i="1"/>
  <c r="T23" i="1"/>
  <c r="D114" i="1"/>
  <c r="P20" i="1"/>
  <c r="N21" i="1"/>
  <c r="X23" i="1"/>
  <c r="Y24" i="1"/>
  <c r="R88" i="2"/>
  <c r="T86" i="2"/>
  <c r="V86" i="2"/>
  <c r="L21" i="1"/>
  <c r="H20" i="1"/>
  <c r="C111" i="1"/>
  <c r="C166" i="2"/>
  <c r="E166" i="2"/>
  <c r="E58" i="2"/>
  <c r="E59" i="2"/>
  <c r="G59" i="2"/>
  <c r="O21" i="1"/>
  <c r="P21" i="1"/>
  <c r="AD43" i="1"/>
  <c r="AC44" i="1"/>
  <c r="P88" i="2"/>
  <c r="P89" i="2"/>
  <c r="R89" i="2"/>
  <c r="D176" i="2"/>
  <c r="J62" i="3"/>
  <c r="K62" i="3"/>
  <c r="D182" i="3"/>
  <c r="P94" i="3"/>
  <c r="P95" i="3"/>
  <c r="R95" i="3"/>
  <c r="U24" i="1"/>
  <c r="J20" i="1"/>
  <c r="I59" i="2"/>
  <c r="Z25" i="1"/>
  <c r="AA25" i="1"/>
  <c r="V24" i="1"/>
  <c r="W24" i="1"/>
  <c r="T24" i="1"/>
  <c r="D115" i="1"/>
  <c r="AD44" i="1"/>
  <c r="AC45" i="1"/>
  <c r="AD45" i="1"/>
  <c r="AD47" i="1"/>
  <c r="G64" i="3"/>
  <c r="X24" i="1"/>
  <c r="Y25" i="1"/>
  <c r="T95" i="3"/>
  <c r="V95" i="3"/>
  <c r="R97" i="3"/>
  <c r="R91" i="2"/>
  <c r="T89" i="2"/>
  <c r="V89" i="2"/>
  <c r="M21" i="1"/>
  <c r="U25" i="1"/>
  <c r="X25" i="1"/>
  <c r="Y26" i="1"/>
  <c r="P97" i="3"/>
  <c r="P98" i="3"/>
  <c r="R98" i="3"/>
  <c r="D183" i="3"/>
  <c r="P91" i="2"/>
  <c r="P92" i="2"/>
  <c r="R92" i="2"/>
  <c r="D177" i="2"/>
  <c r="I21" i="1"/>
  <c r="J21" i="1"/>
  <c r="N22" i="1"/>
  <c r="C172" i="3"/>
  <c r="E172" i="3"/>
  <c r="E64" i="3"/>
  <c r="E65" i="3"/>
  <c r="G65" i="3"/>
  <c r="J59" i="2"/>
  <c r="I65" i="3"/>
  <c r="R100" i="3"/>
  <c r="T98" i="3"/>
  <c r="V98" i="3"/>
  <c r="G61" i="2"/>
  <c r="L22" i="1"/>
  <c r="H21" i="1"/>
  <c r="C112" i="1"/>
  <c r="K59" i="2"/>
  <c r="O22" i="1"/>
  <c r="R94" i="2"/>
  <c r="T92" i="2"/>
  <c r="V92" i="2"/>
  <c r="V25" i="1"/>
  <c r="W25" i="1"/>
  <c r="Z26" i="1"/>
  <c r="AA26" i="1"/>
  <c r="T25" i="1"/>
  <c r="D116" i="1"/>
  <c r="M22" i="1"/>
  <c r="D184" i="3"/>
  <c r="P100" i="3"/>
  <c r="P101" i="3"/>
  <c r="R101" i="3"/>
  <c r="I22" i="1"/>
  <c r="E61" i="2"/>
  <c r="E62" i="2"/>
  <c r="G62" i="2"/>
  <c r="C167" i="2"/>
  <c r="E167" i="2"/>
  <c r="K65" i="3"/>
  <c r="J65" i="3"/>
  <c r="P94" i="2"/>
  <c r="P95" i="2"/>
  <c r="R95" i="2"/>
  <c r="D178" i="2"/>
  <c r="U26" i="1"/>
  <c r="P22" i="1"/>
  <c r="N23" i="1"/>
  <c r="O23" i="1"/>
  <c r="V26" i="1"/>
  <c r="W26" i="1"/>
  <c r="Z27" i="1"/>
  <c r="AA27" i="1"/>
  <c r="T26" i="1"/>
  <c r="D117" i="1"/>
  <c r="R97" i="2"/>
  <c r="T95" i="2"/>
  <c r="V95" i="2"/>
  <c r="L23" i="1"/>
  <c r="M23" i="1"/>
  <c r="H22" i="1"/>
  <c r="C113" i="1"/>
  <c r="R103" i="3"/>
  <c r="T101" i="3"/>
  <c r="V101" i="3"/>
  <c r="I62" i="2"/>
  <c r="X26" i="1"/>
  <c r="Y27" i="1"/>
  <c r="G67" i="3"/>
  <c r="J22" i="1"/>
  <c r="I23" i="1"/>
  <c r="U27" i="1"/>
  <c r="X27" i="1"/>
  <c r="Y28" i="1"/>
  <c r="D185" i="3"/>
  <c r="P103" i="3"/>
  <c r="P104" i="3"/>
  <c r="R104" i="3"/>
  <c r="C173" i="3"/>
  <c r="E173" i="3"/>
  <c r="E67" i="3"/>
  <c r="E68" i="3"/>
  <c r="G68" i="3"/>
  <c r="P97" i="2"/>
  <c r="P98" i="2"/>
  <c r="R98" i="2"/>
  <c r="D179" i="2"/>
  <c r="J62" i="2"/>
  <c r="P23" i="1"/>
  <c r="N24" i="1"/>
  <c r="G64" i="2"/>
  <c r="V27" i="1"/>
  <c r="W27" i="1"/>
  <c r="Z28" i="1"/>
  <c r="AA28" i="1"/>
  <c r="T27" i="1"/>
  <c r="D118" i="1"/>
  <c r="L24" i="1"/>
  <c r="H23" i="1"/>
  <c r="C114" i="1"/>
  <c r="O24" i="1"/>
  <c r="R100" i="2"/>
  <c r="T98" i="2"/>
  <c r="V98" i="2"/>
  <c r="R106" i="3"/>
  <c r="T104" i="3"/>
  <c r="V104" i="3"/>
  <c r="K62" i="2"/>
  <c r="I68" i="3"/>
  <c r="J23" i="1"/>
  <c r="M24" i="1"/>
  <c r="I24" i="1"/>
  <c r="U28" i="1"/>
  <c r="X28" i="1"/>
  <c r="Y29" i="1"/>
  <c r="P100" i="2"/>
  <c r="P101" i="2"/>
  <c r="R101" i="2"/>
  <c r="D180" i="2"/>
  <c r="C168" i="2"/>
  <c r="E168" i="2"/>
  <c r="E64" i="2"/>
  <c r="E65" i="2"/>
  <c r="G65" i="2"/>
  <c r="J68" i="3"/>
  <c r="K68" i="3"/>
  <c r="P106" i="3"/>
  <c r="P107" i="3"/>
  <c r="R107" i="3"/>
  <c r="D186" i="3"/>
  <c r="P24" i="1"/>
  <c r="N25" i="1"/>
  <c r="O25" i="1"/>
  <c r="R103" i="2"/>
  <c r="T101" i="2"/>
  <c r="V101" i="2"/>
  <c r="L25" i="1"/>
  <c r="H24" i="1"/>
  <c r="C115" i="1"/>
  <c r="T107" i="3"/>
  <c r="V107" i="3"/>
  <c r="R109" i="3"/>
  <c r="J24" i="1"/>
  <c r="I65" i="2"/>
  <c r="G70" i="3"/>
  <c r="V28" i="1"/>
  <c r="W28" i="1"/>
  <c r="Z29" i="1"/>
  <c r="AA29" i="1"/>
  <c r="T28" i="1"/>
  <c r="D119" i="1"/>
  <c r="P25" i="1"/>
  <c r="D187" i="3"/>
  <c r="P109" i="3"/>
  <c r="P110" i="3"/>
  <c r="R110" i="3"/>
  <c r="C174" i="3"/>
  <c r="E174" i="3"/>
  <c r="E70" i="3"/>
  <c r="E71" i="3"/>
  <c r="G71" i="3"/>
  <c r="P103" i="2"/>
  <c r="P104" i="2"/>
  <c r="R104" i="2"/>
  <c r="D181" i="2"/>
  <c r="J65" i="2"/>
  <c r="K65" i="2"/>
  <c r="U29" i="1"/>
  <c r="X29" i="1"/>
  <c r="Y30" i="1"/>
  <c r="M25" i="1"/>
  <c r="I71" i="3"/>
  <c r="I25" i="1"/>
  <c r="N26" i="1"/>
  <c r="R112" i="3"/>
  <c r="T110" i="3"/>
  <c r="V110" i="3"/>
  <c r="G67" i="2"/>
  <c r="V29" i="1"/>
  <c r="W29" i="1"/>
  <c r="Z30" i="1"/>
  <c r="AA30" i="1"/>
  <c r="T29" i="1"/>
  <c r="D120" i="1"/>
  <c r="R106" i="2"/>
  <c r="T104" i="2"/>
  <c r="V104" i="2"/>
  <c r="L26" i="1"/>
  <c r="H25" i="1"/>
  <c r="C116" i="1"/>
  <c r="U30" i="1"/>
  <c r="X30" i="1"/>
  <c r="Y31" i="1"/>
  <c r="J25" i="1"/>
  <c r="J71" i="3"/>
  <c r="K71" i="3"/>
  <c r="P106" i="2"/>
  <c r="P107" i="2"/>
  <c r="R107" i="2"/>
  <c r="D182" i="2"/>
  <c r="P112" i="3"/>
  <c r="P113" i="3"/>
  <c r="R113" i="3"/>
  <c r="D188" i="3"/>
  <c r="E67" i="2"/>
  <c r="E68" i="2"/>
  <c r="G68" i="2"/>
  <c r="C169" i="2"/>
  <c r="E169" i="2"/>
  <c r="O26" i="1"/>
  <c r="P26" i="1"/>
  <c r="I68" i="2"/>
  <c r="V30" i="1"/>
  <c r="W30" i="1"/>
  <c r="Z31" i="1"/>
  <c r="AA31" i="1"/>
  <c r="T30" i="1"/>
  <c r="D121" i="1"/>
  <c r="R109" i="2"/>
  <c r="T107" i="2"/>
  <c r="V107" i="2"/>
  <c r="R115" i="3"/>
  <c r="T113" i="3"/>
  <c r="V113" i="3"/>
  <c r="G73" i="3"/>
  <c r="M26" i="1"/>
  <c r="U31" i="1"/>
  <c r="X31" i="1"/>
  <c r="Y32" i="1"/>
  <c r="C175" i="3"/>
  <c r="E175" i="3"/>
  <c r="E73" i="3"/>
  <c r="E74" i="3"/>
  <c r="G74" i="3"/>
  <c r="I26" i="1"/>
  <c r="J26" i="1"/>
  <c r="N27" i="1"/>
  <c r="P109" i="2"/>
  <c r="P110" i="2"/>
  <c r="R110" i="2"/>
  <c r="D183" i="2"/>
  <c r="D189" i="3"/>
  <c r="P115" i="3"/>
  <c r="P116" i="3"/>
  <c r="R116" i="3"/>
  <c r="J68" i="2"/>
  <c r="K68" i="2"/>
  <c r="I74" i="3"/>
  <c r="O27" i="1"/>
  <c r="R112" i="2"/>
  <c r="T110" i="2"/>
  <c r="V110" i="2"/>
  <c r="R118" i="3"/>
  <c r="T116" i="3"/>
  <c r="V116" i="3"/>
  <c r="G70" i="2"/>
  <c r="L27" i="1"/>
  <c r="H26" i="1"/>
  <c r="C117" i="1"/>
  <c r="V31" i="1"/>
  <c r="W31" i="1"/>
  <c r="Z32" i="1"/>
  <c r="AA32" i="1"/>
  <c r="T31" i="1"/>
  <c r="D122" i="1"/>
  <c r="P27" i="1"/>
  <c r="U32" i="1"/>
  <c r="X32" i="1"/>
  <c r="Y33" i="1"/>
  <c r="C170" i="2"/>
  <c r="E170" i="2"/>
  <c r="E70" i="2"/>
  <c r="E71" i="2"/>
  <c r="G71" i="2"/>
  <c r="D190" i="3"/>
  <c r="P118" i="3"/>
  <c r="P119" i="3"/>
  <c r="R119" i="3"/>
  <c r="M27" i="1"/>
  <c r="P112" i="2"/>
  <c r="P113" i="2"/>
  <c r="R113" i="2"/>
  <c r="D184" i="2"/>
  <c r="J74" i="3"/>
  <c r="K74" i="3"/>
  <c r="I71" i="2"/>
  <c r="R115" i="2"/>
  <c r="T113" i="2"/>
  <c r="V113" i="2"/>
  <c r="I27" i="1"/>
  <c r="N28" i="1"/>
  <c r="G76" i="3"/>
  <c r="R121" i="3"/>
  <c r="T119" i="3"/>
  <c r="V119" i="3"/>
  <c r="V32" i="1"/>
  <c r="W32" i="1"/>
  <c r="Z33" i="1"/>
  <c r="AA33" i="1"/>
  <c r="T32" i="1"/>
  <c r="D123" i="1"/>
  <c r="P115" i="2"/>
  <c r="P116" i="2"/>
  <c r="R116" i="2"/>
  <c r="D185" i="2"/>
  <c r="U33" i="1"/>
  <c r="O28" i="1"/>
  <c r="P121" i="3"/>
  <c r="P122" i="3"/>
  <c r="R122" i="3"/>
  <c r="D191" i="3"/>
  <c r="L28" i="1"/>
  <c r="H27" i="1"/>
  <c r="C118" i="1"/>
  <c r="E76" i="3"/>
  <c r="E77" i="3"/>
  <c r="G77" i="3"/>
  <c r="C176" i="3"/>
  <c r="E176" i="3"/>
  <c r="J27" i="1"/>
  <c r="J71" i="2"/>
  <c r="K71" i="2"/>
  <c r="M28" i="1"/>
  <c r="I28" i="1"/>
  <c r="V33" i="1"/>
  <c r="W33" i="1"/>
  <c r="Z34" i="1"/>
  <c r="AA34" i="1"/>
  <c r="T33" i="1"/>
  <c r="D124" i="1"/>
  <c r="T122" i="3"/>
  <c r="V122" i="3"/>
  <c r="R124" i="3"/>
  <c r="X33" i="1"/>
  <c r="Y34" i="1"/>
  <c r="I77" i="3"/>
  <c r="G73" i="2"/>
  <c r="P28" i="1"/>
  <c r="R118" i="2"/>
  <c r="T116" i="2"/>
  <c r="V116" i="2"/>
  <c r="N29" i="1"/>
  <c r="O29" i="1"/>
  <c r="P118" i="2"/>
  <c r="P119" i="2"/>
  <c r="R119" i="2"/>
  <c r="D186" i="2"/>
  <c r="C171" i="2"/>
  <c r="E171" i="2"/>
  <c r="E73" i="2"/>
  <c r="E74" i="2"/>
  <c r="G74" i="2"/>
  <c r="L29" i="1"/>
  <c r="H28" i="1"/>
  <c r="C119" i="1"/>
  <c r="J77" i="3"/>
  <c r="K77" i="3"/>
  <c r="D192" i="3"/>
  <c r="P124" i="3"/>
  <c r="P125" i="3"/>
  <c r="R125" i="3"/>
  <c r="U34" i="1"/>
  <c r="X34" i="1"/>
  <c r="Y35" i="1"/>
  <c r="J28" i="1"/>
  <c r="M29" i="1"/>
  <c r="I29" i="1"/>
  <c r="J29" i="1"/>
  <c r="I74" i="2"/>
  <c r="T125" i="3"/>
  <c r="V125" i="3"/>
  <c r="R127" i="3"/>
  <c r="V34" i="1"/>
  <c r="W34" i="1"/>
  <c r="Z35" i="1"/>
  <c r="AA35" i="1"/>
  <c r="T34" i="1"/>
  <c r="D125" i="1"/>
  <c r="G79" i="3"/>
  <c r="P29" i="1"/>
  <c r="R121" i="2"/>
  <c r="T119" i="2"/>
  <c r="V119" i="2"/>
  <c r="N30" i="1"/>
  <c r="O30" i="1"/>
  <c r="P121" i="2"/>
  <c r="P122" i="2"/>
  <c r="R122" i="2"/>
  <c r="D187" i="2"/>
  <c r="D193" i="3"/>
  <c r="P127" i="3"/>
  <c r="P128" i="3"/>
  <c r="R128" i="3"/>
  <c r="L30" i="1"/>
  <c r="M30" i="1"/>
  <c r="H29" i="1"/>
  <c r="C120" i="1"/>
  <c r="U35" i="1"/>
  <c r="X35" i="1"/>
  <c r="Y36" i="1"/>
  <c r="E79" i="3"/>
  <c r="E80" i="3"/>
  <c r="G80" i="3"/>
  <c r="C177" i="3"/>
  <c r="E177" i="3"/>
  <c r="J74" i="2"/>
  <c r="I80" i="3"/>
  <c r="R124" i="2"/>
  <c r="T122" i="2"/>
  <c r="V122" i="2"/>
  <c r="G76" i="2"/>
  <c r="I30" i="1"/>
  <c r="K74" i="2"/>
  <c r="T128" i="3"/>
  <c r="V128" i="3"/>
  <c r="R130" i="3"/>
  <c r="V35" i="1"/>
  <c r="W35" i="1"/>
  <c r="Z36" i="1"/>
  <c r="AA36" i="1"/>
  <c r="T35" i="1"/>
  <c r="D126" i="1"/>
  <c r="P30" i="1"/>
  <c r="N31" i="1"/>
  <c r="O31" i="1"/>
  <c r="P124" i="2"/>
  <c r="P125" i="2"/>
  <c r="R125" i="2"/>
  <c r="D188" i="2"/>
  <c r="P130" i="3"/>
  <c r="P131" i="3"/>
  <c r="R131" i="3"/>
  <c r="D194" i="3"/>
  <c r="L31" i="1"/>
  <c r="H30" i="1"/>
  <c r="C121" i="1"/>
  <c r="U36" i="1"/>
  <c r="X36" i="1"/>
  <c r="Y37" i="1"/>
  <c r="C172" i="2"/>
  <c r="E172" i="2"/>
  <c r="E76" i="2"/>
  <c r="E77" i="2"/>
  <c r="G77" i="2"/>
  <c r="J80" i="3"/>
  <c r="J30" i="1"/>
  <c r="P31" i="1"/>
  <c r="I77" i="2"/>
  <c r="M31" i="1"/>
  <c r="R127" i="2"/>
  <c r="T125" i="2"/>
  <c r="V125" i="2"/>
  <c r="G82" i="3"/>
  <c r="K80" i="3"/>
  <c r="V36" i="1"/>
  <c r="W36" i="1"/>
  <c r="Z37" i="1"/>
  <c r="AA37" i="1"/>
  <c r="T36" i="1"/>
  <c r="D127" i="1"/>
  <c r="R133" i="3"/>
  <c r="T131" i="3"/>
  <c r="V131" i="3"/>
  <c r="I31" i="1"/>
  <c r="J31" i="1"/>
  <c r="N32" i="1"/>
  <c r="U37" i="1"/>
  <c r="E82" i="3"/>
  <c r="E83" i="3"/>
  <c r="G83" i="3"/>
  <c r="C178" i="3"/>
  <c r="E178" i="3"/>
  <c r="J77" i="2"/>
  <c r="P133" i="3"/>
  <c r="P134" i="3"/>
  <c r="R134" i="3"/>
  <c r="D195" i="3"/>
  <c r="P127" i="2"/>
  <c r="P128" i="2"/>
  <c r="R128" i="2"/>
  <c r="D189" i="2"/>
  <c r="V37" i="1"/>
  <c r="W37" i="1"/>
  <c r="Z38" i="1"/>
  <c r="AA38" i="1"/>
  <c r="T37" i="1"/>
  <c r="D128" i="1"/>
  <c r="O32" i="1"/>
  <c r="R130" i="2"/>
  <c r="T128" i="2"/>
  <c r="V128" i="2"/>
  <c r="G79" i="2"/>
  <c r="R136" i="3"/>
  <c r="T134" i="3"/>
  <c r="V134" i="3"/>
  <c r="I83" i="3"/>
  <c r="K77" i="2"/>
  <c r="X37" i="1"/>
  <c r="Y38" i="1"/>
  <c r="L32" i="1"/>
  <c r="H31" i="1"/>
  <c r="C122" i="1"/>
  <c r="M32" i="1"/>
  <c r="I32" i="1"/>
  <c r="P136" i="3"/>
  <c r="P137" i="3"/>
  <c r="R137" i="3"/>
  <c r="D196" i="3"/>
  <c r="P130" i="2"/>
  <c r="P131" i="2"/>
  <c r="R131" i="2"/>
  <c r="D190" i="2"/>
  <c r="E79" i="2"/>
  <c r="E80" i="2"/>
  <c r="G80" i="2"/>
  <c r="C173" i="2"/>
  <c r="E173" i="2"/>
  <c r="U38" i="1"/>
  <c r="X38" i="1"/>
  <c r="Y39" i="1"/>
  <c r="J83" i="3"/>
  <c r="P32" i="1"/>
  <c r="N33" i="1"/>
  <c r="O33" i="1"/>
  <c r="G85" i="3"/>
  <c r="R133" i="2"/>
  <c r="T131" i="2"/>
  <c r="V131" i="2"/>
  <c r="I80" i="2"/>
  <c r="V38" i="1"/>
  <c r="W38" i="1"/>
  <c r="Z39" i="1"/>
  <c r="AA39" i="1"/>
  <c r="T38" i="1"/>
  <c r="D129" i="1"/>
  <c r="L33" i="1"/>
  <c r="H32" i="1"/>
  <c r="C123" i="1"/>
  <c r="K83" i="3"/>
  <c r="J32" i="1"/>
  <c r="R139" i="3"/>
  <c r="T137" i="3"/>
  <c r="V137" i="3"/>
  <c r="M33" i="1"/>
  <c r="U39" i="1"/>
  <c r="X39" i="1"/>
  <c r="Y40" i="1"/>
  <c r="D197" i="3"/>
  <c r="P139" i="3"/>
  <c r="P140" i="3"/>
  <c r="R140" i="3"/>
  <c r="I33" i="1"/>
  <c r="J33" i="1"/>
  <c r="P133" i="2"/>
  <c r="P134" i="2"/>
  <c r="R134" i="2"/>
  <c r="D191" i="2"/>
  <c r="J80" i="2"/>
  <c r="K80" i="2"/>
  <c r="C179" i="3"/>
  <c r="E179" i="3"/>
  <c r="E85" i="3"/>
  <c r="E86" i="3"/>
  <c r="G86" i="3"/>
  <c r="P33" i="1"/>
  <c r="N34" i="1"/>
  <c r="T140" i="3"/>
  <c r="V140" i="3"/>
  <c r="R142" i="3"/>
  <c r="I86" i="3"/>
  <c r="R136" i="2"/>
  <c r="T134" i="2"/>
  <c r="V134" i="2"/>
  <c r="O34" i="1"/>
  <c r="G82" i="2"/>
  <c r="L34" i="1"/>
  <c r="H33" i="1"/>
  <c r="C124" i="1"/>
  <c r="Z40" i="1"/>
  <c r="AA40" i="1"/>
  <c r="V39" i="1"/>
  <c r="W39" i="1"/>
  <c r="T39" i="1"/>
  <c r="D130" i="1"/>
  <c r="P34" i="1"/>
  <c r="E82" i="2"/>
  <c r="E83" i="2"/>
  <c r="G83" i="2"/>
  <c r="C174" i="2"/>
  <c r="E174" i="2"/>
  <c r="U40" i="1"/>
  <c r="X40" i="1"/>
  <c r="Y41" i="1"/>
  <c r="P136" i="2"/>
  <c r="P137" i="2"/>
  <c r="R137" i="2"/>
  <c r="D192" i="2"/>
  <c r="D198" i="3"/>
  <c r="P142" i="3"/>
  <c r="P143" i="3"/>
  <c r="R143" i="3"/>
  <c r="M34" i="1"/>
  <c r="J86" i="3"/>
  <c r="V40" i="1"/>
  <c r="W40" i="1"/>
  <c r="Z41" i="1"/>
  <c r="AA41" i="1"/>
  <c r="T40" i="1"/>
  <c r="D131" i="1"/>
  <c r="T143" i="3"/>
  <c r="V143" i="3"/>
  <c r="R145" i="3"/>
  <c r="G88" i="3"/>
  <c r="K86" i="3"/>
  <c r="I34" i="1"/>
  <c r="J34" i="1"/>
  <c r="N35" i="1"/>
  <c r="R139" i="2"/>
  <c r="T137" i="2"/>
  <c r="V137" i="2"/>
  <c r="I83" i="2"/>
  <c r="L35" i="1"/>
  <c r="H34" i="1"/>
  <c r="C125" i="1"/>
  <c r="E88" i="3"/>
  <c r="E89" i="3"/>
  <c r="G89" i="3"/>
  <c r="C180" i="3"/>
  <c r="E180" i="3"/>
  <c r="U41" i="1"/>
  <c r="X41" i="1"/>
  <c r="Y42" i="1"/>
  <c r="P139" i="2"/>
  <c r="P140" i="2"/>
  <c r="R140" i="2"/>
  <c r="D193" i="2"/>
  <c r="J83" i="2"/>
  <c r="K83" i="2"/>
  <c r="O35" i="1"/>
  <c r="P35" i="1"/>
  <c r="P145" i="3"/>
  <c r="P146" i="3"/>
  <c r="R146" i="3"/>
  <c r="D199" i="3"/>
  <c r="R142" i="2"/>
  <c r="T140" i="2"/>
  <c r="V140" i="2"/>
  <c r="I89" i="3"/>
  <c r="T146" i="3"/>
  <c r="V146" i="3"/>
  <c r="R148" i="3"/>
  <c r="G85" i="2"/>
  <c r="V41" i="1"/>
  <c r="W41" i="1"/>
  <c r="Z42" i="1"/>
  <c r="AA42" i="1"/>
  <c r="T41" i="1"/>
  <c r="D132" i="1"/>
  <c r="M35" i="1"/>
  <c r="D200" i="3"/>
  <c r="P148" i="3"/>
  <c r="P149" i="3"/>
  <c r="R149" i="3"/>
  <c r="J89" i="3"/>
  <c r="K89" i="3"/>
  <c r="U42" i="1"/>
  <c r="X42" i="1"/>
  <c r="Y43" i="1"/>
  <c r="I35" i="1"/>
  <c r="N36" i="1"/>
  <c r="C175" i="2"/>
  <c r="E175" i="2"/>
  <c r="E85" i="2"/>
  <c r="E86" i="2"/>
  <c r="G86" i="2"/>
  <c r="P142" i="2"/>
  <c r="P143" i="2"/>
  <c r="R143" i="2"/>
  <c r="D194" i="2"/>
  <c r="L36" i="1"/>
  <c r="H35" i="1"/>
  <c r="C126" i="1"/>
  <c r="N146" i="2"/>
  <c r="T143" i="2"/>
  <c r="V143" i="2"/>
  <c r="I86" i="2"/>
  <c r="J35" i="1"/>
  <c r="G91" i="3"/>
  <c r="T149" i="3"/>
  <c r="V149" i="3"/>
  <c r="N152" i="3"/>
  <c r="O36" i="1"/>
  <c r="V42" i="1"/>
  <c r="W42" i="1"/>
  <c r="Z43" i="1"/>
  <c r="AA43" i="1"/>
  <c r="T42" i="1"/>
  <c r="D133" i="1"/>
  <c r="P36" i="1"/>
  <c r="D201" i="3"/>
  <c r="O152" i="3"/>
  <c r="O155" i="3"/>
  <c r="N153" i="3"/>
  <c r="C8" i="3"/>
  <c r="J8" i="3"/>
  <c r="N147" i="2"/>
  <c r="G5" i="2"/>
  <c r="AH3" i="2"/>
  <c r="D195" i="2"/>
  <c r="O146" i="2"/>
  <c r="U43" i="1"/>
  <c r="X43" i="1"/>
  <c r="Y44" i="1"/>
  <c r="C181" i="3"/>
  <c r="E181" i="3"/>
  <c r="E91" i="3"/>
  <c r="E92" i="3"/>
  <c r="G92" i="3"/>
  <c r="J86" i="2"/>
  <c r="K86" i="2"/>
  <c r="M36" i="1"/>
  <c r="N148" i="2"/>
  <c r="N149" i="2"/>
  <c r="N150" i="2"/>
  <c r="D196" i="2"/>
  <c r="G88" i="2"/>
  <c r="I36" i="1"/>
  <c r="N37" i="1"/>
  <c r="V43" i="1"/>
  <c r="W43" i="1"/>
  <c r="Z44" i="1"/>
  <c r="AA44" i="1"/>
  <c r="T43" i="1"/>
  <c r="D134" i="1"/>
  <c r="I92" i="3"/>
  <c r="N154" i="3"/>
  <c r="L37" i="1"/>
  <c r="H36" i="1"/>
  <c r="C127" i="1"/>
  <c r="J92" i="3"/>
  <c r="K92" i="3"/>
  <c r="C176" i="2"/>
  <c r="E176" i="2"/>
  <c r="E88" i="2"/>
  <c r="E89" i="2"/>
  <c r="G89" i="2"/>
  <c r="U44" i="1"/>
  <c r="X44" i="1"/>
  <c r="Y45" i="1"/>
  <c r="Y47" i="1"/>
  <c r="O37" i="1"/>
  <c r="P37" i="1"/>
  <c r="N155" i="3"/>
  <c r="N156" i="3"/>
  <c r="D202" i="3"/>
  <c r="J36" i="1"/>
  <c r="V44" i="1"/>
  <c r="W44" i="1"/>
  <c r="Z45" i="1"/>
  <c r="T44" i="1"/>
  <c r="D135" i="1"/>
  <c r="G94" i="3"/>
  <c r="I89" i="2"/>
  <c r="M37" i="1"/>
  <c r="J89" i="2"/>
  <c r="K89" i="2"/>
  <c r="AA45" i="1"/>
  <c r="Z47" i="1"/>
  <c r="I37" i="1"/>
  <c r="N38" i="1"/>
  <c r="C182" i="3"/>
  <c r="E182" i="3"/>
  <c r="E94" i="3"/>
  <c r="E95" i="3"/>
  <c r="G95" i="3"/>
  <c r="O38" i="1"/>
  <c r="U45" i="1"/>
  <c r="AA47" i="1"/>
  <c r="L38" i="1"/>
  <c r="M38" i="1"/>
  <c r="H37" i="1"/>
  <c r="C128" i="1"/>
  <c r="I95" i="3"/>
  <c r="J37" i="1"/>
  <c r="G91" i="2"/>
  <c r="V45" i="1"/>
  <c r="W45" i="1"/>
  <c r="W47" i="1"/>
  <c r="T45" i="1"/>
  <c r="E91" i="2"/>
  <c r="E92" i="2"/>
  <c r="G92" i="2"/>
  <c r="C177" i="2"/>
  <c r="E177" i="2"/>
  <c r="X45" i="1"/>
  <c r="I38" i="1"/>
  <c r="J38" i="1"/>
  <c r="J95" i="3"/>
  <c r="K95" i="3"/>
  <c r="P38" i="1"/>
  <c r="N39" i="1"/>
  <c r="O39" i="1"/>
  <c r="I92" i="2"/>
  <c r="L39" i="1"/>
  <c r="H38" i="1"/>
  <c r="C129" i="1"/>
  <c r="T50" i="1"/>
  <c r="T47" i="1"/>
  <c r="D136" i="1"/>
  <c r="G97" i="3"/>
  <c r="M39" i="1"/>
  <c r="T51" i="1"/>
  <c r="T52" i="1"/>
  <c r="D137" i="1"/>
  <c r="J92" i="2"/>
  <c r="C183" i="3"/>
  <c r="E183" i="3"/>
  <c r="E97" i="3"/>
  <c r="E98" i="3"/>
  <c r="G98" i="3"/>
  <c r="I39" i="1"/>
  <c r="P39" i="1"/>
  <c r="N40" i="1"/>
  <c r="O40" i="1"/>
  <c r="I98" i="3"/>
  <c r="L40" i="1"/>
  <c r="M40" i="1"/>
  <c r="H39" i="1"/>
  <c r="C130" i="1"/>
  <c r="G94" i="2"/>
  <c r="J39" i="1"/>
  <c r="K92" i="2"/>
  <c r="C178" i="2"/>
  <c r="E178" i="2"/>
  <c r="E94" i="2"/>
  <c r="E95" i="2"/>
  <c r="G95" i="2"/>
  <c r="K98" i="3"/>
  <c r="J98" i="3"/>
  <c r="I40" i="1"/>
  <c r="P40" i="1"/>
  <c r="N41" i="1"/>
  <c r="O41" i="1"/>
  <c r="L41" i="1"/>
  <c r="M41" i="1"/>
  <c r="H40" i="1"/>
  <c r="C131" i="1"/>
  <c r="I95" i="2"/>
  <c r="J40" i="1"/>
  <c r="G100" i="3"/>
  <c r="P41" i="1"/>
  <c r="N42" i="1"/>
  <c r="O42" i="1"/>
  <c r="I41" i="1"/>
  <c r="J95" i="2"/>
  <c r="K95" i="2"/>
  <c r="C184" i="3"/>
  <c r="E184" i="3"/>
  <c r="E100" i="3"/>
  <c r="E101" i="3"/>
  <c r="G101" i="3"/>
  <c r="L42" i="1"/>
  <c r="M42" i="1"/>
  <c r="H41" i="1"/>
  <c r="C132" i="1"/>
  <c r="I101" i="3"/>
  <c r="G97" i="2"/>
  <c r="J41" i="1"/>
  <c r="J101" i="3"/>
  <c r="K101" i="3"/>
  <c r="C179" i="2"/>
  <c r="E179" i="2"/>
  <c r="E97" i="2"/>
  <c r="E98" i="2"/>
  <c r="G98" i="2"/>
  <c r="I42" i="1"/>
  <c r="J42" i="1"/>
  <c r="P42" i="1"/>
  <c r="N43" i="1"/>
  <c r="O43" i="1"/>
  <c r="I98" i="2"/>
  <c r="L43" i="1"/>
  <c r="M43" i="1"/>
  <c r="H42" i="1"/>
  <c r="C133" i="1"/>
  <c r="G103" i="3"/>
  <c r="J98" i="2"/>
  <c r="K98" i="2"/>
  <c r="C185" i="3"/>
  <c r="E185" i="3"/>
  <c r="E103" i="3"/>
  <c r="E104" i="3"/>
  <c r="G104" i="3"/>
  <c r="I43" i="1"/>
  <c r="J43" i="1"/>
  <c r="P43" i="1"/>
  <c r="N44" i="1"/>
  <c r="O44" i="1"/>
  <c r="I104" i="3"/>
  <c r="L44" i="1"/>
  <c r="M44" i="1"/>
  <c r="H43" i="1"/>
  <c r="C134" i="1"/>
  <c r="G100" i="2"/>
  <c r="P44" i="1"/>
  <c r="N45" i="1"/>
  <c r="O45" i="1"/>
  <c r="C180" i="2"/>
  <c r="E180" i="2"/>
  <c r="E100" i="2"/>
  <c r="E101" i="2"/>
  <c r="G101" i="2"/>
  <c r="K104" i="3"/>
  <c r="J104" i="3"/>
  <c r="I44" i="1"/>
  <c r="J44" i="1"/>
  <c r="I101" i="2"/>
  <c r="L45" i="1"/>
  <c r="H44" i="1"/>
  <c r="C135" i="1"/>
  <c r="G106" i="3"/>
  <c r="M45" i="1"/>
  <c r="C186" i="3"/>
  <c r="E186" i="3"/>
  <c r="E106" i="3"/>
  <c r="E107" i="3"/>
  <c r="G107" i="3"/>
  <c r="J101" i="2"/>
  <c r="K101" i="2"/>
  <c r="P45" i="1"/>
  <c r="P47" i="1"/>
  <c r="I107" i="3"/>
  <c r="G103" i="2"/>
  <c r="I45" i="1"/>
  <c r="H45" i="1"/>
  <c r="E103" i="2"/>
  <c r="E104" i="2"/>
  <c r="G104" i="2"/>
  <c r="C181" i="2"/>
  <c r="E181" i="2"/>
  <c r="J107" i="3"/>
  <c r="K107" i="3"/>
  <c r="H50" i="1"/>
  <c r="H51" i="1"/>
  <c r="H49" i="1"/>
  <c r="C136" i="1"/>
  <c r="J45" i="1"/>
  <c r="G109" i="3"/>
  <c r="H52" i="1"/>
  <c r="H53" i="1"/>
  <c r="I104" i="2"/>
  <c r="C26" i="1"/>
  <c r="C137" i="1"/>
  <c r="J104" i="2"/>
  <c r="K104" i="2"/>
  <c r="C187" i="3"/>
  <c r="E187" i="3"/>
  <c r="E109" i="3"/>
  <c r="E110" i="3"/>
  <c r="G110" i="3"/>
  <c r="G106" i="2"/>
  <c r="I110" i="3"/>
  <c r="C27" i="1"/>
  <c r="D26" i="1"/>
  <c r="C182" i="2"/>
  <c r="E182" i="2"/>
  <c r="E106" i="2"/>
  <c r="E107" i="2"/>
  <c r="G107" i="2"/>
  <c r="J110" i="3"/>
  <c r="K110" i="3"/>
  <c r="G112" i="3"/>
  <c r="I107" i="2"/>
  <c r="J107" i="2"/>
  <c r="K107" i="2"/>
  <c r="C188" i="3"/>
  <c r="E188" i="3"/>
  <c r="E112" i="3"/>
  <c r="E113" i="3"/>
  <c r="G113" i="3"/>
  <c r="I113" i="3"/>
  <c r="G109" i="2"/>
  <c r="E109" i="2"/>
  <c r="E110" i="2"/>
  <c r="G110" i="2"/>
  <c r="C183" i="2"/>
  <c r="E183" i="2"/>
  <c r="J113" i="3"/>
  <c r="K113" i="3"/>
  <c r="I110" i="2"/>
  <c r="G115" i="3"/>
  <c r="J110" i="2"/>
  <c r="K110" i="2"/>
  <c r="C189" i="3"/>
  <c r="E189" i="3"/>
  <c r="E115" i="3"/>
  <c r="E116" i="3"/>
  <c r="G116" i="3"/>
  <c r="I116" i="3"/>
  <c r="G112" i="2"/>
  <c r="C184" i="2"/>
  <c r="E184" i="2"/>
  <c r="E112" i="2"/>
  <c r="E113" i="2"/>
  <c r="G113" i="2"/>
  <c r="J116" i="3"/>
  <c r="K116" i="3"/>
  <c r="G118" i="3"/>
  <c r="I113" i="2"/>
  <c r="C190" i="3"/>
  <c r="E190" i="3"/>
  <c r="E118" i="3"/>
  <c r="E119" i="3"/>
  <c r="G119" i="3"/>
  <c r="J113" i="2"/>
  <c r="K113" i="2"/>
  <c r="G115" i="2"/>
  <c r="I119" i="3"/>
  <c r="E115" i="2"/>
  <c r="E116" i="2"/>
  <c r="G116" i="2"/>
  <c r="C185" i="2"/>
  <c r="E185" i="2"/>
  <c r="J119" i="3"/>
  <c r="K119" i="3"/>
  <c r="I116" i="2"/>
  <c r="G121" i="3"/>
  <c r="J116" i="2"/>
  <c r="K116" i="2"/>
  <c r="C191" i="3"/>
  <c r="E191" i="3"/>
  <c r="E121" i="3"/>
  <c r="E122" i="3"/>
  <c r="G122" i="3"/>
  <c r="I122" i="3"/>
  <c r="G118" i="2"/>
  <c r="C186" i="2"/>
  <c r="E186" i="2"/>
  <c r="E118" i="2"/>
  <c r="E119" i="2"/>
  <c r="G119" i="2"/>
  <c r="J122" i="3"/>
  <c r="K122" i="3"/>
  <c r="G124" i="3"/>
  <c r="I119" i="2"/>
  <c r="C192" i="3"/>
  <c r="E192" i="3"/>
  <c r="E124" i="3"/>
  <c r="E125" i="3"/>
  <c r="G125" i="3"/>
  <c r="J119" i="2"/>
  <c r="K119" i="2"/>
  <c r="G121" i="2"/>
  <c r="I125" i="3"/>
  <c r="E121" i="2"/>
  <c r="E122" i="2"/>
  <c r="G122" i="2"/>
  <c r="C187" i="2"/>
  <c r="E187" i="2"/>
  <c r="J125" i="3"/>
  <c r="K125" i="3"/>
  <c r="G127" i="3"/>
  <c r="I122" i="2"/>
  <c r="J122" i="2"/>
  <c r="K122" i="2"/>
  <c r="C193" i="3"/>
  <c r="E193" i="3"/>
  <c r="E127" i="3"/>
  <c r="E128" i="3"/>
  <c r="G128" i="3"/>
  <c r="I128" i="3"/>
  <c r="G124" i="2"/>
  <c r="C188" i="2"/>
  <c r="E188" i="2"/>
  <c r="E124" i="2"/>
  <c r="E125" i="2"/>
  <c r="G125" i="2"/>
  <c r="J128" i="3"/>
  <c r="K128" i="3"/>
  <c r="G130" i="3"/>
  <c r="I125" i="2"/>
  <c r="J125" i="2"/>
  <c r="K125" i="2"/>
  <c r="C194" i="3"/>
  <c r="E194" i="3"/>
  <c r="E130" i="3"/>
  <c r="E131" i="3"/>
  <c r="G131" i="3"/>
  <c r="I131" i="3"/>
  <c r="G127" i="2"/>
  <c r="J131" i="3"/>
  <c r="K131" i="3"/>
  <c r="E127" i="2"/>
  <c r="E128" i="2"/>
  <c r="G128" i="2"/>
  <c r="C189" i="2"/>
  <c r="E189" i="2"/>
  <c r="I128" i="2"/>
  <c r="G133" i="3"/>
  <c r="C195" i="3"/>
  <c r="E195" i="3"/>
  <c r="E133" i="3"/>
  <c r="E134" i="3"/>
  <c r="G134" i="3"/>
  <c r="J128" i="2"/>
  <c r="G130" i="2"/>
  <c r="K128" i="2"/>
  <c r="I134" i="3"/>
  <c r="J134" i="3"/>
  <c r="K134" i="3"/>
  <c r="C190" i="2"/>
  <c r="E190" i="2"/>
  <c r="E130" i="2"/>
  <c r="E131" i="2"/>
  <c r="G131" i="2"/>
  <c r="I131" i="2"/>
  <c r="G136" i="3"/>
  <c r="C196" i="3"/>
  <c r="E196" i="3"/>
  <c r="E136" i="3"/>
  <c r="E137" i="3"/>
  <c r="G137" i="3"/>
  <c r="J131" i="2"/>
  <c r="K131" i="2"/>
  <c r="G133" i="2"/>
  <c r="I137" i="3"/>
  <c r="J137" i="3"/>
  <c r="K137" i="3"/>
  <c r="E133" i="2"/>
  <c r="E134" i="2"/>
  <c r="G134" i="2"/>
  <c r="C191" i="2"/>
  <c r="E191" i="2"/>
  <c r="I134" i="2"/>
  <c r="G139" i="3"/>
  <c r="C197" i="3"/>
  <c r="E197" i="3"/>
  <c r="E139" i="3"/>
  <c r="E140" i="3"/>
  <c r="G140" i="3"/>
  <c r="J134" i="2"/>
  <c r="K134" i="2"/>
  <c r="G136" i="2"/>
  <c r="I140" i="3"/>
  <c r="J140" i="3"/>
  <c r="K140" i="3"/>
  <c r="C192" i="2"/>
  <c r="E192" i="2"/>
  <c r="E136" i="2"/>
  <c r="E137" i="2"/>
  <c r="G137" i="2"/>
  <c r="I137" i="2"/>
  <c r="G142" i="3"/>
  <c r="C198" i="3"/>
  <c r="E198" i="3"/>
  <c r="E142" i="3"/>
  <c r="E143" i="3"/>
  <c r="G143" i="3"/>
  <c r="J137" i="2"/>
  <c r="K137" i="2"/>
  <c r="G139" i="2"/>
  <c r="I143" i="3"/>
  <c r="J143" i="3"/>
  <c r="K143" i="3"/>
  <c r="E139" i="2"/>
  <c r="E140" i="2"/>
  <c r="G140" i="2"/>
  <c r="C193" i="2"/>
  <c r="E193" i="2"/>
  <c r="I140" i="2"/>
  <c r="G145" i="3"/>
  <c r="C199" i="3"/>
  <c r="E199" i="3"/>
  <c r="E145" i="3"/>
  <c r="E146" i="3"/>
  <c r="G146" i="3"/>
  <c r="J140" i="2"/>
  <c r="G142" i="2"/>
  <c r="K140" i="2"/>
  <c r="I146" i="3"/>
  <c r="C194" i="2"/>
  <c r="E194" i="2"/>
  <c r="E142" i="2"/>
  <c r="E143" i="2"/>
  <c r="G143" i="2"/>
  <c r="J146" i="3"/>
  <c r="K146" i="3"/>
  <c r="G148" i="3"/>
  <c r="C195" i="2"/>
  <c r="E195" i="2"/>
  <c r="I143" i="2"/>
  <c r="C146" i="2"/>
  <c r="J143" i="2"/>
  <c r="K143" i="2"/>
  <c r="C200" i="3"/>
  <c r="E200" i="3"/>
  <c r="E148" i="3"/>
  <c r="E149" i="3"/>
  <c r="G149" i="3"/>
  <c r="D146" i="2"/>
  <c r="C201" i="3"/>
  <c r="E201" i="3"/>
  <c r="I149" i="3"/>
  <c r="C152" i="3"/>
  <c r="C147" i="2"/>
  <c r="C148" i="2"/>
  <c r="G6" i="2"/>
  <c r="AH4" i="2"/>
  <c r="AH5" i="2"/>
  <c r="C149" i="2"/>
  <c r="C150" i="2"/>
  <c r="C196" i="2"/>
  <c r="J5" i="2"/>
  <c r="J6" i="2"/>
  <c r="E196" i="2"/>
  <c r="D152" i="3"/>
  <c r="J149" i="3"/>
  <c r="K149" i="3"/>
  <c r="C153" i="3"/>
  <c r="C154" i="3"/>
  <c r="C9" i="3"/>
  <c r="J152" i="3"/>
  <c r="J9" i="3"/>
  <c r="J10" i="3"/>
  <c r="C202" i="3"/>
  <c r="C155" i="3"/>
  <c r="C156" i="3"/>
  <c r="J3" i="3"/>
  <c r="J4" i="3"/>
  <c r="E202" i="3"/>
</calcChain>
</file>

<file path=xl/sharedStrings.xml><?xml version="1.0" encoding="utf-8"?>
<sst xmlns="http://schemas.openxmlformats.org/spreadsheetml/2006/main" count="662" uniqueCount="76">
  <si>
    <t>Aksjer</t>
  </si>
  <si>
    <t>Utbytte</t>
  </si>
  <si>
    <t>Kurs</t>
  </si>
  <si>
    <t>Kontanter</t>
  </si>
  <si>
    <t>Renter</t>
  </si>
  <si>
    <t>År</t>
  </si>
  <si>
    <t>Utbytte e. skatt</t>
  </si>
  <si>
    <t>MV</t>
  </si>
  <si>
    <t>Skjerming</t>
  </si>
  <si>
    <t>Skjermingsgrunnlag</t>
  </si>
  <si>
    <t>Ubenyttet skjerming</t>
  </si>
  <si>
    <t>EIER AV INVESTERINGSSELSKAPET</t>
  </si>
  <si>
    <t>Antall aksjer</t>
  </si>
  <si>
    <t>Yield</t>
  </si>
  <si>
    <t>JA</t>
  </si>
  <si>
    <t>NEI</t>
  </si>
  <si>
    <t>Konstant yield?</t>
  </si>
  <si>
    <t>Renter etter skatt</t>
  </si>
  <si>
    <t>Dato</t>
  </si>
  <si>
    <t>Kjøp/salg</t>
  </si>
  <si>
    <t>KJØP</t>
  </si>
  <si>
    <t>Markedsverdi</t>
  </si>
  <si>
    <t>SALG</t>
  </si>
  <si>
    <t>Realisert gevinst/tap</t>
  </si>
  <si>
    <t>Skatt</t>
  </si>
  <si>
    <t>Reinvesterbar kapital</t>
  </si>
  <si>
    <t>Totalt</t>
  </si>
  <si>
    <t>Tot. etter skatt</t>
  </si>
  <si>
    <t>Tot. avkastn.</t>
  </si>
  <si>
    <t>Årlig avkastn.</t>
  </si>
  <si>
    <t>Kapital</t>
  </si>
  <si>
    <t>Avkastning</t>
  </si>
  <si>
    <t>Aksjesparekonto</t>
  </si>
  <si>
    <t>Total DIFF</t>
  </si>
  <si>
    <t>Årlig DIFF</t>
  </si>
  <si>
    <t>Aksje- &amp; fondskonto</t>
  </si>
  <si>
    <t>AFK</t>
  </si>
  <si>
    <t>ASK</t>
  </si>
  <si>
    <t>Meravk. ASK</t>
  </si>
  <si>
    <t>Variabler</t>
  </si>
  <si>
    <t>Output</t>
  </si>
  <si>
    <t>Total skatt</t>
  </si>
  <si>
    <t>Investeringsselskap</t>
  </si>
  <si>
    <t>Årlig avkastning</t>
  </si>
  <si>
    <t>MV ASK</t>
  </si>
  <si>
    <t>MV INV</t>
  </si>
  <si>
    <t>AKSJER ASK</t>
  </si>
  <si>
    <t>AKSJER INV</t>
  </si>
  <si>
    <t>Chart</t>
  </si>
  <si>
    <t>Utb. E.S. ASK</t>
  </si>
  <si>
    <t>Utb. E.S. INV</t>
  </si>
  <si>
    <t>Årlig diff</t>
  </si>
  <si>
    <t>NV skatt (Staten)</t>
  </si>
  <si>
    <t>Diff</t>
  </si>
  <si>
    <t>Differanse (kr)</t>
  </si>
  <si>
    <t>Avk. (%)</t>
  </si>
  <si>
    <t>Basecaslinjer:</t>
  </si>
  <si>
    <t>Upper</t>
  </si>
  <si>
    <t>Lower</t>
  </si>
  <si>
    <t>Target:</t>
  </si>
  <si>
    <t>Nye aksjer</t>
  </si>
  <si>
    <t>Inngangsverdi</t>
  </si>
  <si>
    <t>Aksjehandelskonto</t>
  </si>
  <si>
    <t>AHK</t>
  </si>
  <si>
    <t>Total differanse</t>
  </si>
  <si>
    <t>Differanse</t>
  </si>
  <si>
    <t>Etter skatt</t>
  </si>
  <si>
    <t>Total prosent</t>
  </si>
  <si>
    <t>Startkapital</t>
  </si>
  <si>
    <t>Aksjekurs</t>
  </si>
  <si>
    <t>Utbytte i kroner</t>
  </si>
  <si>
    <t>Innskuddsrente</t>
  </si>
  <si>
    <t>Alminnelig skattesats</t>
  </si>
  <si>
    <t>Oppjusteringsfaktor</t>
  </si>
  <si>
    <t>Effektiv skattesats</t>
  </si>
  <si>
    <t>Månedlig avkastning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</si>
</sst>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0.000"/>
    <numFmt numFmtId="166" formatCode="&quot;kr&quot;\ #,##0.00"/>
    <numFmt numFmtId="167" formatCode="_-&quot;kr&quot;\ * #,##0.000_-;\-&quot;kr&quot;\ * #,##0.000_-;_-&quot;kr&quot;\ * &quot;-&quot;???_-;_-@_-"/>
    <numFmt numFmtId="168" formatCode="dd/mm"/>
    <numFmt numFmtId="169" formatCode="0.0\ %"/>
    <numFmt numFmtId="170" formatCode="&quot;kr&quot;\ \ \ \ \ \ \ \ #,##0"/>
    <numFmt numFmtId="171" formatCode="&quot;kr&quot;\ \ \ \ \ #,##0"/>
    <numFmt numFmtId="172" formatCode="_-\ \ \ \ \ \ &quot;kr&quot;\ * #,##0.00_-;\-&quot;kr&quot;\ * #,##0.00_-;_-\ \ \ \ \ \ &quot;kr&quot;\ * &quot;-&quot;??_-;_-@_-"/>
  </numFmts>
  <fonts count="16" x14ac:knownFonts="1">
    <font>
      <sz val="12"/>
      <color theme="1"/>
      <name val="Calibri-Light"/>
      <family val="2"/>
    </font>
    <font>
      <sz val="12"/>
      <color theme="1"/>
      <name val="Calibri-Light"/>
      <family val="2"/>
    </font>
    <font>
      <sz val="12"/>
      <color theme="1"/>
      <name val="Times Roman"/>
    </font>
    <font>
      <sz val="12"/>
      <name val="Times Roman"/>
    </font>
    <font>
      <b/>
      <sz val="12"/>
      <color theme="1"/>
      <name val="Times Roman"/>
    </font>
    <font>
      <u/>
      <sz val="12"/>
      <color theme="10"/>
      <name val="Calibri-Light"/>
      <family val="2"/>
    </font>
    <font>
      <u/>
      <sz val="12"/>
      <color theme="11"/>
      <name val="Calibri-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0" tint="-0.249977111117893"/>
      <name val="Times Roman"/>
    </font>
    <font>
      <sz val="12"/>
      <color theme="0" tint="-0.14999847407452621"/>
      <name val="Times Roman"/>
    </font>
    <font>
      <sz val="8"/>
      <color rgb="FF000000"/>
      <name val="Segoe UI"/>
      <charset val="1"/>
    </font>
    <font>
      <sz val="12"/>
      <color theme="0"/>
      <name val="Times Roman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8" fontId="7" fillId="0" borderId="0" xfId="0" applyNumberFormat="1" applyFont="1" applyAlignment="1">
      <alignment horizontal="center" vertical="center"/>
    </xf>
    <xf numFmtId="44" fontId="7" fillId="0" borderId="0" xfId="1" applyFont="1" applyAlignment="1">
      <alignment vertical="center"/>
    </xf>
    <xf numFmtId="168" fontId="9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vertical="center"/>
    </xf>
    <xf numFmtId="10" fontId="8" fillId="0" borderId="0" xfId="2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8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44" fontId="7" fillId="2" borderId="3" xfId="0" applyNumberFormat="1" applyFont="1" applyFill="1" applyBorder="1" applyAlignment="1">
      <alignment vertical="center"/>
    </xf>
    <xf numFmtId="164" fontId="7" fillId="2" borderId="3" xfId="1" applyNumberFormat="1" applyFont="1" applyFill="1" applyBorder="1" applyAlignment="1">
      <alignment vertical="center"/>
    </xf>
    <xf numFmtId="10" fontId="7" fillId="2" borderId="3" xfId="0" applyNumberFormat="1" applyFont="1" applyFill="1" applyBorder="1" applyAlignment="1">
      <alignment vertical="center"/>
    </xf>
    <xf numFmtId="9" fontId="7" fillId="2" borderId="3" xfId="0" applyNumberFormat="1" applyFont="1" applyFill="1" applyBorder="1" applyAlignment="1">
      <alignment vertical="center"/>
    </xf>
    <xf numFmtId="44" fontId="7" fillId="2" borderId="5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9" fontId="2" fillId="0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4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4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44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169" fontId="2" fillId="2" borderId="3" xfId="2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9" fontId="7" fillId="0" borderId="0" xfId="2" applyNumberFormat="1" applyFont="1" applyAlignment="1">
      <alignment vertical="center"/>
    </xf>
    <xf numFmtId="10" fontId="7" fillId="0" borderId="0" xfId="2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44" fontId="7" fillId="2" borderId="5" xfId="1" applyFont="1" applyFill="1" applyBorder="1" applyAlignment="1">
      <alignment vertical="center"/>
    </xf>
    <xf numFmtId="170" fontId="7" fillId="0" borderId="0" xfId="0" applyNumberFormat="1" applyFont="1" applyAlignment="1">
      <alignment vertical="center"/>
    </xf>
    <xf numFmtId="170" fontId="7" fillId="0" borderId="1" xfId="0" applyNumberFormat="1" applyFont="1" applyBorder="1" applyAlignment="1">
      <alignment vertical="center"/>
    </xf>
    <xf numFmtId="171" fontId="7" fillId="0" borderId="0" xfId="0" applyNumberFormat="1" applyFont="1" applyAlignment="1">
      <alignment vertical="center"/>
    </xf>
    <xf numFmtId="171" fontId="7" fillId="0" borderId="1" xfId="0" applyNumberFormat="1" applyFont="1" applyBorder="1" applyAlignment="1">
      <alignment vertical="center"/>
    </xf>
    <xf numFmtId="9" fontId="7" fillId="0" borderId="0" xfId="0" applyNumberFormat="1" applyFont="1" applyAlignment="1">
      <alignment vertical="center"/>
    </xf>
    <xf numFmtId="44" fontId="8" fillId="0" borderId="0" xfId="1" applyFont="1" applyAlignment="1">
      <alignment vertical="center"/>
    </xf>
    <xf numFmtId="9" fontId="7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0" fontId="0" fillId="0" borderId="0" xfId="2" applyNumberFormat="1" applyFont="1"/>
    <xf numFmtId="9" fontId="2" fillId="0" borderId="0" xfId="2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/>
    <xf numFmtId="0" fontId="7" fillId="3" borderId="3" xfId="0" applyFont="1" applyFill="1" applyBorder="1" applyAlignment="1"/>
    <xf numFmtId="0" fontId="7" fillId="0" borderId="0" xfId="0" applyFont="1" applyAlignment="1"/>
    <xf numFmtId="44" fontId="7" fillId="2" borderId="5" xfId="0" applyNumberFormat="1" applyFont="1" applyFill="1" applyBorder="1" applyAlignment="1"/>
    <xf numFmtId="44" fontId="7" fillId="2" borderId="5" xfId="1" applyFont="1" applyFill="1" applyBorder="1" applyAlignment="1"/>
    <xf numFmtId="10" fontId="7" fillId="2" borderId="5" xfId="2" applyNumberFormat="1" applyFont="1" applyFill="1" applyBorder="1" applyAlignment="1"/>
    <xf numFmtId="9" fontId="7" fillId="2" borderId="5" xfId="2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Alignment="1">
      <alignment vertical="center"/>
    </xf>
    <xf numFmtId="10" fontId="2" fillId="0" borderId="0" xfId="2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9" fontId="7" fillId="0" borderId="1" xfId="2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72" fontId="2" fillId="0" borderId="0" xfId="1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10" fontId="2" fillId="2" borderId="3" xfId="2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vertical="center"/>
    </xf>
    <xf numFmtId="0" fontId="13" fillId="4" borderId="0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44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35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2" builtinId="9" hidden="1"/>
    <cellStyle name="Benyttet hyperkobling" xfId="134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 hidden="1"/>
    <cellStyle name="Hyperkobling" xfId="131" builtinId="8" hidden="1"/>
    <cellStyle name="Hyperkobling" xfId="133" builtinId="8" hidden="1"/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Aksjehandelskonto (11 % avk.)</c:v>
          </c:tx>
          <c:spPr>
            <a:ln w="6350" cap="rnd">
              <a:solidFill>
                <a:schemeClr val="accent1"/>
              </a:solidFill>
              <a:round/>
              <a:tailEnd type="oval" w="sm" len="sm"/>
            </a:ln>
            <a:effectLst/>
          </c:spPr>
          <c:marker>
            <c:symbol val="none"/>
          </c:marker>
          <c:cat>
            <c:numRef>
              <c:f>Realisasjon!$B$202:$B$243</c:f>
              <c:numCache>
                <c:formatCode>General</c:formatCode>
                <c:ptCount val="4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40.0</c:v>
                </c:pt>
              </c:numCache>
            </c:numRef>
          </c:cat>
          <c:val>
            <c:numRef>
              <c:f>Realisasjon!$C$155:$C$196</c:f>
              <c:numCache>
                <c:formatCode>_-"kr"* #,##0.00_-;\-"kr"* #,##0.00_-;_-"kr"* "-"??_-;_-@_-</c:formatCode>
                <c:ptCount val="42"/>
                <c:pt idx="0">
                  <c:v>100000.0</c:v>
                </c:pt>
                <c:pt idx="1">
                  <c:v>105552.8</c:v>
                </c:pt>
                <c:pt idx="2">
                  <c:v>111413.9358784</c:v>
                </c:pt>
                <c:pt idx="3">
                  <c:v>117600.5289098558</c:v>
                </c:pt>
                <c:pt idx="4">
                  <c:v>124130.6510791623</c:v>
                </c:pt>
                <c:pt idx="5">
                  <c:v>131023.377872286</c:v>
                </c:pt>
                <c:pt idx="6">
                  <c:v>138298.8439987783</c:v>
                </c:pt>
                <c:pt idx="7">
                  <c:v>145978.3022083425</c:v>
                </c:pt>
                <c:pt idx="8">
                  <c:v>154084.1853733674</c:v>
                </c:pt>
                <c:pt idx="9">
                  <c:v>162640.1720187798</c:v>
                </c:pt>
                <c:pt idx="10">
                  <c:v>171671.2554906386</c:v>
                </c:pt>
                <c:pt idx="11">
                  <c:v>181203.8169655228</c:v>
                </c:pt>
                <c:pt idx="12">
                  <c:v>191265.7025139843</c:v>
                </c:pt>
                <c:pt idx="13">
                  <c:v>201886.3044431808</c:v>
                </c:pt>
                <c:pt idx="14">
                  <c:v>213096.6471563018</c:v>
                </c:pt>
                <c:pt idx="15">
                  <c:v>224929.477779597</c:v>
                </c:pt>
                <c:pt idx="16">
                  <c:v>237419.3618217424</c:v>
                </c:pt>
                <c:pt idx="17">
                  <c:v>250602.7841449801</c:v>
                </c:pt>
                <c:pt idx="18">
                  <c:v>264518.2555429825</c:v>
                </c:pt>
                <c:pt idx="19">
                  <c:v>279206.4252367732</c:v>
                </c:pt>
                <c:pt idx="20">
                  <c:v>294710.1996173208</c:v>
                </c:pt>
                <c:pt idx="21">
                  <c:v>311074.8675816714</c:v>
                </c:pt>
                <c:pt idx="22">
                  <c:v>328348.2328287465</c:v>
                </c:pt>
                <c:pt idx="23">
                  <c:v>346580.7535012611</c:v>
                </c:pt>
                <c:pt idx="24">
                  <c:v>365825.6895816792</c:v>
                </c:pt>
                <c:pt idx="25">
                  <c:v>386139.2584727707</c:v>
                </c:pt>
                <c:pt idx="26">
                  <c:v>407580.7992172467</c:v>
                </c:pt>
                <c:pt idx="27">
                  <c:v>430212.945836182</c:v>
                </c:pt>
                <c:pt idx="28">
                  <c:v>454101.8102925735</c:v>
                </c:pt>
                <c:pt idx="29">
                  <c:v>479317.1756144997</c:v>
                </c:pt>
                <c:pt idx="30">
                  <c:v>505932.6997420216</c:v>
                </c:pt>
                <c:pt idx="31">
                  <c:v>534026.1306932966</c:v>
                </c:pt>
                <c:pt idx="32">
                  <c:v>563679.5336784341</c:v>
                </c:pt>
                <c:pt idx="33">
                  <c:v>594979.53082453</c:v>
                </c:pt>
                <c:pt idx="34">
                  <c:v>628017.5542121546</c:v>
                </c:pt>
                <c:pt idx="35">
                  <c:v>662890.1129624471</c:v>
                </c:pt>
                <c:pt idx="36">
                  <c:v>699699.075155026</c:v>
                </c:pt>
                <c:pt idx="37">
                  <c:v>738551.9654002343</c:v>
                </c:pt>
                <c:pt idx="38">
                  <c:v>779562.2789349785</c:v>
                </c:pt>
                <c:pt idx="39">
                  <c:v>822849.81315968</c:v>
                </c:pt>
                <c:pt idx="40">
                  <c:v>888677.7982124545</c:v>
                </c:pt>
                <c:pt idx="41">
                  <c:v>868541.0175848108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97-4C0A-A275-2F2F57C5D4FA}"/>
            </c:ext>
          </c:extLst>
        </c:ser>
        <c:ser>
          <c:idx val="1"/>
          <c:order val="1"/>
          <c:tx>
            <c:v>Aksjesparekonto (11 % avk.)</c:v>
          </c:tx>
          <c:spPr>
            <a:ln w="6350" cap="rnd">
              <a:solidFill>
                <a:srgbClr val="00B050"/>
              </a:solidFill>
              <a:round/>
              <a:tailEnd type="oval" w="sm" len="sm"/>
            </a:ln>
            <a:effectLst/>
          </c:spPr>
          <c:marker>
            <c:symbol val="none"/>
          </c:marker>
          <c:cat>
            <c:numRef>
              <c:f>Realisasjon!$B$202:$B$243</c:f>
              <c:numCache>
                <c:formatCode>General</c:formatCode>
                <c:ptCount val="4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40.0</c:v>
                </c:pt>
              </c:numCache>
            </c:numRef>
          </c:cat>
          <c:val>
            <c:numRef>
              <c:f>Realisasjon!$D$155:$D$196</c:f>
              <c:numCache>
                <c:formatCode>_-"kr"* #,##0.00_-;\-"kr"* #,##0.00_-;_-"kr"* "-"??_-;_-@_-</c:formatCode>
                <c:ptCount val="42"/>
                <c:pt idx="0">
                  <c:v>100000.0</c:v>
                </c:pt>
                <c:pt idx="1">
                  <c:v>108000.0</c:v>
                </c:pt>
                <c:pt idx="2">
                  <c:v>116640.0</c:v>
                </c:pt>
                <c:pt idx="3">
                  <c:v>125971.2</c:v>
                </c:pt>
                <c:pt idx="4">
                  <c:v>136048.896</c:v>
                </c:pt>
                <c:pt idx="5">
                  <c:v>146932.8076800001</c:v>
                </c:pt>
                <c:pt idx="6">
                  <c:v>158687.4322944001</c:v>
                </c:pt>
                <c:pt idx="7">
                  <c:v>171382.4268779521</c:v>
                </c:pt>
                <c:pt idx="8">
                  <c:v>185093.0210281883</c:v>
                </c:pt>
                <c:pt idx="9">
                  <c:v>199900.4627104434</c:v>
                </c:pt>
                <c:pt idx="10">
                  <c:v>215892.4997272788</c:v>
                </c:pt>
                <c:pt idx="11">
                  <c:v>233163.8997054611</c:v>
                </c:pt>
                <c:pt idx="12">
                  <c:v>251817.0116818981</c:v>
                </c:pt>
                <c:pt idx="13">
                  <c:v>271962.37261645</c:v>
                </c:pt>
                <c:pt idx="14">
                  <c:v>293719.362425766</c:v>
                </c:pt>
                <c:pt idx="15">
                  <c:v>317216.9114198272</c:v>
                </c:pt>
                <c:pt idx="16">
                  <c:v>342594.2643334134</c:v>
                </c:pt>
                <c:pt idx="17">
                  <c:v>370001.8054800865</c:v>
                </c:pt>
                <c:pt idx="18">
                  <c:v>399601.9499184935</c:v>
                </c:pt>
                <c:pt idx="19">
                  <c:v>431570.105911973</c:v>
                </c:pt>
                <c:pt idx="20">
                  <c:v>466095.714384931</c:v>
                </c:pt>
                <c:pt idx="21">
                  <c:v>503383.3715357254</c:v>
                </c:pt>
                <c:pt idx="22">
                  <c:v>543654.0412585834</c:v>
                </c:pt>
                <c:pt idx="23">
                  <c:v>587146.3645592702</c:v>
                </c:pt>
                <c:pt idx="24">
                  <c:v>634118.0737240118</c:v>
                </c:pt>
                <c:pt idx="25">
                  <c:v>684847.5196219328</c:v>
                </c:pt>
                <c:pt idx="26">
                  <c:v>739635.3211916876</c:v>
                </c:pt>
                <c:pt idx="27">
                  <c:v>798806.1468870226</c:v>
                </c:pt>
                <c:pt idx="28">
                  <c:v>862710.6386379845</c:v>
                </c:pt>
                <c:pt idx="29">
                  <c:v>931727.4897290233</c:v>
                </c:pt>
                <c:pt idx="30">
                  <c:v>1.00626568890735E6</c:v>
                </c:pt>
                <c:pt idx="31">
                  <c:v>1.08676694401993E6</c:v>
                </c:pt>
                <c:pt idx="32">
                  <c:v>1.17370829954153E6</c:v>
                </c:pt>
                <c:pt idx="33">
                  <c:v>1.26760496350485E6</c:v>
                </c:pt>
                <c:pt idx="34">
                  <c:v>1.36901336058524E6</c:v>
                </c:pt>
                <c:pt idx="35">
                  <c:v>1.47853442943206E6</c:v>
                </c:pt>
                <c:pt idx="36">
                  <c:v>1.59681718378662E6</c:v>
                </c:pt>
                <c:pt idx="37">
                  <c:v>1.72456255848955E6</c:v>
                </c:pt>
                <c:pt idx="38">
                  <c:v>1.86252756316872E6</c:v>
                </c:pt>
                <c:pt idx="39">
                  <c:v>2.01152976822221E6</c:v>
                </c:pt>
                <c:pt idx="40">
                  <c:v>2.17245214967999E6</c:v>
                </c:pt>
                <c:pt idx="41">
                  <c:v>1.53848903709288E6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97-4C0A-A275-2F2F57C5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98703472"/>
        <c:axId val="-899095744"/>
      </c:lineChart>
      <c:catAx>
        <c:axId val="-89870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Antall år</a:t>
                </a:r>
              </a:p>
            </c:rich>
          </c:tx>
          <c:layout>
            <c:manualLayout>
              <c:xMode val="edge"/>
              <c:yMode val="edge"/>
              <c:x val="0.516639376189761"/>
              <c:y val="0.97106777877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899095744"/>
        <c:crosses val="autoZero"/>
        <c:auto val="1"/>
        <c:lblAlgn val="ctr"/>
        <c:lblOffset val="100"/>
        <c:noMultiLvlLbl val="0"/>
      </c:catAx>
      <c:valAx>
        <c:axId val="-899095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Kotnoverdi</a:t>
                </a:r>
              </a:p>
            </c:rich>
          </c:tx>
          <c:layout>
            <c:manualLayout>
              <c:xMode val="edge"/>
              <c:yMode val="edge"/>
              <c:x val="0.00310146806892097"/>
              <c:y val="0.41498576780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&quot;kr&quot;\ #,##0" sourceLinked="0"/>
        <c:majorTickMark val="none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898703472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Realisasjon!$AL$4</c:f>
              <c:strCache>
                <c:ptCount val="1"/>
                <c:pt idx="0">
                  <c:v>Differanse (kr)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Realisasjon!$AK$5:$AK$11</c:f>
              <c:numCache>
                <c:formatCode>0%</c:formatCode>
                <c:ptCount val="7"/>
                <c:pt idx="0">
                  <c:v>0.05</c:v>
                </c:pt>
                <c:pt idx="1">
                  <c:v>0.06</c:v>
                </c:pt>
                <c:pt idx="2">
                  <c:v>0.07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</c:numCache>
            </c:numRef>
          </c:cat>
          <c:val>
            <c:numRef>
              <c:f>Realisasjon!$AL$5:$AL$11</c:f>
              <c:numCache>
                <c:formatCode>_-"kr"* #,##0.00_-;\-"kr"* #,##0.00_-;_-"kr"* "-"??_-;_-@_-</c:formatCode>
                <c:ptCount val="7"/>
                <c:pt idx="0">
                  <c:v>127798.59</c:v>
                </c:pt>
                <c:pt idx="1">
                  <c:v>223068.34</c:v>
                </c:pt>
                <c:pt idx="2">
                  <c:v>402885.82</c:v>
                </c:pt>
                <c:pt idx="3">
                  <c:v>669948.02</c:v>
                </c:pt>
                <c:pt idx="4">
                  <c:v>1.08183027E6</c:v>
                </c:pt>
                <c:pt idx="5">
                  <c:v>1.70726426E6</c:v>
                </c:pt>
                <c:pt idx="6">
                  <c:v>2.6449096E6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097-4C0A-A275-2F2F57C5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76164256"/>
        <c:axId val="-937173088"/>
      </c:lineChart>
      <c:catAx>
        <c:axId val="-107616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Prosentvis</a:t>
                </a:r>
                <a:r>
                  <a:rPr lang="nb-NO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avkastning (%)</a:t>
                </a:r>
              </a:p>
            </c:rich>
          </c:tx>
          <c:layout>
            <c:manualLayout>
              <c:xMode val="edge"/>
              <c:yMode val="edge"/>
              <c:x val="0.425854382463637"/>
              <c:y val="0.9339325725794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0%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937173088"/>
        <c:crosses val="autoZero"/>
        <c:auto val="1"/>
        <c:lblAlgn val="ctr"/>
        <c:lblOffset val="100"/>
        <c:noMultiLvlLbl val="0"/>
      </c:catAx>
      <c:valAx>
        <c:axId val="-9371730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Differanse</a:t>
                </a:r>
                <a:r>
                  <a:rPr lang="nb-NO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(kr)</a:t>
                </a:r>
              </a:p>
            </c:rich>
          </c:tx>
          <c:layout>
            <c:manualLayout>
              <c:xMode val="edge"/>
              <c:yMode val="edge"/>
              <c:x val="0.00310147545353458"/>
              <c:y val="0.281277984831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&quot;kr&quot;\ #,##0" sourceLinked="0"/>
        <c:majorTickMark val="none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107616425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Utbytte!$F$2</c:f>
              <c:strCache>
                <c:ptCount val="1"/>
                <c:pt idx="0">
                  <c:v>Aksjesparekonto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  <a:tailEnd type="oval" w="sm" len="sm"/>
            </a:ln>
            <a:effectLst/>
          </c:spPr>
          <c:marker>
            <c:symbol val="none"/>
          </c:marker>
          <c:cat>
            <c:numRef>
              <c:f>Utbytte!$B$96:$B$137</c:f>
              <c:numCache>
                <c:formatCode>General</c:formatCode>
                <c:ptCount val="4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40.0</c:v>
                </c:pt>
              </c:numCache>
            </c:numRef>
          </c:cat>
          <c:val>
            <c:numRef>
              <c:f>Utbytte!$C$96:$C$137</c:f>
              <c:numCache>
                <c:formatCode>_-"kr"\ * #,##0_-;\-"kr"\ * #,##0_-;_-"kr"\ * "-"??_-;_-@_-</c:formatCode>
                <c:ptCount val="42"/>
                <c:pt idx="0">
                  <c:v>100000.0</c:v>
                </c:pt>
                <c:pt idx="1">
                  <c:v>110268.0</c:v>
                </c:pt>
                <c:pt idx="2">
                  <c:v>121422.24</c:v>
                </c:pt>
                <c:pt idx="3">
                  <c:v>133529.472</c:v>
                </c:pt>
                <c:pt idx="4">
                  <c:v>146660.709888</c:v>
                </c:pt>
                <c:pt idx="5">
                  <c:v>160891.4244096001</c:v>
                </c:pt>
                <c:pt idx="6">
                  <c:v>176222.3935629312</c:v>
                </c:pt>
                <c:pt idx="7">
                  <c:v>192890.921451135</c:v>
                </c:pt>
                <c:pt idx="8">
                  <c:v>210913.4974616205</c:v>
                </c:pt>
                <c:pt idx="9">
                  <c:v>230385.283273786</c:v>
                </c:pt>
                <c:pt idx="10">
                  <c:v>251514.7621822798</c:v>
                </c:pt>
                <c:pt idx="11">
                  <c:v>274317.328003475</c:v>
                </c:pt>
                <c:pt idx="12">
                  <c:v>299032.701372254</c:v>
                </c:pt>
                <c:pt idx="13">
                  <c:v>325674.9412081987</c:v>
                </c:pt>
                <c:pt idx="14">
                  <c:v>354519.2704478994</c:v>
                </c:pt>
                <c:pt idx="15">
                  <c:v>385577.1558308</c:v>
                </c:pt>
                <c:pt idx="16">
                  <c:v>419335.379544098</c:v>
                </c:pt>
                <c:pt idx="17">
                  <c:v>455657.2234487265</c:v>
                </c:pt>
                <c:pt idx="18">
                  <c:v>495106.8159490134</c:v>
                </c:pt>
                <c:pt idx="19">
                  <c:v>537520.5669133623</c:v>
                </c:pt>
                <c:pt idx="20">
                  <c:v>583318.786552741</c:v>
                </c:pt>
                <c:pt idx="21">
                  <c:v>633004.5897061746</c:v>
                </c:pt>
                <c:pt idx="22">
                  <c:v>686635.0541095907</c:v>
                </c:pt>
                <c:pt idx="23">
                  <c:v>744501.5902611545</c:v>
                </c:pt>
                <c:pt idx="24">
                  <c:v>806915.248813805</c:v>
                </c:pt>
                <c:pt idx="25">
                  <c:v>874550.2825572081</c:v>
                </c:pt>
                <c:pt idx="26">
                  <c:v>947472.8464465516</c:v>
                </c:pt>
                <c:pt idx="27">
                  <c:v>1.02646589874982E6</c:v>
                </c:pt>
                <c:pt idx="28">
                  <c:v>1.11160265788504E6</c:v>
                </c:pt>
                <c:pt idx="29">
                  <c:v>1.20332605298503E6</c:v>
                </c:pt>
                <c:pt idx="30">
                  <c:v>1.30261093429056E6</c:v>
                </c:pt>
                <c:pt idx="31">
                  <c:v>1.41008010986586E6</c:v>
                </c:pt>
                <c:pt idx="32">
                  <c:v>1.52582078940399E6</c:v>
                </c:pt>
                <c:pt idx="33">
                  <c:v>1.65105546496507E6</c:v>
                </c:pt>
                <c:pt idx="34">
                  <c:v>1.78656243556374E6</c:v>
                </c:pt>
                <c:pt idx="35">
                  <c:v>1.9324444992677E6</c:v>
                </c:pt>
                <c:pt idx="36">
                  <c:v>2.09023369357669E6</c:v>
                </c:pt>
                <c:pt idx="37">
                  <c:v>2.26003923290056E6</c:v>
                </c:pt>
                <c:pt idx="38">
                  <c:v>2.44456742665894E6</c:v>
                </c:pt>
                <c:pt idx="39">
                  <c:v>2.64315011544399E6</c:v>
                </c:pt>
                <c:pt idx="40">
                  <c:v>2.85786080290403E6</c:v>
                </c:pt>
                <c:pt idx="41">
                  <c:v>1.91423118329569E6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17-4AAD-B144-63F2CE923812}"/>
            </c:ext>
          </c:extLst>
        </c:ser>
        <c:ser>
          <c:idx val="1"/>
          <c:order val="1"/>
          <c:tx>
            <c:strRef>
              <c:f>Utbytte!$R$2</c:f>
              <c:strCache>
                <c:ptCount val="1"/>
                <c:pt idx="0">
                  <c:v>Investeringsselskap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  <a:tailEnd type="oval" w="sm" len="sm"/>
            </a:ln>
            <a:effectLst/>
          </c:spPr>
          <c:marker>
            <c:symbol val="none"/>
          </c:marker>
          <c:cat>
            <c:numRef>
              <c:f>Utbytte!$B$96:$B$137</c:f>
              <c:numCache>
                <c:formatCode>General</c:formatCode>
                <c:ptCount val="4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40.0</c:v>
                </c:pt>
              </c:numCache>
            </c:numRef>
          </c:cat>
          <c:val>
            <c:numRef>
              <c:f>Utbytte!$D$96:$D$137</c:f>
              <c:numCache>
                <c:formatCode>_-"kr"\ * #,##0_-;\-"kr"\ * #,##0_-;_-"kr"\ * "-"??_-;_-@_-</c:formatCode>
                <c:ptCount val="42"/>
                <c:pt idx="0">
                  <c:v>100000.0</c:v>
                </c:pt>
                <c:pt idx="1">
                  <c:v>110970.0</c:v>
                </c:pt>
                <c:pt idx="2">
                  <c:v>122880.24</c:v>
                </c:pt>
                <c:pt idx="3">
                  <c:v>135859.9392</c:v>
                </c:pt>
                <c:pt idx="4">
                  <c:v>149925.883392</c:v>
                </c:pt>
                <c:pt idx="5">
                  <c:v>165225.9422361601</c:v>
                </c:pt>
                <c:pt idx="6">
                  <c:v>181776.4536932353</c:v>
                </c:pt>
                <c:pt idx="7">
                  <c:v>199746.2185262531</c:v>
                </c:pt>
                <c:pt idx="8">
                  <c:v>219150.1368973749</c:v>
                </c:pt>
                <c:pt idx="9">
                  <c:v>240280.3561779529</c:v>
                </c:pt>
                <c:pt idx="10">
                  <c:v>263065.0109176892</c:v>
                </c:pt>
                <c:pt idx="11">
                  <c:v>287724.252236539</c:v>
                </c:pt>
                <c:pt idx="12">
                  <c:v>314393.5390848497</c:v>
                </c:pt>
                <c:pt idx="13">
                  <c:v>343216.5142419597</c:v>
                </c:pt>
                <c:pt idx="14">
                  <c:v>374492.1870928515</c:v>
                </c:pt>
                <c:pt idx="15">
                  <c:v>408258.1649973176</c:v>
                </c:pt>
                <c:pt idx="16">
                  <c:v>444687.3551047706</c:v>
                </c:pt>
                <c:pt idx="17">
                  <c:v>484147.3624706932</c:v>
                </c:pt>
                <c:pt idx="18">
                  <c:v>526875.1709675336</c:v>
                </c:pt>
                <c:pt idx="19">
                  <c:v>572909.3155981441</c:v>
                </c:pt>
                <c:pt idx="20">
                  <c:v>622703.8744182676</c:v>
                </c:pt>
                <c:pt idx="21">
                  <c:v>676295.559658247</c:v>
                </c:pt>
                <c:pt idx="22">
                  <c:v>734476.6097403461</c:v>
                </c:pt>
                <c:pt idx="23">
                  <c:v>797344.7630714887</c:v>
                </c:pt>
                <c:pt idx="24">
                  <c:v>865254.111596414</c:v>
                </c:pt>
                <c:pt idx="25">
                  <c:v>938241.1018820478</c:v>
                </c:pt>
                <c:pt idx="26">
                  <c:v>1.01736838429917E6</c:v>
                </c:pt>
                <c:pt idx="27">
                  <c:v>1.10315128885098E6</c:v>
                </c:pt>
                <c:pt idx="28">
                  <c:v>1.19528558983293E6</c:v>
                </c:pt>
                <c:pt idx="29">
                  <c:v>1.29510121072334E6</c:v>
                </c:pt>
                <c:pt idx="30">
                  <c:v>1.40273437033684E6</c:v>
                </c:pt>
                <c:pt idx="31">
                  <c:v>1.51930018773987E6</c:v>
                </c:pt>
                <c:pt idx="32">
                  <c:v>1.64495218180745E6</c:v>
                </c:pt>
                <c:pt idx="33">
                  <c:v>1.78035117124256E6</c:v>
                </c:pt>
                <c:pt idx="34">
                  <c:v>1.92688630502372E6</c:v>
                </c:pt>
                <c:pt idx="35">
                  <c:v>2.08547281271392E6</c:v>
                </c:pt>
                <c:pt idx="36">
                  <c:v>2.2563026806905E6</c:v>
                </c:pt>
                <c:pt idx="37">
                  <c:v>2.44111830154196E6</c:v>
                </c:pt>
                <c:pt idx="38">
                  <c:v>2.64106408457324E6</c:v>
                </c:pt>
                <c:pt idx="39">
                  <c:v>2.85637227087554E6</c:v>
                </c:pt>
                <c:pt idx="40">
                  <c:v>3.08922695684495E6</c:v>
                </c:pt>
                <c:pt idx="41">
                  <c:v>1.94627744054417E6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17-4AAD-B144-63F2CE923812}"/>
            </c:ext>
          </c:extLst>
        </c:ser>
        <c:ser>
          <c:idx val="2"/>
          <c:order val="2"/>
          <c:tx>
            <c:strRef>
              <c:f>Utbytte!$E$95</c:f>
              <c:strCache>
                <c:ptCount val="1"/>
                <c:pt idx="0">
                  <c:v>AKSJER ASK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Utbytte!$E$96:$E$137</c:f>
              <c:numCache>
                <c:formatCode>0</c:formatCode>
                <c:ptCount val="4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B17-4AAD-B144-63F2CE923812}"/>
            </c:ext>
          </c:extLst>
        </c:ser>
        <c:ser>
          <c:idx val="3"/>
          <c:order val="3"/>
          <c:tx>
            <c:strRef>
              <c:f>Utbytte!$F$95</c:f>
              <c:strCache>
                <c:ptCount val="1"/>
                <c:pt idx="0">
                  <c:v>AKSJER INV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Utbytte!$F$96:$F$137</c:f>
              <c:numCache>
                <c:formatCode>0</c:formatCode>
                <c:ptCount val="4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B17-4AAD-B144-63F2CE923812}"/>
            </c:ext>
          </c:extLst>
        </c:ser>
        <c:ser>
          <c:idx val="4"/>
          <c:order val="4"/>
          <c:tx>
            <c:strRef>
              <c:f>Utbytte!$G$95</c:f>
              <c:strCache>
                <c:ptCount val="1"/>
                <c:pt idx="0">
                  <c:v>Utb. E.S. ASK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Utbytte!$G$97:$G$136</c:f>
              <c:numCache>
                <c:formatCode>_-"kr"* #,##0.00_-;\-"kr"* #,##0.00_-;_-"kr"* "-"??_-;_-@_-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B17-4AAD-B144-63F2CE923812}"/>
            </c:ext>
          </c:extLst>
        </c:ser>
        <c:ser>
          <c:idx val="5"/>
          <c:order val="5"/>
          <c:tx>
            <c:strRef>
              <c:f>Utbytte!$H$95</c:f>
              <c:strCache>
                <c:ptCount val="1"/>
                <c:pt idx="0">
                  <c:v>Utb. E.S. INV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Utbytte!$H$97:$H$136</c:f>
              <c:numCache>
                <c:formatCode>0.00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4B17-4AAD-B144-63F2CE923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1040032"/>
        <c:axId val="-1076117632"/>
      </c:lineChart>
      <c:catAx>
        <c:axId val="-110104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Antall år</a:t>
                </a:r>
              </a:p>
            </c:rich>
          </c:tx>
          <c:layout>
            <c:manualLayout>
              <c:xMode val="edge"/>
              <c:yMode val="edge"/>
              <c:x val="0.516639376189761"/>
              <c:y val="0.97106777877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1076117632"/>
        <c:crosses val="autoZero"/>
        <c:auto val="1"/>
        <c:lblAlgn val="ctr"/>
        <c:lblOffset val="100"/>
        <c:noMultiLvlLbl val="0"/>
      </c:catAx>
      <c:valAx>
        <c:axId val="-1076117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Kotnoverdi</a:t>
                </a:r>
              </a:p>
            </c:rich>
          </c:tx>
          <c:layout>
            <c:manualLayout>
              <c:xMode val="edge"/>
              <c:yMode val="edge"/>
              <c:x val="0.00310146806892097"/>
              <c:y val="0.41498576780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&quot;kr&quot;\ #,##0" sourceLinked="0"/>
        <c:majorTickMark val="none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1101040032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AFK</c:v>
          </c:tx>
          <c:spPr>
            <a:ln w="6350" cap="rnd">
              <a:solidFill>
                <a:schemeClr val="accent1"/>
              </a:solidFill>
              <a:round/>
              <a:tailEnd type="oval" w="sm" len="sm"/>
            </a:ln>
            <a:effectLst/>
          </c:spPr>
          <c:marker>
            <c:symbol val="none"/>
          </c:marker>
          <c:cat>
            <c:strRef>
              <c:f>Randomisering!$B$155:$B$195</c:f>
              <c:strCache>
                <c:ptCount val="41"/>
                <c:pt idx="0">
                  <c:v>Tot. avkastn.</c:v>
                </c:pt>
                <c:pt idx="1">
                  <c:v>Årlig avkastn.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</c:strCache>
            </c:strRef>
          </c:cat>
          <c:val>
            <c:numRef>
              <c:f>Randomisering!$C$155:$C$196</c:f>
              <c:numCache>
                <c:formatCode>0.00%</c:formatCode>
                <c:ptCount val="42"/>
                <c:pt idx="0">
                  <c:v>0.475008552795148</c:v>
                </c:pt>
                <c:pt idx="1">
                  <c:v>0.00976395407968078</c:v>
                </c:pt>
                <c:pt idx="4" formatCode="General">
                  <c:v>0.0</c:v>
                </c:pt>
                <c:pt idx="6" formatCode="_-&quot;kr&quot;* #,##0.00_-;\-&quot;kr&quot;* #,##0.00_-;_-&quot;kr&quot;* &quot;-&quot;??_-;_-@_-">
                  <c:v>100000.0</c:v>
                </c:pt>
                <c:pt idx="7" formatCode="_-&quot;kr&quot;* #,##0.00_-;\-&quot;kr&quot;* #,##0.00_-;_-&quot;kr&quot;* &quot;-&quot;??_-;_-@_-">
                  <c:v>101997.4673970551</c:v>
                </c:pt>
                <c:pt idx="8" formatCode="_-&quot;kr&quot;* #,##0.00_-;\-&quot;kr&quot;* #,##0.00_-;_-&quot;kr&quot;* &quot;-&quot;??_-;_-@_-">
                  <c:v>107906.5421185661</c:v>
                </c:pt>
                <c:pt idx="9" formatCode="_-&quot;kr&quot;* #,##0.00_-;\-&quot;kr&quot;* #,##0.00_-;_-&quot;kr&quot;* &quot;-&quot;??_-;_-@_-">
                  <c:v>109820.7331817152</c:v>
                </c:pt>
                <c:pt idx="10" formatCode="_-&quot;kr&quot;* #,##0.00_-;\-&quot;kr&quot;* #,##0.00_-;_-&quot;kr&quot;* &quot;-&quot;??_-;_-@_-">
                  <c:v>112473.5148034026</c:v>
                </c:pt>
                <c:pt idx="11" formatCode="_-&quot;kr&quot;* #,##0.00_-;\-&quot;kr&quot;* #,##0.00_-;_-&quot;kr&quot;* &quot;-&quot;??_-;_-@_-">
                  <c:v>116186.8546521233</c:v>
                </c:pt>
                <c:pt idx="12" formatCode="_-&quot;kr&quot;* #,##0.00_-;\-&quot;kr&quot;* #,##0.00_-;_-&quot;kr&quot;* &quot;-&quot;??_-;_-@_-">
                  <c:v>115730.4458844828</c:v>
                </c:pt>
                <c:pt idx="13" formatCode="_-&quot;kr&quot;* #,##0.00_-;\-&quot;kr&quot;* #,##0.00_-;_-&quot;kr&quot;* &quot;-&quot;??_-;_-@_-">
                  <c:v>116572.7762557488</c:v>
                </c:pt>
                <c:pt idx="14" formatCode="_-&quot;kr&quot;* #,##0.00_-;\-&quot;kr&quot;* #,##0.00_-;_-&quot;kr&quot;* &quot;-&quot;??_-;_-@_-">
                  <c:v>124664.0926556603</c:v>
                </c:pt>
                <c:pt idx="15" formatCode="_-&quot;kr&quot;* #,##0.00_-;\-&quot;kr&quot;* #,##0.00_-;_-&quot;kr&quot;* &quot;-&quot;??_-;_-@_-">
                  <c:v>123444.1192519629</c:v>
                </c:pt>
                <c:pt idx="16" formatCode="_-&quot;kr&quot;* #,##0.00_-;\-&quot;kr&quot;* #,##0.00_-;_-&quot;kr&quot;* &quot;-&quot;??_-;_-@_-">
                  <c:v>118708.1347645058</c:v>
                </c:pt>
                <c:pt idx="17" formatCode="_-&quot;kr&quot;* #,##0.00_-;\-&quot;kr&quot;* #,##0.00_-;_-&quot;kr&quot;* &quot;-&quot;??_-;_-@_-">
                  <c:v>125642.194475102</c:v>
                </c:pt>
                <c:pt idx="18" formatCode="_-&quot;kr&quot;* #,##0.00_-;\-&quot;kr&quot;* #,##0.00_-;_-&quot;kr&quot;* &quot;-&quot;??_-;_-@_-">
                  <c:v>134363.0191936187</c:v>
                </c:pt>
                <c:pt idx="19" formatCode="_-&quot;kr&quot;* #,##0.00_-;\-&quot;kr&quot;* #,##0.00_-;_-&quot;kr&quot;* &quot;-&quot;??_-;_-@_-">
                  <c:v>137217.3622132272</c:v>
                </c:pt>
                <c:pt idx="20" formatCode="_-&quot;kr&quot;* #,##0.00_-;\-&quot;kr&quot;* #,##0.00_-;_-&quot;kr&quot;* &quot;-&quot;??_-;_-@_-">
                  <c:v>146741.6193244474</c:v>
                </c:pt>
                <c:pt idx="21" formatCode="_-&quot;kr&quot;* #,##0.00_-;\-&quot;kr&quot;* #,##0.00_-;_-&quot;kr&quot;* &quot;-&quot;??_-;_-@_-">
                  <c:v>150601.5463265399</c:v>
                </c:pt>
                <c:pt idx="22" formatCode="_-&quot;kr&quot;* #,##0.00_-;\-&quot;kr&quot;* #,##0.00_-;_-&quot;kr&quot;* &quot;-&quot;??_-;_-@_-">
                  <c:v>153219.498669397</c:v>
                </c:pt>
                <c:pt idx="23" formatCode="_-&quot;kr&quot;* #,##0.00_-;\-&quot;kr&quot;* #,##0.00_-;_-&quot;kr&quot;* &quot;-&quot;??_-;_-@_-">
                  <c:v>156150.8668651562</c:v>
                </c:pt>
                <c:pt idx="24" formatCode="_-&quot;kr&quot;* #,##0.00_-;\-&quot;kr&quot;* #,##0.00_-;_-&quot;kr&quot;* &quot;-&quot;??_-;_-@_-">
                  <c:v>154695.4760508055</c:v>
                </c:pt>
                <c:pt idx="25" formatCode="_-&quot;kr&quot;* #,##0.00_-;\-&quot;kr&quot;* #,##0.00_-;_-&quot;kr&quot;* &quot;-&quot;??_-;_-@_-">
                  <c:v>162460.8338369913</c:v>
                </c:pt>
                <c:pt idx="26" formatCode="_-&quot;kr&quot;* #,##0.00_-;\-&quot;kr&quot;* #,##0.00_-;_-&quot;kr&quot;* &quot;-&quot;??_-;_-@_-">
                  <c:v>157426.1493038977</c:v>
                </c:pt>
                <c:pt idx="27" formatCode="_-&quot;kr&quot;* #,##0.00_-;\-&quot;kr&quot;* #,##0.00_-;_-&quot;kr&quot;* &quot;-&quot;??_-;_-@_-">
                  <c:v>168353.0983270812</c:v>
                </c:pt>
                <c:pt idx="28" formatCode="_-&quot;kr&quot;* #,##0.00_-;\-&quot;kr&quot;* #,##0.00_-;_-&quot;kr&quot;* &quot;-&quot;??_-;_-@_-">
                  <c:v>171726.070654066</c:v>
                </c:pt>
                <c:pt idx="29" formatCode="_-&quot;kr&quot;* #,##0.00_-;\-&quot;kr&quot;* #,##0.00_-;_-&quot;kr&quot;* &quot;-&quot;??_-;_-@_-">
                  <c:v>169830.733265065</c:v>
                </c:pt>
                <c:pt idx="30" formatCode="_-&quot;kr&quot;* #,##0.00_-;\-&quot;kr&quot;* #,##0.00_-;_-&quot;kr&quot;* &quot;-&quot;??_-;_-@_-">
                  <c:v>163259.3836403046</c:v>
                </c:pt>
                <c:pt idx="31" formatCode="_-&quot;kr&quot;* #,##0.00_-;\-&quot;kr&quot;* #,##0.00_-;_-&quot;kr&quot;* &quot;-&quot;??_-;_-@_-">
                  <c:v>156102.8147379008</c:v>
                </c:pt>
                <c:pt idx="32" formatCode="_-&quot;kr&quot;* #,##0.00_-;\-&quot;kr&quot;* #,##0.00_-;_-&quot;kr&quot;* &quot;-&quot;??_-;_-@_-">
                  <c:v>166937.9111088586</c:v>
                </c:pt>
                <c:pt idx="33" formatCode="_-&quot;kr&quot;* #,##0.00_-;\-&quot;kr&quot;* #,##0.00_-;_-&quot;kr&quot;* &quot;-&quot;??_-;_-@_-">
                  <c:v>160076.4214444341</c:v>
                </c:pt>
                <c:pt idx="34" formatCode="_-&quot;kr&quot;* #,##0.00_-;\-&quot;kr&quot;* #,##0.00_-;_-&quot;kr&quot;* &quot;-&quot;??_-;_-@_-">
                  <c:v>157042.5169079886</c:v>
                </c:pt>
                <c:pt idx="35" formatCode="_-&quot;kr&quot;* #,##0.00_-;\-&quot;kr&quot;* #,##0.00_-;_-&quot;kr&quot;* &quot;-&quot;??_-;_-@_-">
                  <c:v>158820.5932998831</c:v>
                </c:pt>
                <c:pt idx="36" formatCode="_-&quot;kr&quot;* #,##0.00_-;\-&quot;kr&quot;* #,##0.00_-;_-&quot;kr&quot;* &quot;-&quot;??_-;_-@_-">
                  <c:v>159388.7107931485</c:v>
                </c:pt>
                <c:pt idx="37" formatCode="_-&quot;kr&quot;* #,##0.00_-;\-&quot;kr&quot;* #,##0.00_-;_-&quot;kr&quot;* &quot;-&quot;??_-;_-@_-">
                  <c:v>160119.30853136</c:v>
                </c:pt>
                <c:pt idx="38" formatCode="_-&quot;kr&quot;* #,##0.00_-;\-&quot;kr&quot;* #,##0.00_-;_-&quot;kr&quot;* &quot;-&quot;??_-;_-@_-">
                  <c:v>163964.6889966592</c:v>
                </c:pt>
                <c:pt idx="39" formatCode="_-&quot;kr&quot;* #,##0.00_-;\-&quot;kr&quot;* #,##0.00_-;_-&quot;kr&quot;* &quot;-&quot;??_-;_-@_-">
                  <c:v>168505.1818592445</c:v>
                </c:pt>
                <c:pt idx="40" formatCode="_-&quot;kr&quot;* #,##0.00_-;\-&quot;kr&quot;* #,##0.00_-;_-&quot;kr&quot;* &quot;-&quot;??_-;_-@_-">
                  <c:v>164113.2529999494</c:v>
                </c:pt>
                <c:pt idx="41" formatCode="_-&quot;kr&quot;* #,##0.00_-;\-&quot;kr&quot;* #,##0.00_-;_-&quot;kr&quot;* &quot;-&quot;??_-;_-@_-">
                  <c:v>157354.0645375181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97-4C0A-A275-2F2F57C5D4FA}"/>
            </c:ext>
          </c:extLst>
        </c:ser>
        <c:ser>
          <c:idx val="1"/>
          <c:order val="1"/>
          <c:tx>
            <c:v>ASK</c:v>
          </c:tx>
          <c:spPr>
            <a:ln w="6350" cap="rnd">
              <a:solidFill>
                <a:srgbClr val="00B050"/>
              </a:solidFill>
              <a:round/>
              <a:tailEnd type="oval" w="sm" len="sm"/>
            </a:ln>
            <a:effectLst/>
          </c:spPr>
          <c:marker>
            <c:symbol val="none"/>
          </c:marker>
          <c:cat>
            <c:strRef>
              <c:f>Randomisering!$B$155:$B$195</c:f>
              <c:strCache>
                <c:ptCount val="41"/>
                <c:pt idx="0">
                  <c:v>Tot. avkastn.</c:v>
                </c:pt>
                <c:pt idx="1">
                  <c:v>Årlig avkastn.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</c:strCache>
            </c:strRef>
          </c:cat>
          <c:val>
            <c:numRef>
              <c:f>Randomisering!$D$155:$D$196</c:f>
              <c:numCache>
                <c:formatCode>General</c:formatCode>
                <c:ptCount val="42"/>
                <c:pt idx="4">
                  <c:v>0.0</c:v>
                </c:pt>
                <c:pt idx="6" formatCode="_-&quot;kr&quot;* #,##0.00_-;\-&quot;kr&quot;* #,##0.00_-;_-&quot;kr&quot;* &quot;-&quot;??_-;_-@_-">
                  <c:v>100000.0</c:v>
                </c:pt>
                <c:pt idx="7" formatCode="_-&quot;kr&quot;* #,##0.00_-;\-&quot;kr&quot;* #,##0.00_-;_-&quot;kr&quot;* &quot;-&quot;??_-;_-@_-">
                  <c:v>102877.780430853</c:v>
                </c:pt>
                <c:pt idx="8" formatCode="_-&quot;kr&quot;* #,##0.00_-;\-&quot;kr&quot;* #,##0.00_-;_-&quot;kr&quot;* &quot;-&quot;??_-;_-@_-">
                  <c:v>111464.5465668709</c:v>
                </c:pt>
                <c:pt idx="9" formatCode="_-&quot;kr&quot;* #,##0.00_-;\-&quot;kr&quot;* #,##0.00_-;_-&quot;kr&quot;* &quot;-&quot;??_-;_-@_-">
                  <c:v>114313.2826584635</c:v>
                </c:pt>
                <c:pt idx="10" formatCode="_-&quot;kr&quot;* #,##0.00_-;\-&quot;kr&quot;* #,##0.00_-;_-&quot;kr&quot;* &quot;-&quot;??_-;_-@_-">
                  <c:v>118291.530292655</c:v>
                </c:pt>
                <c:pt idx="11" formatCode="_-&quot;kr&quot;* #,##0.00_-;\-&quot;kr&quot;* #,##0.00_-;_-&quot;kr&quot;* &quot;-&quot;??_-;_-@_-">
                  <c:v>123918.1302266791</c:v>
                </c:pt>
                <c:pt idx="12" formatCode="_-&quot;kr&quot;* #,##0.00_-;\-&quot;kr&quot;* #,##0.00_-;_-&quot;kr&quot;* &quot;-&quot;??_-;_-@_-">
                  <c:v>123216.8206148266</c:v>
                </c:pt>
                <c:pt idx="13" formatCode="_-&quot;kr&quot;* #,##0.00_-;\-&quot;kr&quot;* #,##0.00_-;_-&quot;kr&quot;* &quot;-&quot;??_-;_-@_-">
                  <c:v>124508.8809301507</c:v>
                </c:pt>
                <c:pt idx="14" formatCode="_-&quot;kr&quot;* #,##0.00_-;\-&quot;kr&quot;* #,##0.00_-;_-&quot;kr&quot;* &quot;-&quot;??_-;_-@_-">
                  <c:v>136959.7690231658</c:v>
                </c:pt>
                <c:pt idx="15" formatCode="_-&quot;kr&quot;* #,##0.00_-;\-&quot;kr&quot;* #,##0.00_-;_-&quot;kr&quot;* &quot;-&quot;??_-;_-@_-">
                  <c:v>135028.7793424005</c:v>
                </c:pt>
                <c:pt idx="16" formatCode="_-&quot;kr&quot;* #,##0.00_-;\-&quot;kr&quot;* #,##0.00_-;_-&quot;kr&quot;* &quot;-&quot;??_-;_-@_-">
                  <c:v>127565.2514010588</c:v>
                </c:pt>
                <c:pt idx="17" formatCode="_-&quot;kr&quot;* #,##0.00_-;\-&quot;kr&quot;* #,##0.00_-;_-&quot;kr&quot;* &quot;-&quot;??_-;_-@_-">
                  <c:v>138300.6318753766</c:v>
                </c:pt>
                <c:pt idx="18" formatCode="_-&quot;kr&quot;* #,##0.00_-;\-&quot;kr&quot;* #,##0.00_-;_-&quot;kr&quot;* &quot;-&quot;??_-;_-@_-">
                  <c:v>152130.6950629143</c:v>
                </c:pt>
                <c:pt idx="19" formatCode="_-&quot;kr&quot;* #,##0.00_-;\-&quot;kr&quot;* #,##0.00_-;_-&quot;kr&quot;* &quot;-&quot;??_-;_-@_-">
                  <c:v>156786.7834301288</c:v>
                </c:pt>
                <c:pt idx="20" formatCode="_-&quot;kr&quot;* #,##0.00_-;\-&quot;kr&quot;* #,##0.00_-;_-&quot;kr&quot;* &quot;-&quot;??_-;_-@_-">
                  <c:v>172465.4617731417</c:v>
                </c:pt>
                <c:pt idx="21" formatCode="_-&quot;kr&quot;* #,##0.00_-;\-&quot;kr&quot;* #,##0.00_-;_-&quot;kr&quot;* &quot;-&quot;??_-;_-@_-">
                  <c:v>179001.3689447278</c:v>
                </c:pt>
                <c:pt idx="22" formatCode="_-&quot;kr&quot;* #,##0.00_-;\-&quot;kr&quot;* #,##0.00_-;_-&quot;kr&quot;* &quot;-&quot;??_-;_-@_-">
                  <c:v>183484.3470031955</c:v>
                </c:pt>
                <c:pt idx="23" formatCode="_-&quot;kr&quot;* #,##0.00_-;\-&quot;kr&quot;* #,##0.00_-;_-&quot;kr&quot;* &quot;-&quot;??_-;_-@_-">
                  <c:v>188541.8169512516</c:v>
                </c:pt>
                <c:pt idx="24" formatCode="_-&quot;kr&quot;* #,##0.00_-;\-&quot;kr&quot;* #,##0.00_-;_-&quot;kr&quot;* &quot;-&quot;??_-;_-@_-">
                  <c:v>186010.0666308255</c:v>
                </c:pt>
                <c:pt idx="25" formatCode="_-&quot;kr&quot;* #,##0.00_-;\-&quot;kr&quot;* #,##0.00_-;_-&quot;kr&quot;* &quot;-&quot;??_-;_-@_-">
                  <c:v>199462.4198205975</c:v>
                </c:pt>
                <c:pt idx="26" formatCode="_-&quot;kr&quot;* #,##0.00_-;\-&quot;kr&quot;* #,##0.00_-;_-&quot;kr&quot;* &quot;-&quot;??_-;_-@_-">
                  <c:v>190556.8313063325</c:v>
                </c:pt>
                <c:pt idx="27" formatCode="_-&quot;kr&quot;* #,##0.00_-;\-&quot;kr&quot;* #,##0.00_-;_-&quot;kr&quot;* &quot;-&quot;??_-;_-@_-">
                  <c:v>209612.5144369658</c:v>
                </c:pt>
                <c:pt idx="28" formatCode="_-&quot;kr&quot;* #,##0.00_-;\-&quot;kr&quot;* #,##0.00_-;_-&quot;kr&quot;* &quot;-&quot;??_-;_-@_-">
                  <c:v>215662.9526167913</c:v>
                </c:pt>
                <c:pt idx="29" formatCode="_-&quot;kr&quot;* #,##0.00_-;\-&quot;kr&quot;* #,##0.00_-;_-&quot;kr&quot;* &quot;-&quot;??_-;_-@_-">
                  <c:v>212233.6658814819</c:v>
                </c:pt>
                <c:pt idx="30" formatCode="_-&quot;kr&quot;* #,##0.00_-;\-&quot;kr&quot;* #,##0.00_-;_-&quot;kr&quot;* &quot;-&quot;??_-;_-@_-">
                  <c:v>200402.4188948679</c:v>
                </c:pt>
                <c:pt idx="31" formatCode="_-&quot;kr&quot;* #,##0.00_-;\-&quot;kr&quot;* #,##0.00_-;_-&quot;kr&quot;* &quot;-&quot;??_-;_-@_-">
                  <c:v>187746.0938727745</c:v>
                </c:pt>
                <c:pt idx="32" formatCode="_-&quot;kr&quot;* #,##0.00_-;\-&quot;kr&quot;* #,##0.00_-;_-&quot;kr&quot;* &quot;-&quot;??_-;_-@_-">
                  <c:v>206520.7032600519</c:v>
                </c:pt>
                <c:pt idx="33" formatCode="_-&quot;kr&quot;* #,##0.00_-;\-&quot;kr&quot;* #,##0.00_-;_-&quot;kr&quot;* &quot;-&quot;??_-;_-@_-">
                  <c:v>194291.307784716</c:v>
                </c:pt>
                <c:pt idx="34" formatCode="_-&quot;kr&quot;* #,##0.00_-;\-&quot;kr&quot;* #,##0.00_-;_-&quot;kr&quot;* &quot;-&quot;??_-;_-@_-">
                  <c:v>188986.0575710695</c:v>
                </c:pt>
                <c:pt idx="35" formatCode="_-&quot;kr&quot;* #,##0.00_-;\-&quot;kr&quot;* #,##0.00_-;_-&quot;kr&quot;* &quot;-&quot;??_-;_-@_-">
                  <c:v>192068.825907206</c:v>
                </c:pt>
                <c:pt idx="36" formatCode="_-&quot;kr&quot;* #,##0.00_-;\-&quot;kr&quot;* #,##0.00_-;_-&quot;kr&quot;* &quot;-&quot;??_-;_-@_-">
                  <c:v>193058.6686088059</c:v>
                </c:pt>
                <c:pt idx="37" formatCode="_-&quot;kr&quot;* #,##0.00_-;\-&quot;kr&quot;* #,##0.00_-;_-&quot;kr&quot;* &quot;-&quot;??_-;_-@_-">
                  <c:v>194333.6035625493</c:v>
                </c:pt>
                <c:pt idx="38" formatCode="_-&quot;kr&quot;* #,##0.00_-;\-&quot;kr&quot;* #,##0.00_-;_-&quot;kr&quot;* &quot;-&quot;??_-;_-@_-">
                  <c:v>201057.5070225174</c:v>
                </c:pt>
                <c:pt idx="39" formatCode="_-&quot;kr&quot;* #,##0.00_-;\-&quot;kr&quot;* #,##0.00_-;_-&quot;kr&quot;* &quot;-&quot;??_-;_-@_-">
                  <c:v>209078.9207446306</c:v>
                </c:pt>
                <c:pt idx="40" formatCode="_-&quot;kr&quot;* #,##0.00_-;\-&quot;kr&quot;* #,##0.00_-;_-&quot;kr&quot;* &quot;-&quot;??_-;_-@_-">
                  <c:v>201227.8255866638</c:v>
                </c:pt>
                <c:pt idx="41" formatCode="_-&quot;kr&quot;* #,##0.00_-;\-&quot;kr&quot;* #,##0.00_-;_-&quot;kr&quot;* &quot;-&quot;??_-;_-@_-">
                  <c:v>189287.4801356564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97-4C0A-A275-2F2F57C5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062224"/>
        <c:axId val="-1131040192"/>
      </c:lineChart>
      <c:catAx>
        <c:axId val="-66106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Antall år</a:t>
                </a:r>
              </a:p>
            </c:rich>
          </c:tx>
          <c:layout>
            <c:manualLayout>
              <c:xMode val="edge"/>
              <c:yMode val="edge"/>
              <c:x val="0.516639376189761"/>
              <c:y val="0.97106777877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1131040192"/>
        <c:crosses val="autoZero"/>
        <c:auto val="1"/>
        <c:lblAlgn val="ctr"/>
        <c:lblOffset val="100"/>
        <c:noMultiLvlLbl val="0"/>
      </c:catAx>
      <c:valAx>
        <c:axId val="-1131040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Kotnoverdi</a:t>
                </a:r>
              </a:p>
            </c:rich>
          </c:tx>
          <c:layout>
            <c:manualLayout>
              <c:xMode val="edge"/>
              <c:yMode val="edge"/>
              <c:x val="0.00310146806892097"/>
              <c:y val="0.41498576780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&quot;kr&quot;\ #,##0" sourceLinked="0"/>
        <c:majorTickMark val="none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661062224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Realisasjon!$AL$4</c:f>
              <c:strCache>
                <c:ptCount val="1"/>
                <c:pt idx="0">
                  <c:v>Differanse (kr)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Realisasjon!$AK$5:$AK$11</c:f>
              <c:numCache>
                <c:formatCode>0%</c:formatCode>
                <c:ptCount val="7"/>
                <c:pt idx="0">
                  <c:v>0.05</c:v>
                </c:pt>
                <c:pt idx="1">
                  <c:v>0.06</c:v>
                </c:pt>
                <c:pt idx="2">
                  <c:v>0.07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</c:numCache>
            </c:numRef>
          </c:cat>
          <c:val>
            <c:numRef>
              <c:f>Realisasjon!$AL$5:$AL$11</c:f>
              <c:numCache>
                <c:formatCode>_-"kr"* #,##0.00_-;\-"kr"* #,##0.00_-;_-"kr"* "-"??_-;_-@_-</c:formatCode>
                <c:ptCount val="7"/>
                <c:pt idx="0">
                  <c:v>127798.59</c:v>
                </c:pt>
                <c:pt idx="1">
                  <c:v>223068.34</c:v>
                </c:pt>
                <c:pt idx="2">
                  <c:v>402885.82</c:v>
                </c:pt>
                <c:pt idx="3">
                  <c:v>669948.02</c:v>
                </c:pt>
                <c:pt idx="4">
                  <c:v>1.08183027E6</c:v>
                </c:pt>
                <c:pt idx="5">
                  <c:v>1.70726426E6</c:v>
                </c:pt>
                <c:pt idx="6">
                  <c:v>2.6449096E6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097-4C0A-A275-2F2F57C5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41214768"/>
        <c:axId val="-1142631344"/>
      </c:lineChart>
      <c:catAx>
        <c:axId val="-941214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Prosentvis</a:t>
                </a:r>
                <a:r>
                  <a:rPr lang="nb-NO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avkastning (%)</a:t>
                </a:r>
              </a:p>
            </c:rich>
          </c:tx>
          <c:layout>
            <c:manualLayout>
              <c:xMode val="edge"/>
              <c:yMode val="edge"/>
              <c:x val="0.425854382463637"/>
              <c:y val="0.9339325725794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0%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1142631344"/>
        <c:crosses val="autoZero"/>
        <c:auto val="1"/>
        <c:lblAlgn val="ctr"/>
        <c:lblOffset val="100"/>
        <c:noMultiLvlLbl val="0"/>
      </c:catAx>
      <c:valAx>
        <c:axId val="-11426313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Differanse</a:t>
                </a:r>
                <a:r>
                  <a:rPr lang="nb-NO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(kr)</a:t>
                </a:r>
              </a:p>
            </c:rich>
          </c:tx>
          <c:layout>
            <c:manualLayout>
              <c:xMode val="edge"/>
              <c:yMode val="edge"/>
              <c:x val="0.00310147545353458"/>
              <c:y val="0.281277984831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&quot;kr&quot;\ #,##0" sourceLinked="0"/>
        <c:majorTickMark val="none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-94121476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D$9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</xdr:colOff>
      <xdr:row>153</xdr:row>
      <xdr:rowOff>180621</xdr:rowOff>
    </xdr:from>
    <xdr:to>
      <xdr:col>17</xdr:col>
      <xdr:colOff>1238642</xdr:colOff>
      <xdr:row>190</xdr:row>
      <xdr:rowOff>3134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562429</xdr:colOff>
      <xdr:row>2</xdr:row>
      <xdr:rowOff>145144</xdr:rowOff>
    </xdr:from>
    <xdr:to>
      <xdr:col>43</xdr:col>
      <xdr:colOff>774700</xdr:colOff>
      <xdr:row>19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310800</xdr:colOff>
      <xdr:row>55</xdr:row>
      <xdr:rowOff>108797</xdr:rowOff>
    </xdr:from>
    <xdr:to>
      <xdr:col>10</xdr:col>
      <xdr:colOff>264759</xdr:colOff>
      <xdr:row>78</xdr:row>
      <xdr:rowOff>182915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57</xdr:row>
          <xdr:rowOff>25400</xdr:rowOff>
        </xdr:from>
        <xdr:to>
          <xdr:col>12</xdr:col>
          <xdr:colOff>38100</xdr:colOff>
          <xdr:row>58</xdr:row>
          <xdr:rowOff>152400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Markedsverdier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58</xdr:row>
          <xdr:rowOff>63500</xdr:rowOff>
        </xdr:from>
        <xdr:to>
          <xdr:col>12</xdr:col>
          <xdr:colOff>495300</xdr:colOff>
          <xdr:row>59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Antall aksjer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59</xdr:row>
          <xdr:rowOff>88900</xdr:rowOff>
        </xdr:from>
        <xdr:to>
          <xdr:col>12</xdr:col>
          <xdr:colOff>165100</xdr:colOff>
          <xdr:row>60</xdr:row>
          <xdr:rowOff>177800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Utbytte etter skatt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</xdr:colOff>
      <xdr:row>159</xdr:row>
      <xdr:rowOff>180621</xdr:rowOff>
    </xdr:from>
    <xdr:to>
      <xdr:col>17</xdr:col>
      <xdr:colOff>1238642</xdr:colOff>
      <xdr:row>196</xdr:row>
      <xdr:rowOff>3134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562429</xdr:colOff>
      <xdr:row>0</xdr:row>
      <xdr:rowOff>145144</xdr:rowOff>
    </xdr:from>
    <xdr:to>
      <xdr:col>17</xdr:col>
      <xdr:colOff>1016000</xdr:colOff>
      <xdr:row>22</xdr:row>
      <xdr:rowOff>181429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281"/>
  <sheetViews>
    <sheetView showGridLines="0" zoomScale="75" zoomScaleNormal="50" workbookViewId="0">
      <selection activeCell="AA37" sqref="AA37"/>
    </sheetView>
  </sheetViews>
  <sheetFormatPr baseColWidth="10" defaultColWidth="11.5" defaultRowHeight="16" x14ac:dyDescent="0.2"/>
  <cols>
    <col min="1" max="1" width="1" style="13" customWidth="1"/>
    <col min="2" max="2" width="15" style="13" customWidth="1"/>
    <col min="3" max="3" width="15.83203125" style="13" customWidth="1"/>
    <col min="4" max="4" width="10.83203125" style="13" customWidth="1"/>
    <col min="5" max="5" width="12.6640625" style="13" customWidth="1"/>
    <col min="6" max="6" width="11.83203125" style="13" customWidth="1"/>
    <col min="7" max="7" width="19.33203125" style="13" customWidth="1"/>
    <col min="8" max="8" width="2.83203125" style="13" customWidth="1"/>
    <col min="9" max="10" width="14.83203125" style="13" customWidth="1"/>
    <col min="11" max="11" width="15.6640625" style="13" customWidth="1"/>
    <col min="12" max="12" width="7.83203125" style="13" customWidth="1"/>
    <col min="13" max="13" width="15" style="13" customWidth="1"/>
    <col min="14" max="14" width="15.83203125" style="13" customWidth="1"/>
    <col min="15" max="15" width="10.83203125" style="13" customWidth="1"/>
    <col min="16" max="16" width="12.6640625" style="13" customWidth="1"/>
    <col min="17" max="17" width="11.83203125" style="13" customWidth="1"/>
    <col min="18" max="18" width="19.33203125" style="13" customWidth="1"/>
    <col min="19" max="19" width="2.83203125" style="13" customWidth="1"/>
    <col min="20" max="21" width="14.83203125" style="13" customWidth="1"/>
    <col min="22" max="22" width="15.6640625" style="13" customWidth="1"/>
    <col min="23" max="23" width="7.83203125" style="13" customWidth="1"/>
    <col min="24" max="25" width="15" style="13" bestFit="1" customWidth="1"/>
    <col min="26" max="26" width="6.83203125" style="13" customWidth="1"/>
    <col min="27" max="28" width="15" style="13" bestFit="1" customWidth="1"/>
    <col min="29" max="29" width="6.83203125" style="13" customWidth="1"/>
    <col min="30" max="31" width="15" style="13" bestFit="1" customWidth="1"/>
    <col min="32" max="32" width="6.83203125" style="13" customWidth="1"/>
    <col min="33" max="34" width="15" style="13" bestFit="1" customWidth="1"/>
    <col min="35" max="37" width="11.5" style="13"/>
    <col min="38" max="38" width="25.33203125" style="13" bestFit="1" customWidth="1"/>
    <col min="39" max="16384" width="11.5" style="13"/>
  </cols>
  <sheetData>
    <row r="2" spans="2:81" x14ac:dyDescent="0.2">
      <c r="AF2" s="71"/>
      <c r="AG2" s="69"/>
      <c r="AH2" s="70" t="s">
        <v>52</v>
      </c>
    </row>
    <row r="3" spans="2:81" ht="16" customHeight="1" x14ac:dyDescent="0.2">
      <c r="C3" s="69"/>
      <c r="D3" s="70" t="s">
        <v>39</v>
      </c>
      <c r="E3" s="71"/>
      <c r="F3" s="71"/>
      <c r="G3" s="71"/>
      <c r="H3" s="71"/>
      <c r="I3" s="71"/>
      <c r="J3" s="71"/>
      <c r="AF3" s="71"/>
      <c r="AG3" s="72" t="s">
        <v>37</v>
      </c>
      <c r="AH3" s="72">
        <f>G5/(1.02)^40</f>
        <v>287115.81727170065</v>
      </c>
    </row>
    <row r="4" spans="2:81" x14ac:dyDescent="0.2">
      <c r="C4" s="72" t="s">
        <v>30</v>
      </c>
      <c r="D4" s="72">
        <v>100000</v>
      </c>
      <c r="E4" s="71"/>
      <c r="F4" s="69"/>
      <c r="G4" s="70" t="s">
        <v>41</v>
      </c>
      <c r="H4" s="71"/>
      <c r="I4" s="69"/>
      <c r="J4" s="70" t="s">
        <v>40</v>
      </c>
      <c r="AF4" s="71"/>
      <c r="AG4" s="73" t="s">
        <v>63</v>
      </c>
      <c r="AH4" s="73">
        <f>NPV(2%,J26,J29,J32,J35,J38,J41,J44,J47,J50,J53,J56,J59,J62,J65,J68,J71,J74,J77,J80,J83,J86,J89,J92,J95,J98,J101,J104,J107,J110,J113,J116,J119,J122,J125,J128,J131,J134,J137,J140,J143)</f>
        <v>202064.75712670141</v>
      </c>
      <c r="AK4" s="13" t="s">
        <v>55</v>
      </c>
      <c r="AL4" s="13" t="s">
        <v>54</v>
      </c>
    </row>
    <row r="5" spans="2:81" x14ac:dyDescent="0.2">
      <c r="C5" s="73" t="s">
        <v>24</v>
      </c>
      <c r="D5" s="74">
        <f>23%*1.33</f>
        <v>0.30590000000000001</v>
      </c>
      <c r="E5" s="71"/>
      <c r="F5" s="73" t="s">
        <v>37</v>
      </c>
      <c r="G5" s="73">
        <f>N147</f>
        <v>633963.11258710921</v>
      </c>
      <c r="H5" s="71"/>
      <c r="I5" s="73" t="s">
        <v>64</v>
      </c>
      <c r="J5" s="73">
        <f>N148-C148</f>
        <v>669948.01950807089</v>
      </c>
      <c r="AF5" s="71"/>
      <c r="AG5" s="72" t="s">
        <v>65</v>
      </c>
      <c r="AH5" s="72">
        <f>AH3-AH4</f>
        <v>85051.060144999239</v>
      </c>
      <c r="AK5" s="62">
        <v>0.05</v>
      </c>
      <c r="AL5" s="18">
        <v>127798.59</v>
      </c>
    </row>
    <row r="6" spans="2:81" x14ac:dyDescent="0.2">
      <c r="C6" s="72" t="s">
        <v>31</v>
      </c>
      <c r="D6" s="75">
        <v>0.08</v>
      </c>
      <c r="E6" s="71"/>
      <c r="F6" s="72" t="s">
        <v>63</v>
      </c>
      <c r="G6" s="72">
        <f>SUM(J26:J143)</f>
        <v>338707.24287450459</v>
      </c>
      <c r="H6" s="71"/>
      <c r="I6" s="73" t="s">
        <v>64</v>
      </c>
      <c r="J6" s="72">
        <f>J5/40</f>
        <v>16748.700487701772</v>
      </c>
      <c r="AK6" s="62">
        <v>0.06</v>
      </c>
      <c r="AL6" s="18">
        <v>223068.34</v>
      </c>
    </row>
    <row r="7" spans="2:81" x14ac:dyDescent="0.2">
      <c r="AK7" s="62">
        <v>7.0000000000000007E-2</v>
      </c>
      <c r="AL7" s="18">
        <v>402885.82</v>
      </c>
      <c r="BB7" s="13" t="s">
        <v>62</v>
      </c>
      <c r="BM7" s="13" t="s">
        <v>32</v>
      </c>
    </row>
    <row r="8" spans="2:81" x14ac:dyDescent="0.2">
      <c r="AK8" s="63">
        <v>0.08</v>
      </c>
      <c r="AL8" s="61">
        <v>669948.02</v>
      </c>
    </row>
    <row r="9" spans="2:81" ht="16" customHeight="1" x14ac:dyDescent="0.2">
      <c r="AK9" s="62">
        <v>0.09</v>
      </c>
      <c r="AL9" s="18">
        <v>1081830.27</v>
      </c>
      <c r="BB9" s="13" t="s">
        <v>5</v>
      </c>
      <c r="BC9" s="13" t="s">
        <v>18</v>
      </c>
      <c r="BD9" s="13" t="s">
        <v>19</v>
      </c>
      <c r="BE9" s="13" t="s">
        <v>2</v>
      </c>
      <c r="BF9" s="13" t="s">
        <v>0</v>
      </c>
      <c r="BG9" s="13" t="s">
        <v>21</v>
      </c>
      <c r="BI9" s="13" t="s">
        <v>23</v>
      </c>
      <c r="BJ9" s="13" t="s">
        <v>24</v>
      </c>
      <c r="BK9" s="13" t="s">
        <v>25</v>
      </c>
      <c r="BM9" s="13" t="s">
        <v>5</v>
      </c>
      <c r="BN9" s="13" t="s">
        <v>18</v>
      </c>
      <c r="BO9" s="13" t="s">
        <v>19</v>
      </c>
      <c r="BP9" s="13" t="s">
        <v>2</v>
      </c>
      <c r="BQ9" s="13" t="s">
        <v>0</v>
      </c>
      <c r="BR9" s="13" t="s">
        <v>21</v>
      </c>
      <c r="BT9" s="13" t="s">
        <v>23</v>
      </c>
      <c r="BU9" s="13" t="s">
        <v>24</v>
      </c>
      <c r="BV9" s="13" t="s">
        <v>25</v>
      </c>
    </row>
    <row r="10" spans="2:81" x14ac:dyDescent="0.2">
      <c r="AK10" s="62">
        <v>0.1</v>
      </c>
      <c r="AL10" s="18">
        <v>1707264.26</v>
      </c>
    </row>
    <row r="11" spans="2:81" x14ac:dyDescent="0.2">
      <c r="AK11" s="62">
        <v>0.11</v>
      </c>
      <c r="AL11" s="18">
        <v>2644909.6</v>
      </c>
    </row>
    <row r="12" spans="2:81" x14ac:dyDescent="0.2">
      <c r="B12" s="53"/>
      <c r="C12" s="54"/>
      <c r="E12" s="53"/>
      <c r="F12" s="54"/>
      <c r="M12" s="53"/>
      <c r="N12" s="54"/>
      <c r="P12" s="53"/>
      <c r="Q12" s="54"/>
      <c r="BB12" s="13">
        <v>1</v>
      </c>
      <c r="BC12" s="13">
        <v>43101</v>
      </c>
      <c r="BD12" s="13" t="s">
        <v>20</v>
      </c>
      <c r="BE12" s="13">
        <v>100</v>
      </c>
      <c r="BF12" s="13">
        <v>1000</v>
      </c>
      <c r="BG12" s="13">
        <v>100000</v>
      </c>
      <c r="BM12" s="13">
        <v>1</v>
      </c>
      <c r="BN12" s="13">
        <v>43101</v>
      </c>
      <c r="BO12" s="13" t="s">
        <v>20</v>
      </c>
      <c r="BP12" s="13">
        <v>100</v>
      </c>
      <c r="BQ12" s="13">
        <v>1000</v>
      </c>
      <c r="BR12" s="13">
        <v>100000</v>
      </c>
    </row>
    <row r="13" spans="2:81" x14ac:dyDescent="0.2">
      <c r="B13" s="53"/>
      <c r="C13" s="54"/>
      <c r="E13" s="53"/>
      <c r="F13" s="54"/>
      <c r="M13" s="53"/>
      <c r="N13" s="54"/>
      <c r="P13" s="53"/>
      <c r="Q13" s="54"/>
      <c r="AK13" s="114" t="s">
        <v>56</v>
      </c>
      <c r="AL13" s="114"/>
      <c r="BC13" s="13">
        <v>43464</v>
      </c>
      <c r="BD13" s="13" t="s">
        <v>22</v>
      </c>
      <c r="BE13" s="13">
        <v>105</v>
      </c>
      <c r="BF13" s="13">
        <v>1000</v>
      </c>
      <c r="BG13" s="13">
        <v>105000</v>
      </c>
      <c r="BI13" s="13">
        <v>5000</v>
      </c>
      <c r="BJ13" s="13">
        <v>1529.5</v>
      </c>
      <c r="BK13" s="13">
        <v>3470.5</v>
      </c>
      <c r="BN13" s="13">
        <v>43464</v>
      </c>
      <c r="BO13" s="13" t="s">
        <v>22</v>
      </c>
      <c r="BP13" s="13">
        <v>105</v>
      </c>
      <c r="BQ13" s="13">
        <v>1000</v>
      </c>
      <c r="BR13" s="13">
        <v>105000</v>
      </c>
      <c r="BT13" s="13">
        <v>5000</v>
      </c>
      <c r="BU13" s="13">
        <v>0</v>
      </c>
      <c r="BV13" s="13">
        <v>5000</v>
      </c>
      <c r="CB13" s="13" t="s">
        <v>63</v>
      </c>
      <c r="CC13" s="13" t="s">
        <v>37</v>
      </c>
    </row>
    <row r="14" spans="2:81" x14ac:dyDescent="0.2">
      <c r="B14" s="53"/>
      <c r="C14" s="54"/>
      <c r="E14" s="53"/>
      <c r="F14" s="54"/>
      <c r="M14" s="53"/>
      <c r="N14" s="54"/>
      <c r="P14" s="53"/>
      <c r="Q14" s="54"/>
      <c r="AK14" s="60">
        <v>0.08</v>
      </c>
      <c r="AL14" s="61">
        <v>669948.02</v>
      </c>
      <c r="CA14" s="13">
        <v>0</v>
      </c>
      <c r="CB14" s="13">
        <v>100000</v>
      </c>
    </row>
    <row r="15" spans="2:81" x14ac:dyDescent="0.2">
      <c r="B15" s="53"/>
      <c r="C15" s="54"/>
      <c r="E15" s="53"/>
      <c r="F15" s="54"/>
      <c r="M15" s="53"/>
      <c r="N15" s="54"/>
      <c r="P15" s="53"/>
      <c r="Q15" s="54"/>
      <c r="BB15" s="13">
        <v>2</v>
      </c>
      <c r="BC15" s="13">
        <v>43101</v>
      </c>
      <c r="BD15" s="13" t="s">
        <v>20</v>
      </c>
      <c r="BE15" s="13">
        <v>103.4705</v>
      </c>
      <c r="BF15" s="13">
        <v>1000</v>
      </c>
      <c r="BG15" s="13">
        <v>103470.5</v>
      </c>
      <c r="BM15" s="13">
        <v>2</v>
      </c>
      <c r="BN15" s="13">
        <v>43101</v>
      </c>
      <c r="BO15" s="13" t="s">
        <v>20</v>
      </c>
      <c r="BP15" s="13">
        <v>105</v>
      </c>
      <c r="BQ15" s="13">
        <v>1000</v>
      </c>
      <c r="BR15" s="13">
        <v>105000</v>
      </c>
      <c r="CA15" s="13">
        <v>1</v>
      </c>
      <c r="CB15" s="13">
        <v>103470.5</v>
      </c>
    </row>
    <row r="16" spans="2:81" x14ac:dyDescent="0.2">
      <c r="B16" s="53"/>
      <c r="C16" s="54"/>
      <c r="E16" s="53"/>
      <c r="F16" s="54"/>
      <c r="M16" s="53"/>
      <c r="N16" s="54"/>
      <c r="P16" s="53"/>
      <c r="Q16" s="54"/>
      <c r="BC16" s="13">
        <v>43464</v>
      </c>
      <c r="BD16" s="13" t="s">
        <v>22</v>
      </c>
      <c r="BE16" s="13">
        <v>108.644025</v>
      </c>
      <c r="BF16" s="13">
        <v>1000</v>
      </c>
      <c r="BG16" s="13">
        <v>108644.02499999999</v>
      </c>
      <c r="BI16" s="13">
        <v>5173.5249999999942</v>
      </c>
      <c r="BJ16" s="13">
        <v>1582.5812974999983</v>
      </c>
      <c r="BK16" s="13">
        <v>3590.9437024999961</v>
      </c>
      <c r="BN16" s="13">
        <v>43464</v>
      </c>
      <c r="BO16" s="13" t="s">
        <v>22</v>
      </c>
      <c r="BP16" s="13">
        <v>110.25</v>
      </c>
      <c r="BQ16" s="13">
        <v>1000</v>
      </c>
      <c r="BR16" s="13">
        <v>110250</v>
      </c>
      <c r="BT16" s="13">
        <v>5250</v>
      </c>
      <c r="BU16" s="13">
        <v>0</v>
      </c>
      <c r="BV16" s="13">
        <v>5250</v>
      </c>
      <c r="CA16" s="13">
        <v>2</v>
      </c>
      <c r="CB16" s="13">
        <v>107061.44370249999</v>
      </c>
    </row>
    <row r="17" spans="2:80" x14ac:dyDescent="0.2">
      <c r="B17" s="53"/>
      <c r="C17" s="54"/>
      <c r="E17" s="53"/>
      <c r="F17" s="54"/>
      <c r="M17" s="53"/>
      <c r="N17" s="54"/>
      <c r="P17" s="53"/>
      <c r="Q17" s="54"/>
      <c r="CA17" s="13">
        <v>3</v>
      </c>
      <c r="CB17" s="13">
        <v>110777.01110619526</v>
      </c>
    </row>
    <row r="18" spans="2:80" x14ac:dyDescent="0.2">
      <c r="B18" s="53"/>
      <c r="C18" s="54"/>
      <c r="E18" s="53"/>
      <c r="F18" s="54"/>
      <c r="M18" s="53"/>
      <c r="N18" s="54"/>
      <c r="P18" s="53"/>
      <c r="Q18" s="54"/>
      <c r="BB18" s="13">
        <v>3</v>
      </c>
      <c r="BC18" s="13">
        <v>43101</v>
      </c>
      <c r="BD18" s="13" t="s">
        <v>20</v>
      </c>
      <c r="BE18" s="13">
        <v>107.0614437025</v>
      </c>
      <c r="BF18" s="13">
        <v>1000</v>
      </c>
      <c r="BG18" s="13">
        <v>107061.44370249999</v>
      </c>
      <c r="BM18" s="13">
        <v>3</v>
      </c>
      <c r="BN18" s="13">
        <v>43101</v>
      </c>
      <c r="BO18" s="13" t="s">
        <v>20</v>
      </c>
      <c r="BP18" s="13">
        <v>110.25</v>
      </c>
      <c r="BQ18" s="13">
        <v>1000</v>
      </c>
      <c r="BR18" s="13">
        <v>110250</v>
      </c>
      <c r="CA18" s="13">
        <v>4</v>
      </c>
      <c r="CB18" s="13">
        <v>114621.52727663577</v>
      </c>
    </row>
    <row r="19" spans="2:80" x14ac:dyDescent="0.2">
      <c r="B19" s="53"/>
      <c r="C19" s="54"/>
      <c r="E19" s="53"/>
      <c r="F19" s="54"/>
      <c r="M19" s="53"/>
      <c r="N19" s="54"/>
      <c r="P19" s="53"/>
      <c r="Q19" s="54"/>
      <c r="BC19" s="13">
        <v>43464</v>
      </c>
      <c r="BD19" s="13" t="s">
        <v>22</v>
      </c>
      <c r="BE19" s="13">
        <v>112.414515887625</v>
      </c>
      <c r="BF19" s="13">
        <v>1000</v>
      </c>
      <c r="BG19" s="13">
        <v>112414.51588762501</v>
      </c>
      <c r="BI19" s="13">
        <v>5353.0721851250128</v>
      </c>
      <c r="BJ19" s="13">
        <v>1637.5047814297413</v>
      </c>
      <c r="BK19" s="13">
        <v>3715.5674036952714</v>
      </c>
      <c r="BN19" s="13">
        <v>43464</v>
      </c>
      <c r="BO19" s="13" t="s">
        <v>22</v>
      </c>
      <c r="BP19" s="13">
        <v>115.7625</v>
      </c>
      <c r="BQ19" s="13">
        <v>1000</v>
      </c>
      <c r="BR19" s="13">
        <v>115762.5</v>
      </c>
      <c r="BT19" s="13">
        <v>5512.5</v>
      </c>
      <c r="BU19" s="13">
        <v>0</v>
      </c>
      <c r="BV19" s="13">
        <v>5512.5</v>
      </c>
      <c r="CA19" s="13">
        <v>5</v>
      </c>
      <c r="CB19" s="13">
        <v>118599.46738077141</v>
      </c>
    </row>
    <row r="20" spans="2:80" x14ac:dyDescent="0.2">
      <c r="B20" s="124" t="s">
        <v>62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76"/>
      <c r="M20" s="124" t="s">
        <v>32</v>
      </c>
      <c r="N20" s="124"/>
      <c r="O20" s="124"/>
      <c r="P20" s="124"/>
      <c r="Q20" s="124"/>
      <c r="R20" s="124"/>
      <c r="S20" s="124"/>
      <c r="T20" s="124"/>
      <c r="U20" s="124"/>
      <c r="V20" s="124"/>
      <c r="W20" s="76"/>
      <c r="CA20" s="13">
        <v>6</v>
      </c>
      <c r="CB20" s="13">
        <v>122715.4618962211</v>
      </c>
    </row>
    <row r="21" spans="2:80" x14ac:dyDescent="0.2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76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76"/>
      <c r="AA21" s="104">
        <v>0.2</v>
      </c>
      <c r="AB21" s="104">
        <v>85</v>
      </c>
      <c r="AC21" s="104">
        <f>AB21*AA21</f>
        <v>17</v>
      </c>
      <c r="AD21" s="104"/>
      <c r="BB21" s="13">
        <v>4</v>
      </c>
      <c r="BC21" s="13">
        <v>43101</v>
      </c>
      <c r="BD21" s="13" t="s">
        <v>20</v>
      </c>
      <c r="BE21" s="13">
        <v>110.77701110619526</v>
      </c>
      <c r="BF21" s="13">
        <v>1000</v>
      </c>
      <c r="BG21" s="13">
        <v>110777.01110619526</v>
      </c>
      <c r="BM21" s="13">
        <v>4</v>
      </c>
      <c r="BN21" s="13">
        <v>43101</v>
      </c>
      <c r="BO21" s="13" t="s">
        <v>20</v>
      </c>
      <c r="BP21" s="13">
        <v>115.7625</v>
      </c>
      <c r="BQ21" s="13">
        <v>1000</v>
      </c>
      <c r="BR21" s="13">
        <v>115762.5</v>
      </c>
      <c r="CA21" s="13">
        <v>7</v>
      </c>
      <c r="CB21" s="13">
        <v>126974.30200132946</v>
      </c>
    </row>
    <row r="22" spans="2:80" ht="16" customHeight="1" x14ac:dyDescent="0.2">
      <c r="B22" s="117" t="s">
        <v>5</v>
      </c>
      <c r="C22" s="120" t="s">
        <v>18</v>
      </c>
      <c r="D22" s="122" t="s">
        <v>19</v>
      </c>
      <c r="E22" s="115" t="s">
        <v>2</v>
      </c>
      <c r="F22" s="115" t="s">
        <v>0</v>
      </c>
      <c r="G22" s="115" t="s">
        <v>21</v>
      </c>
      <c r="H22" s="15"/>
      <c r="I22" s="115" t="s">
        <v>23</v>
      </c>
      <c r="J22" s="120" t="s">
        <v>24</v>
      </c>
      <c r="K22" s="120" t="s">
        <v>25</v>
      </c>
      <c r="L22" s="77"/>
      <c r="M22" s="117" t="s">
        <v>5</v>
      </c>
      <c r="N22" s="120" t="s">
        <v>18</v>
      </c>
      <c r="O22" s="122" t="s">
        <v>19</v>
      </c>
      <c r="P22" s="115" t="s">
        <v>2</v>
      </c>
      <c r="Q22" s="115" t="s">
        <v>0</v>
      </c>
      <c r="R22" s="115" t="s">
        <v>21</v>
      </c>
      <c r="S22" s="15"/>
      <c r="T22" s="115" t="s">
        <v>23</v>
      </c>
      <c r="U22" s="120" t="s">
        <v>24</v>
      </c>
      <c r="V22" s="120" t="s">
        <v>25</v>
      </c>
      <c r="W22" s="77"/>
      <c r="AA22" s="104">
        <v>0.8</v>
      </c>
      <c r="AB22" s="104">
        <v>73</v>
      </c>
      <c r="AC22" s="104">
        <f>AB22*AA22</f>
        <v>58.400000000000006</v>
      </c>
      <c r="AD22" s="104"/>
      <c r="BC22" s="13">
        <v>43464</v>
      </c>
      <c r="BD22" s="13" t="s">
        <v>22</v>
      </c>
      <c r="BE22" s="13">
        <v>116.31586166150502</v>
      </c>
      <c r="BF22" s="13">
        <v>1000</v>
      </c>
      <c r="BG22" s="13">
        <v>116315.86166150503</v>
      </c>
      <c r="BI22" s="13">
        <v>5538.8505553097639</v>
      </c>
      <c r="BJ22" s="13">
        <v>1694.3343848692568</v>
      </c>
      <c r="BK22" s="13">
        <v>3844.5161704405073</v>
      </c>
      <c r="BN22" s="13">
        <v>43464</v>
      </c>
      <c r="BO22" s="13" t="s">
        <v>22</v>
      </c>
      <c r="BP22" s="13">
        <v>121.55062500000001</v>
      </c>
      <c r="BQ22" s="13">
        <v>1000</v>
      </c>
      <c r="BR22" s="13">
        <v>121550.62500000001</v>
      </c>
      <c r="BT22" s="13">
        <v>5788.1250000000146</v>
      </c>
      <c r="BU22" s="13">
        <v>0</v>
      </c>
      <c r="BV22" s="13">
        <v>5788.1250000000146</v>
      </c>
      <c r="CA22" s="13">
        <v>8</v>
      </c>
      <c r="CB22" s="13">
        <v>131380.9451522856</v>
      </c>
    </row>
    <row r="23" spans="2:80" x14ac:dyDescent="0.2">
      <c r="B23" s="118"/>
      <c r="C23" s="121"/>
      <c r="D23" s="123"/>
      <c r="E23" s="116"/>
      <c r="F23" s="116"/>
      <c r="G23" s="116"/>
      <c r="H23" s="16"/>
      <c r="I23" s="116"/>
      <c r="J23" s="121"/>
      <c r="K23" s="121"/>
      <c r="L23" s="77"/>
      <c r="M23" s="118"/>
      <c r="N23" s="121"/>
      <c r="O23" s="123"/>
      <c r="P23" s="116"/>
      <c r="Q23" s="116"/>
      <c r="R23" s="116"/>
      <c r="S23" s="16"/>
      <c r="T23" s="116"/>
      <c r="U23" s="121"/>
      <c r="V23" s="121"/>
      <c r="W23" s="77"/>
      <c r="AA23" s="104"/>
      <c r="AB23" s="104">
        <f>AC21+AC22</f>
        <v>75.400000000000006</v>
      </c>
      <c r="AC23" s="104"/>
      <c r="AD23" s="104"/>
      <c r="CA23" s="13">
        <v>9</v>
      </c>
      <c r="CB23" s="13">
        <v>135940.52085379566</v>
      </c>
    </row>
    <row r="24" spans="2:80" x14ac:dyDescent="0.2">
      <c r="B24" s="119"/>
      <c r="C24" s="119"/>
      <c r="D24" s="119"/>
      <c r="E24" s="119"/>
      <c r="F24" s="119"/>
      <c r="G24" s="119"/>
      <c r="L24" s="76"/>
      <c r="M24" s="119"/>
      <c r="N24" s="119"/>
      <c r="O24" s="119"/>
      <c r="P24" s="119"/>
      <c r="Q24" s="119"/>
      <c r="R24" s="119"/>
      <c r="W24" s="76"/>
      <c r="AA24" s="104"/>
      <c r="AB24" s="104"/>
      <c r="AC24" s="104"/>
      <c r="AD24" s="104"/>
      <c r="BB24" s="13">
        <v>5</v>
      </c>
      <c r="BC24" s="13">
        <v>43101</v>
      </c>
      <c r="BD24" s="13" t="s">
        <v>20</v>
      </c>
      <c r="BE24" s="13">
        <v>114.62152727663576</v>
      </c>
      <c r="BF24" s="13">
        <v>1000</v>
      </c>
      <c r="BG24" s="13">
        <v>114621.52727663577</v>
      </c>
      <c r="BM24" s="13">
        <v>5</v>
      </c>
      <c r="BN24" s="13">
        <v>43101</v>
      </c>
      <c r="BO24" s="13" t="s">
        <v>20</v>
      </c>
      <c r="BP24" s="13">
        <v>121.55062500000001</v>
      </c>
      <c r="BQ24" s="13">
        <v>1000</v>
      </c>
      <c r="BR24" s="13">
        <v>121550.62500000001</v>
      </c>
      <c r="CA24" s="13">
        <v>10</v>
      </c>
      <c r="CB24" s="13">
        <v>140658.33663002666</v>
      </c>
    </row>
    <row r="25" spans="2:80" x14ac:dyDescent="0.2">
      <c r="B25" s="112">
        <v>1</v>
      </c>
      <c r="C25" s="17">
        <v>43101</v>
      </c>
      <c r="D25" s="13" t="s">
        <v>20</v>
      </c>
      <c r="E25" s="56">
        <v>100</v>
      </c>
      <c r="F25" s="13">
        <f>G25/E25</f>
        <v>1000</v>
      </c>
      <c r="G25" s="56">
        <f>D4</f>
        <v>100000</v>
      </c>
      <c r="L25" s="76"/>
      <c r="M25" s="112">
        <v>1</v>
      </c>
      <c r="N25" s="17">
        <v>43101</v>
      </c>
      <c r="O25" s="13" t="s">
        <v>20</v>
      </c>
      <c r="P25" s="56">
        <v>100</v>
      </c>
      <c r="Q25" s="13">
        <f>R25/P25</f>
        <v>1000</v>
      </c>
      <c r="R25" s="56">
        <f>D4</f>
        <v>100000</v>
      </c>
      <c r="W25" s="76"/>
      <c r="BC25" s="13">
        <v>43464</v>
      </c>
      <c r="BD25" s="13" t="s">
        <v>22</v>
      </c>
      <c r="BE25" s="13">
        <v>120.35260364046755</v>
      </c>
      <c r="BF25" s="13">
        <v>1000</v>
      </c>
      <c r="BG25" s="13">
        <v>120352.60364046755</v>
      </c>
      <c r="BI25" s="13">
        <v>5731.0763638317876</v>
      </c>
      <c r="BJ25" s="13">
        <v>1753.136259696144</v>
      </c>
      <c r="BK25" s="13">
        <v>3977.9401041356437</v>
      </c>
      <c r="BN25" s="13">
        <v>43464</v>
      </c>
      <c r="BO25" s="13" t="s">
        <v>22</v>
      </c>
      <c r="BP25" s="13">
        <v>127.62815625000002</v>
      </c>
      <c r="BQ25" s="13">
        <v>1000</v>
      </c>
      <c r="BR25" s="13">
        <v>127628.15625000001</v>
      </c>
      <c r="BT25" s="13">
        <v>6077.53125</v>
      </c>
      <c r="BU25" s="13">
        <v>0</v>
      </c>
      <c r="BV25" s="13">
        <v>6077.53125</v>
      </c>
      <c r="CA25" s="13">
        <v>11</v>
      </c>
      <c r="CB25" s="13">
        <v>145539.88420277176</v>
      </c>
    </row>
    <row r="26" spans="2:80" x14ac:dyDescent="0.2">
      <c r="B26" s="112"/>
      <c r="C26" s="17">
        <v>43464</v>
      </c>
      <c r="D26" s="13" t="s">
        <v>22</v>
      </c>
      <c r="E26" s="56">
        <f>E25*(1+$D$6)</f>
        <v>108</v>
      </c>
      <c r="F26" s="13">
        <f>F25</f>
        <v>1000</v>
      </c>
      <c r="G26" s="56">
        <f>F26*E26</f>
        <v>108000</v>
      </c>
      <c r="I26" s="56">
        <f>G26-G25</f>
        <v>8000</v>
      </c>
      <c r="J26" s="56">
        <f>I26*$D$5</f>
        <v>2447.1999999999998</v>
      </c>
      <c r="K26" s="56">
        <f>I26-J26</f>
        <v>5552.8</v>
      </c>
      <c r="L26" s="76"/>
      <c r="M26" s="112"/>
      <c r="N26" s="17">
        <v>43464</v>
      </c>
      <c r="O26" s="13" t="s">
        <v>22</v>
      </c>
      <c r="P26" s="56">
        <f>P25*(1+$D$6)</f>
        <v>108</v>
      </c>
      <c r="Q26" s="13">
        <f>Q25</f>
        <v>1000</v>
      </c>
      <c r="R26" s="56">
        <f>Q26*P26</f>
        <v>108000</v>
      </c>
      <c r="T26" s="56">
        <f>R26-R25</f>
        <v>8000</v>
      </c>
      <c r="U26" s="56">
        <v>0</v>
      </c>
      <c r="V26" s="56">
        <f>T26-U26</f>
        <v>8000</v>
      </c>
      <c r="W26" s="76"/>
      <c r="CA26" s="13">
        <v>12</v>
      </c>
      <c r="CB26" s="13">
        <v>150590.84588402894</v>
      </c>
    </row>
    <row r="27" spans="2:80" x14ac:dyDescent="0.2">
      <c r="E27" s="56"/>
      <c r="G27" s="56"/>
      <c r="I27" s="56"/>
      <c r="J27" s="56"/>
      <c r="K27" s="14"/>
      <c r="L27" s="76"/>
      <c r="P27" s="56"/>
      <c r="R27" s="56"/>
      <c r="T27" s="56"/>
      <c r="U27" s="56"/>
      <c r="V27" s="14"/>
      <c r="W27" s="76"/>
      <c r="BB27" s="13">
        <v>6</v>
      </c>
      <c r="BC27" s="13">
        <v>43101</v>
      </c>
      <c r="BD27" s="13" t="s">
        <v>20</v>
      </c>
      <c r="BE27" s="13">
        <v>118.59946738077142</v>
      </c>
      <c r="BF27" s="13">
        <v>1000</v>
      </c>
      <c r="BG27" s="13">
        <v>118599.46738077141</v>
      </c>
      <c r="BM27" s="13">
        <v>6</v>
      </c>
      <c r="BN27" s="13">
        <v>43101</v>
      </c>
      <c r="BO27" s="13" t="s">
        <v>20</v>
      </c>
      <c r="BP27" s="13">
        <v>127.62815625000002</v>
      </c>
      <c r="BQ27" s="13">
        <v>1000</v>
      </c>
      <c r="BR27" s="13">
        <v>127628.15625000001</v>
      </c>
      <c r="CA27" s="13">
        <v>13</v>
      </c>
      <c r="CB27" s="13">
        <v>155817.10119043419</v>
      </c>
    </row>
    <row r="28" spans="2:80" x14ac:dyDescent="0.2">
      <c r="B28" s="112">
        <v>2</v>
      </c>
      <c r="C28" s="17">
        <v>43101</v>
      </c>
      <c r="D28" s="13" t="s">
        <v>20</v>
      </c>
      <c r="E28" s="56">
        <f>G28/1000</f>
        <v>105.5528</v>
      </c>
      <c r="F28" s="13">
        <v>1000</v>
      </c>
      <c r="G28" s="56">
        <f>G26-J26</f>
        <v>105552.8</v>
      </c>
      <c r="L28" s="76"/>
      <c r="M28" s="112">
        <v>2</v>
      </c>
      <c r="N28" s="17">
        <v>43101</v>
      </c>
      <c r="O28" s="13" t="s">
        <v>20</v>
      </c>
      <c r="P28" s="56">
        <f>R28/1000</f>
        <v>108</v>
      </c>
      <c r="Q28" s="13">
        <v>1000</v>
      </c>
      <c r="R28" s="56">
        <f>R26-U26</f>
        <v>108000</v>
      </c>
      <c r="W28" s="76"/>
      <c r="BC28" s="13">
        <v>43464</v>
      </c>
      <c r="BD28" s="13" t="s">
        <v>22</v>
      </c>
      <c r="BE28" s="13">
        <v>124.52944074980999</v>
      </c>
      <c r="BF28" s="13">
        <v>1000</v>
      </c>
      <c r="BG28" s="13">
        <v>124529.44074980999</v>
      </c>
      <c r="BI28" s="13">
        <v>5929.9733690385765</v>
      </c>
      <c r="BJ28" s="13">
        <v>1813.9788535889006</v>
      </c>
      <c r="BK28" s="13">
        <v>4115.9945154496763</v>
      </c>
      <c r="BN28" s="13">
        <v>43464</v>
      </c>
      <c r="BO28" s="13" t="s">
        <v>22</v>
      </c>
      <c r="BP28" s="13">
        <v>134.00956406250003</v>
      </c>
      <c r="BQ28" s="13">
        <v>1000</v>
      </c>
      <c r="BR28" s="13">
        <v>134009.56406250002</v>
      </c>
      <c r="BT28" s="13">
        <v>6381.4078125000087</v>
      </c>
      <c r="BU28" s="13">
        <v>0</v>
      </c>
      <c r="BV28" s="13">
        <v>6381.4078125000087</v>
      </c>
      <c r="CA28" s="13">
        <v>14</v>
      </c>
      <c r="CB28" s="13">
        <v>161224.7336872482</v>
      </c>
    </row>
    <row r="29" spans="2:80" x14ac:dyDescent="0.2">
      <c r="B29" s="112"/>
      <c r="C29" s="17">
        <v>43464</v>
      </c>
      <c r="D29" s="13" t="s">
        <v>22</v>
      </c>
      <c r="E29" s="56">
        <f>E28*(1+$D$6)</f>
        <v>113.99702400000001</v>
      </c>
      <c r="F29" s="13">
        <v>1000</v>
      </c>
      <c r="G29" s="56">
        <f>F29*E29</f>
        <v>113997.024</v>
      </c>
      <c r="I29" s="56">
        <f>G29-G28</f>
        <v>8444.224000000002</v>
      </c>
      <c r="J29" s="56">
        <f>I29*$D$5</f>
        <v>2583.0881216000007</v>
      </c>
      <c r="K29" s="56">
        <f>I29-J29</f>
        <v>5861.1358784000013</v>
      </c>
      <c r="L29" s="76"/>
      <c r="M29" s="112"/>
      <c r="N29" s="17">
        <v>43464</v>
      </c>
      <c r="O29" s="13" t="s">
        <v>22</v>
      </c>
      <c r="P29" s="56">
        <f>P28*(1+$D$6)</f>
        <v>116.64000000000001</v>
      </c>
      <c r="Q29" s="13">
        <v>1000</v>
      </c>
      <c r="R29" s="56">
        <f>Q29*P29</f>
        <v>116640.00000000001</v>
      </c>
      <c r="T29" s="56">
        <f>R29-R28</f>
        <v>8640.0000000000146</v>
      </c>
      <c r="U29" s="56">
        <v>0</v>
      </c>
      <c r="V29" s="56">
        <f>T29-U29</f>
        <v>8640.0000000000146</v>
      </c>
      <c r="W29" s="76"/>
      <c r="CA29" s="13">
        <v>15</v>
      </c>
      <c r="CB29" s="13">
        <v>166820.03806986415</v>
      </c>
    </row>
    <row r="30" spans="2:80" x14ac:dyDescent="0.2">
      <c r="B30" s="41"/>
      <c r="C30" s="41"/>
      <c r="D30" s="41"/>
      <c r="E30" s="56"/>
      <c r="F30" s="41"/>
      <c r="G30" s="56"/>
      <c r="I30" s="56"/>
      <c r="J30" s="56"/>
      <c r="K30" s="56"/>
      <c r="L30" s="76"/>
      <c r="M30" s="41"/>
      <c r="N30" s="41"/>
      <c r="O30" s="41"/>
      <c r="P30" s="56"/>
      <c r="Q30" s="41"/>
      <c r="R30" s="56"/>
      <c r="T30" s="56"/>
      <c r="U30" s="56"/>
      <c r="V30" s="56"/>
      <c r="W30" s="76"/>
      <c r="BB30" s="13">
        <v>7</v>
      </c>
      <c r="BC30" s="13">
        <v>43101</v>
      </c>
      <c r="BD30" s="13" t="s">
        <v>20</v>
      </c>
      <c r="BE30" s="13">
        <v>122.7154618962211</v>
      </c>
      <c r="BF30" s="13">
        <v>1000</v>
      </c>
      <c r="BG30" s="13">
        <v>122715.4618962211</v>
      </c>
      <c r="BM30" s="13">
        <v>7</v>
      </c>
      <c r="BN30" s="13">
        <v>43101</v>
      </c>
      <c r="BO30" s="13" t="s">
        <v>20</v>
      </c>
      <c r="BP30" s="13">
        <v>134.00956406250003</v>
      </c>
      <c r="BQ30" s="13">
        <v>1000</v>
      </c>
      <c r="BR30" s="13">
        <v>134009.56406250002</v>
      </c>
      <c r="CA30" s="13">
        <v>16</v>
      </c>
      <c r="CB30" s="13">
        <v>172609.5274910788</v>
      </c>
    </row>
    <row r="31" spans="2:80" x14ac:dyDescent="0.2">
      <c r="B31" s="112">
        <v>3</v>
      </c>
      <c r="C31" s="17">
        <v>43101</v>
      </c>
      <c r="D31" s="13" t="s">
        <v>20</v>
      </c>
      <c r="E31" s="56">
        <f>G31/1000</f>
        <v>111.41393587840001</v>
      </c>
      <c r="F31" s="13">
        <v>1000</v>
      </c>
      <c r="G31" s="56">
        <f>G29-J29</f>
        <v>111413.93587840001</v>
      </c>
      <c r="I31" s="56"/>
      <c r="J31" s="56"/>
      <c r="K31" s="56"/>
      <c r="L31" s="76"/>
      <c r="M31" s="112">
        <v>3</v>
      </c>
      <c r="N31" s="17">
        <v>43101</v>
      </c>
      <c r="O31" s="13" t="s">
        <v>20</v>
      </c>
      <c r="P31" s="56">
        <f>R31/1000</f>
        <v>116.64000000000001</v>
      </c>
      <c r="Q31" s="13">
        <v>1000</v>
      </c>
      <c r="R31" s="56">
        <f>R29-U29</f>
        <v>116640.00000000001</v>
      </c>
      <c r="T31" s="56"/>
      <c r="U31" s="56"/>
      <c r="V31" s="56"/>
      <c r="W31" s="76"/>
      <c r="BC31" s="13">
        <v>43464</v>
      </c>
      <c r="BD31" s="13" t="s">
        <v>22</v>
      </c>
      <c r="BE31" s="13">
        <v>128.85123499103216</v>
      </c>
      <c r="BF31" s="13">
        <v>1000</v>
      </c>
      <c r="BG31" s="13">
        <v>128851.23499103216</v>
      </c>
      <c r="BI31" s="13">
        <v>6135.7730948110693</v>
      </c>
      <c r="BJ31" s="13">
        <v>1876.9329897027062</v>
      </c>
      <c r="BK31" s="13">
        <v>4258.8401051083629</v>
      </c>
      <c r="BN31" s="13">
        <v>43464</v>
      </c>
      <c r="BO31" s="13" t="s">
        <v>22</v>
      </c>
      <c r="BP31" s="13">
        <v>140.71004226562505</v>
      </c>
      <c r="BQ31" s="13">
        <v>1000</v>
      </c>
      <c r="BR31" s="13">
        <v>140710.04226562506</v>
      </c>
      <c r="BT31" s="13">
        <v>6700.4782031250361</v>
      </c>
      <c r="BU31" s="13">
        <v>0</v>
      </c>
      <c r="BV31" s="13">
        <v>6700.4782031250361</v>
      </c>
      <c r="CA31" s="13">
        <v>17</v>
      </c>
      <c r="CB31" s="13">
        <v>178599.94114265669</v>
      </c>
    </row>
    <row r="32" spans="2:80" x14ac:dyDescent="0.2">
      <c r="B32" s="112"/>
      <c r="C32" s="17">
        <v>43464</v>
      </c>
      <c r="D32" s="13" t="s">
        <v>22</v>
      </c>
      <c r="E32" s="56">
        <f>E31*(1+$D$6)</f>
        <v>120.32705074867202</v>
      </c>
      <c r="F32" s="13">
        <v>1000</v>
      </c>
      <c r="G32" s="56">
        <f>F32*E32</f>
        <v>120327.05074867202</v>
      </c>
      <c r="I32" s="56">
        <f>G32-G31</f>
        <v>8913.1148702720093</v>
      </c>
      <c r="J32" s="56">
        <f>I32*$D$5</f>
        <v>2726.5218388162075</v>
      </c>
      <c r="K32" s="56">
        <f>I32-J32</f>
        <v>6186.5930314558018</v>
      </c>
      <c r="L32" s="76"/>
      <c r="M32" s="112"/>
      <c r="N32" s="17">
        <v>43464</v>
      </c>
      <c r="O32" s="13" t="s">
        <v>22</v>
      </c>
      <c r="P32" s="56">
        <f>P31*(1+$D$6)</f>
        <v>125.97120000000002</v>
      </c>
      <c r="Q32" s="13">
        <v>1000</v>
      </c>
      <c r="R32" s="56">
        <f>Q32*P32</f>
        <v>125971.20000000003</v>
      </c>
      <c r="T32" s="56">
        <f>R32-R31</f>
        <v>9331.2000000000116</v>
      </c>
      <c r="U32" s="56">
        <v>0</v>
      </c>
      <c r="V32" s="56">
        <f>T32-U32</f>
        <v>9331.2000000000116</v>
      </c>
      <c r="W32" s="76"/>
      <c r="CA32" s="13">
        <v>18</v>
      </c>
      <c r="CB32" s="13">
        <v>184798.25210001261</v>
      </c>
    </row>
    <row r="33" spans="2:80" x14ac:dyDescent="0.2">
      <c r="B33" s="41"/>
      <c r="C33" s="41"/>
      <c r="D33" s="41"/>
      <c r="E33" s="56"/>
      <c r="F33" s="41"/>
      <c r="G33" s="56"/>
      <c r="I33" s="56"/>
      <c r="J33" s="56"/>
      <c r="K33" s="56"/>
      <c r="L33" s="76"/>
      <c r="M33" s="41"/>
      <c r="N33" s="41"/>
      <c r="O33" s="41"/>
      <c r="P33" s="56"/>
      <c r="Q33" s="41"/>
      <c r="R33" s="56"/>
      <c r="T33" s="56"/>
      <c r="U33" s="56"/>
      <c r="V33" s="56"/>
      <c r="W33" s="76"/>
      <c r="BB33" s="13">
        <v>8</v>
      </c>
      <c r="BC33" s="13">
        <v>43101</v>
      </c>
      <c r="BD33" s="13" t="s">
        <v>20</v>
      </c>
      <c r="BE33" s="13">
        <v>126.97430200132946</v>
      </c>
      <c r="BF33" s="13">
        <v>1000</v>
      </c>
      <c r="BG33" s="13">
        <v>126974.30200132946</v>
      </c>
      <c r="BM33" s="13">
        <v>8</v>
      </c>
      <c r="BN33" s="13">
        <v>43101</v>
      </c>
      <c r="BO33" s="13" t="s">
        <v>20</v>
      </c>
      <c r="BP33" s="13">
        <v>140.71004226562505</v>
      </c>
      <c r="BQ33" s="13">
        <v>1000</v>
      </c>
      <c r="BR33" s="13">
        <v>140710.04226562506</v>
      </c>
      <c r="CA33" s="13">
        <v>19</v>
      </c>
      <c r="CB33" s="13">
        <v>191211.67543914352</v>
      </c>
    </row>
    <row r="34" spans="2:80" x14ac:dyDescent="0.2">
      <c r="B34" s="112">
        <v>4</v>
      </c>
      <c r="C34" s="17">
        <v>43101</v>
      </c>
      <c r="D34" s="13" t="s">
        <v>20</v>
      </c>
      <c r="E34" s="56">
        <f>G34/1000</f>
        <v>117.60052890985581</v>
      </c>
      <c r="F34" s="13">
        <v>1000</v>
      </c>
      <c r="G34" s="56">
        <f>G32-J32</f>
        <v>117600.52890985581</v>
      </c>
      <c r="I34" s="56"/>
      <c r="J34" s="56"/>
      <c r="K34" s="56"/>
      <c r="L34" s="76"/>
      <c r="M34" s="112">
        <v>4</v>
      </c>
      <c r="N34" s="17">
        <v>43101</v>
      </c>
      <c r="O34" s="13" t="s">
        <v>20</v>
      </c>
      <c r="P34" s="56">
        <f>R34/1000</f>
        <v>125.97120000000002</v>
      </c>
      <c r="Q34" s="13">
        <v>1000</v>
      </c>
      <c r="R34" s="56">
        <f>R32-U32</f>
        <v>125971.20000000003</v>
      </c>
      <c r="T34" s="56"/>
      <c r="U34" s="56"/>
      <c r="V34" s="56"/>
      <c r="W34" s="76"/>
      <c r="BC34" s="13">
        <v>43464</v>
      </c>
      <c r="BD34" s="13" t="s">
        <v>22</v>
      </c>
      <c r="BE34" s="13">
        <v>133.32301710139595</v>
      </c>
      <c r="BF34" s="13">
        <v>1000</v>
      </c>
      <c r="BG34" s="13">
        <v>133323.01710139593</v>
      </c>
      <c r="BI34" s="13">
        <v>6348.7151000664744</v>
      </c>
      <c r="BJ34" s="13">
        <v>1942.0719491103346</v>
      </c>
      <c r="BK34" s="13">
        <v>4406.6431509561398</v>
      </c>
      <c r="BN34" s="13">
        <v>43464</v>
      </c>
      <c r="BO34" s="13" t="s">
        <v>22</v>
      </c>
      <c r="BP34" s="13">
        <v>147.74554437890632</v>
      </c>
      <c r="BQ34" s="13">
        <v>1000</v>
      </c>
      <c r="BR34" s="13">
        <v>147745.54437890631</v>
      </c>
      <c r="BT34" s="13">
        <v>7035.5021132812544</v>
      </c>
      <c r="BU34" s="13">
        <v>0</v>
      </c>
      <c r="BV34" s="13">
        <v>7035.5021132812544</v>
      </c>
      <c r="CA34" s="13">
        <v>20</v>
      </c>
      <c r="CB34" s="13">
        <v>197847.67663525901</v>
      </c>
    </row>
    <row r="35" spans="2:80" x14ac:dyDescent="0.2">
      <c r="B35" s="112"/>
      <c r="C35" s="17">
        <v>43464</v>
      </c>
      <c r="D35" s="13" t="s">
        <v>22</v>
      </c>
      <c r="E35" s="56">
        <f>E34*(1+$D$6)</f>
        <v>127.00857122264428</v>
      </c>
      <c r="F35" s="13">
        <v>1000</v>
      </c>
      <c r="G35" s="56">
        <f>F35*E35</f>
        <v>127008.57122264428</v>
      </c>
      <c r="I35" s="56">
        <f>G35-G34</f>
        <v>9408.0423127884715</v>
      </c>
      <c r="J35" s="56">
        <f>I35*$D$5</f>
        <v>2877.9201434819934</v>
      </c>
      <c r="K35" s="56">
        <f>I35-J35</f>
        <v>6530.1221693064781</v>
      </c>
      <c r="L35" s="76"/>
      <c r="M35" s="112"/>
      <c r="N35" s="17">
        <v>43464</v>
      </c>
      <c r="O35" s="13" t="s">
        <v>22</v>
      </c>
      <c r="P35" s="56">
        <f>P34*(1+$D$6)</f>
        <v>136.04889600000004</v>
      </c>
      <c r="Q35" s="13">
        <v>1000</v>
      </c>
      <c r="R35" s="56">
        <f>Q35*P35</f>
        <v>136048.89600000004</v>
      </c>
      <c r="T35" s="56">
        <f>R35-R34</f>
        <v>10077.696000000011</v>
      </c>
      <c r="U35" s="56">
        <v>0</v>
      </c>
      <c r="V35" s="56">
        <f>T35-U35</f>
        <v>10077.696000000011</v>
      </c>
      <c r="W35" s="76"/>
      <c r="CA35" s="13">
        <v>21</v>
      </c>
      <c r="CB35" s="13">
        <v>204713.9802528857</v>
      </c>
    </row>
    <row r="36" spans="2:80" x14ac:dyDescent="0.2">
      <c r="B36" s="41"/>
      <c r="C36" s="41"/>
      <c r="D36" s="41"/>
      <c r="E36" s="56"/>
      <c r="F36" s="41"/>
      <c r="G36" s="56"/>
      <c r="I36" s="56"/>
      <c r="J36" s="56"/>
      <c r="K36" s="56"/>
      <c r="L36" s="76"/>
      <c r="M36" s="41"/>
      <c r="N36" s="41"/>
      <c r="O36" s="41"/>
      <c r="P36" s="56"/>
      <c r="Q36" s="41"/>
      <c r="R36" s="56"/>
      <c r="T36" s="56"/>
      <c r="U36" s="56"/>
      <c r="V36" s="56"/>
      <c r="W36" s="76"/>
      <c r="BB36" s="13">
        <v>9</v>
      </c>
      <c r="BC36" s="13">
        <v>43101</v>
      </c>
      <c r="BD36" s="13" t="s">
        <v>20</v>
      </c>
      <c r="BE36" s="13">
        <v>131.38094515228559</v>
      </c>
      <c r="BF36" s="13">
        <v>1000</v>
      </c>
      <c r="BG36" s="13">
        <v>131380.9451522856</v>
      </c>
      <c r="BM36" s="13">
        <v>9</v>
      </c>
      <c r="BN36" s="13">
        <v>43101</v>
      </c>
      <c r="BO36" s="13" t="s">
        <v>20</v>
      </c>
      <c r="BP36" s="13">
        <v>147.74554437890632</v>
      </c>
      <c r="BQ36" s="13">
        <v>1000</v>
      </c>
      <c r="BR36" s="13">
        <v>147745.54437890631</v>
      </c>
      <c r="CA36" s="13">
        <v>22</v>
      </c>
      <c r="CB36" s="13">
        <v>211818.5789375621</v>
      </c>
    </row>
    <row r="37" spans="2:80" x14ac:dyDescent="0.2">
      <c r="B37" s="112">
        <v>5</v>
      </c>
      <c r="C37" s="17">
        <v>43101</v>
      </c>
      <c r="D37" s="13" t="s">
        <v>20</v>
      </c>
      <c r="E37" s="56">
        <f>G37/1000</f>
        <v>124.13065107916229</v>
      </c>
      <c r="F37" s="13">
        <v>1000</v>
      </c>
      <c r="G37" s="56">
        <f>G35-J35</f>
        <v>124130.65107916229</v>
      </c>
      <c r="I37" s="56"/>
      <c r="J37" s="56"/>
      <c r="K37" s="56"/>
      <c r="L37" s="76"/>
      <c r="M37" s="112">
        <v>5</v>
      </c>
      <c r="N37" s="17">
        <v>43101</v>
      </c>
      <c r="O37" s="13" t="s">
        <v>20</v>
      </c>
      <c r="P37" s="56">
        <f>R37/1000</f>
        <v>136.04889600000004</v>
      </c>
      <c r="Q37" s="13">
        <v>1000</v>
      </c>
      <c r="R37" s="56">
        <f>R35-U35</f>
        <v>136048.89600000004</v>
      </c>
      <c r="T37" s="56"/>
      <c r="U37" s="56"/>
      <c r="V37" s="56"/>
      <c r="W37" s="76"/>
      <c r="BC37" s="13">
        <v>43464</v>
      </c>
      <c r="BD37" s="13" t="s">
        <v>22</v>
      </c>
      <c r="BE37" s="13">
        <v>137.94999240989986</v>
      </c>
      <c r="BF37" s="13">
        <v>1000</v>
      </c>
      <c r="BG37" s="13">
        <v>137949.99240989986</v>
      </c>
      <c r="BI37" s="13">
        <v>6569.0472576142638</v>
      </c>
      <c r="BJ37" s="13">
        <v>2009.4715561042033</v>
      </c>
      <c r="BK37" s="13">
        <v>4559.5757015100608</v>
      </c>
      <c r="BN37" s="13">
        <v>43464</v>
      </c>
      <c r="BO37" s="13" t="s">
        <v>22</v>
      </c>
      <c r="BP37" s="13">
        <v>155.13282159785163</v>
      </c>
      <c r="BQ37" s="13">
        <v>1000</v>
      </c>
      <c r="BR37" s="13">
        <v>155132.82159785164</v>
      </c>
      <c r="BT37" s="13">
        <v>7387.2772189453244</v>
      </c>
      <c r="BU37" s="13">
        <v>0</v>
      </c>
      <c r="BV37" s="13">
        <v>7387.2772189453244</v>
      </c>
      <c r="CA37" s="13">
        <v>23</v>
      </c>
      <c r="CB37" s="13">
        <v>219169.7427195902</v>
      </c>
    </row>
    <row r="38" spans="2:80" x14ac:dyDescent="0.2">
      <c r="B38" s="112"/>
      <c r="C38" s="17">
        <v>43464</v>
      </c>
      <c r="D38" s="13" t="s">
        <v>22</v>
      </c>
      <c r="E38" s="56">
        <f>E37*(1+$D$6)</f>
        <v>134.0611031654953</v>
      </c>
      <c r="F38" s="13">
        <v>1000</v>
      </c>
      <c r="G38" s="56">
        <f>F38*E38</f>
        <v>134061.1031654953</v>
      </c>
      <c r="I38" s="56">
        <f>G38-G37</f>
        <v>9930.4520863330108</v>
      </c>
      <c r="J38" s="56">
        <f>I38*$D$5</f>
        <v>3037.7252932092679</v>
      </c>
      <c r="K38" s="56">
        <f>I38-J38</f>
        <v>6892.7267931237429</v>
      </c>
      <c r="L38" s="76"/>
      <c r="M38" s="112"/>
      <c r="N38" s="17">
        <v>43464</v>
      </c>
      <c r="O38" s="13" t="s">
        <v>22</v>
      </c>
      <c r="P38" s="56">
        <f>P37*(1+$D$6)</f>
        <v>146.93280768000005</v>
      </c>
      <c r="Q38" s="13">
        <v>1000</v>
      </c>
      <c r="R38" s="56">
        <f>Q38*P38</f>
        <v>146932.80768000006</v>
      </c>
      <c r="T38" s="56">
        <f>R38-R37</f>
        <v>10883.911680000019</v>
      </c>
      <c r="U38" s="56">
        <v>0</v>
      </c>
      <c r="V38" s="56">
        <f>T38-U38</f>
        <v>10883.911680000019</v>
      </c>
      <c r="W38" s="76"/>
      <c r="CA38" s="13">
        <v>24</v>
      </c>
      <c r="CB38" s="13">
        <v>226776.02864067358</v>
      </c>
    </row>
    <row r="39" spans="2:80" x14ac:dyDescent="0.2">
      <c r="B39" s="41"/>
      <c r="C39" s="41"/>
      <c r="D39" s="41"/>
      <c r="E39" s="56"/>
      <c r="F39" s="41"/>
      <c r="G39" s="56"/>
      <c r="I39" s="56"/>
      <c r="J39" s="56"/>
      <c r="K39" s="56"/>
      <c r="L39" s="76"/>
      <c r="M39" s="41"/>
      <c r="N39" s="41"/>
      <c r="O39" s="41"/>
      <c r="P39" s="56"/>
      <c r="Q39" s="41"/>
      <c r="R39" s="56"/>
      <c r="T39" s="56"/>
      <c r="U39" s="56"/>
      <c r="V39" s="56"/>
      <c r="W39" s="76"/>
      <c r="BB39" s="13">
        <v>10</v>
      </c>
      <c r="BC39" s="13">
        <v>43101</v>
      </c>
      <c r="BD39" s="13" t="s">
        <v>20</v>
      </c>
      <c r="BE39" s="13">
        <v>135.94052085379568</v>
      </c>
      <c r="BF39" s="13">
        <v>1000</v>
      </c>
      <c r="BG39" s="13">
        <v>135940.52085379566</v>
      </c>
      <c r="BM39" s="13">
        <v>10</v>
      </c>
      <c r="BN39" s="13">
        <v>43101</v>
      </c>
      <c r="BO39" s="13" t="s">
        <v>20</v>
      </c>
      <c r="BP39" s="13">
        <v>155.13282159785163</v>
      </c>
      <c r="BQ39" s="13">
        <v>1000</v>
      </c>
      <c r="BR39" s="13">
        <v>155132.82159785164</v>
      </c>
      <c r="CA39" s="13">
        <v>25</v>
      </c>
      <c r="CB39" s="13">
        <v>234646.29071464817</v>
      </c>
    </row>
    <row r="40" spans="2:80" x14ac:dyDescent="0.2">
      <c r="B40" s="112">
        <v>6</v>
      </c>
      <c r="C40" s="17">
        <v>43101</v>
      </c>
      <c r="D40" s="13" t="s">
        <v>20</v>
      </c>
      <c r="E40" s="56">
        <f>G40/1000</f>
        <v>131.02337787228603</v>
      </c>
      <c r="F40" s="13">
        <v>1000</v>
      </c>
      <c r="G40" s="56">
        <f>G38-J38</f>
        <v>131023.37787228603</v>
      </c>
      <c r="I40" s="56"/>
      <c r="J40" s="56"/>
      <c r="K40" s="56"/>
      <c r="L40" s="76"/>
      <c r="M40" s="112">
        <v>6</v>
      </c>
      <c r="N40" s="17">
        <v>43101</v>
      </c>
      <c r="O40" s="13" t="s">
        <v>20</v>
      </c>
      <c r="P40" s="56">
        <f>R40/1000</f>
        <v>146.93280768000005</v>
      </c>
      <c r="Q40" s="13">
        <v>1000</v>
      </c>
      <c r="R40" s="56">
        <f>R38-U38</f>
        <v>146932.80768000006</v>
      </c>
      <c r="T40" s="56"/>
      <c r="U40" s="56"/>
      <c r="V40" s="56"/>
      <c r="W40" s="76"/>
      <c r="BC40" s="13">
        <v>43464</v>
      </c>
      <c r="BD40" s="13" t="s">
        <v>22</v>
      </c>
      <c r="BE40" s="13">
        <v>142.73754689648547</v>
      </c>
      <c r="BF40" s="13">
        <v>1000</v>
      </c>
      <c r="BG40" s="13">
        <v>142737.54689648547</v>
      </c>
      <c r="BI40" s="13">
        <v>6797.0260426898021</v>
      </c>
      <c r="BJ40" s="13">
        <v>2079.2102664588106</v>
      </c>
      <c r="BK40" s="13">
        <v>4717.8157762309911</v>
      </c>
      <c r="BN40" s="13">
        <v>43464</v>
      </c>
      <c r="BO40" s="13" t="s">
        <v>22</v>
      </c>
      <c r="BP40" s="13">
        <v>162.88946267774421</v>
      </c>
      <c r="BQ40" s="13">
        <v>1000</v>
      </c>
      <c r="BR40" s="13">
        <v>162889.46267774422</v>
      </c>
      <c r="BT40" s="13">
        <v>7756.641079892579</v>
      </c>
      <c r="BU40" s="13">
        <v>0</v>
      </c>
      <c r="BV40" s="13">
        <v>7756.641079892579</v>
      </c>
      <c r="CA40" s="13">
        <v>26</v>
      </c>
      <c r="CB40" s="13">
        <v>242789.69023390004</v>
      </c>
    </row>
    <row r="41" spans="2:80" x14ac:dyDescent="0.2">
      <c r="B41" s="112"/>
      <c r="C41" s="17">
        <v>43464</v>
      </c>
      <c r="D41" s="13" t="s">
        <v>22</v>
      </c>
      <c r="E41" s="56">
        <f>E40*(1+$D$6)</f>
        <v>141.50524810206892</v>
      </c>
      <c r="F41" s="13">
        <v>1000</v>
      </c>
      <c r="G41" s="56">
        <f>F41*E41</f>
        <v>141505.24810206893</v>
      </c>
      <c r="I41" s="56">
        <f>G41-G40</f>
        <v>10481.8702297829</v>
      </c>
      <c r="J41" s="56">
        <f>I41*$D$5</f>
        <v>3206.4041032905893</v>
      </c>
      <c r="K41" s="56">
        <f>I41-J41</f>
        <v>7275.4661264923107</v>
      </c>
      <c r="L41" s="76"/>
      <c r="M41" s="112"/>
      <c r="N41" s="17">
        <v>43464</v>
      </c>
      <c r="O41" s="13" t="s">
        <v>22</v>
      </c>
      <c r="P41" s="56">
        <f>P40*(1+$D$6)</f>
        <v>158.68743229440005</v>
      </c>
      <c r="Q41" s="13">
        <v>1000</v>
      </c>
      <c r="R41" s="56">
        <f>Q41*P41</f>
        <v>158687.43229440006</v>
      </c>
      <c r="T41" s="56">
        <f>R41-R40</f>
        <v>11754.624614400003</v>
      </c>
      <c r="U41" s="56">
        <v>0</v>
      </c>
      <c r="V41" s="56">
        <f>T41-U41</f>
        <v>11754.624614400003</v>
      </c>
      <c r="W41" s="76"/>
      <c r="CA41" s="13">
        <v>27</v>
      </c>
      <c r="CB41" s="13">
        <v>251215.70643346754</v>
      </c>
    </row>
    <row r="42" spans="2:80" x14ac:dyDescent="0.2">
      <c r="B42" s="41"/>
      <c r="C42" s="41"/>
      <c r="D42" s="41"/>
      <c r="E42" s="56"/>
      <c r="F42" s="41"/>
      <c r="G42" s="56"/>
      <c r="I42" s="56"/>
      <c r="J42" s="56"/>
      <c r="K42" s="56"/>
      <c r="L42" s="76"/>
      <c r="M42" s="41"/>
      <c r="N42" s="41"/>
      <c r="O42" s="41"/>
      <c r="P42" s="56"/>
      <c r="Q42" s="41"/>
      <c r="R42" s="56"/>
      <c r="T42" s="56"/>
      <c r="U42" s="56"/>
      <c r="V42" s="56"/>
      <c r="W42" s="76"/>
      <c r="BB42" s="13">
        <v>11</v>
      </c>
      <c r="BC42" s="13">
        <v>43101</v>
      </c>
      <c r="BD42" s="13" t="s">
        <v>20</v>
      </c>
      <c r="BE42" s="13">
        <v>140.65833663002667</v>
      </c>
      <c r="BF42" s="13">
        <v>1000</v>
      </c>
      <c r="BG42" s="13">
        <v>140658.33663002666</v>
      </c>
      <c r="BM42" s="13">
        <v>11</v>
      </c>
      <c r="BN42" s="13">
        <v>43101</v>
      </c>
      <c r="BO42" s="13" t="s">
        <v>20</v>
      </c>
      <c r="BP42" s="13">
        <v>162.88946267774421</v>
      </c>
      <c r="BQ42" s="13">
        <v>1000</v>
      </c>
      <c r="BR42" s="13">
        <v>162889.46267774422</v>
      </c>
      <c r="CA42" s="13">
        <v>28</v>
      </c>
      <c r="CB42" s="13">
        <v>259934.14752524102</v>
      </c>
    </row>
    <row r="43" spans="2:80" x14ac:dyDescent="0.2">
      <c r="B43" s="112">
        <v>7</v>
      </c>
      <c r="C43" s="17">
        <v>43101</v>
      </c>
      <c r="D43" s="13" t="s">
        <v>20</v>
      </c>
      <c r="E43" s="56">
        <f>G43/1000</f>
        <v>138.29884399877835</v>
      </c>
      <c r="F43" s="13">
        <v>1000</v>
      </c>
      <c r="G43" s="56">
        <f>G41-J41</f>
        <v>138298.84399877835</v>
      </c>
      <c r="I43" s="56"/>
      <c r="J43" s="56"/>
      <c r="K43" s="56"/>
      <c r="L43" s="76"/>
      <c r="M43" s="112">
        <v>7</v>
      </c>
      <c r="N43" s="17">
        <v>43101</v>
      </c>
      <c r="O43" s="13" t="s">
        <v>20</v>
      </c>
      <c r="P43" s="56">
        <f>R43/1000</f>
        <v>158.68743229440005</v>
      </c>
      <c r="Q43" s="13">
        <v>1000</v>
      </c>
      <c r="R43" s="56">
        <f>R41-U41</f>
        <v>158687.43229440006</v>
      </c>
      <c r="T43" s="56"/>
      <c r="U43" s="56"/>
      <c r="V43" s="56"/>
      <c r="W43" s="76"/>
      <c r="BC43" s="13">
        <v>43464</v>
      </c>
      <c r="BD43" s="13" t="s">
        <v>22</v>
      </c>
      <c r="BE43" s="13">
        <v>147.69125346152802</v>
      </c>
      <c r="BF43" s="13">
        <v>1000</v>
      </c>
      <c r="BG43" s="13">
        <v>147691.25346152802</v>
      </c>
      <c r="BI43" s="13">
        <v>7032.9168315013521</v>
      </c>
      <c r="BJ43" s="13">
        <v>2151.3692587562637</v>
      </c>
      <c r="BK43" s="13">
        <v>4881.5475727450885</v>
      </c>
      <c r="BN43" s="13">
        <v>43464</v>
      </c>
      <c r="BO43" s="13" t="s">
        <v>22</v>
      </c>
      <c r="BP43" s="13">
        <v>171.03393581163144</v>
      </c>
      <c r="BQ43" s="13">
        <v>1000</v>
      </c>
      <c r="BR43" s="13">
        <v>171033.93581163144</v>
      </c>
      <c r="BT43" s="13">
        <v>8144.4731338872225</v>
      </c>
      <c r="BU43" s="13">
        <v>0</v>
      </c>
      <c r="BV43" s="13">
        <v>8144.4731338872225</v>
      </c>
      <c r="CA43" s="13">
        <v>29</v>
      </c>
      <c r="CB43" s="13">
        <v>268955.1621151045</v>
      </c>
    </row>
    <row r="44" spans="2:80" x14ac:dyDescent="0.2">
      <c r="B44" s="112"/>
      <c r="C44" s="17">
        <v>43464</v>
      </c>
      <c r="D44" s="13" t="s">
        <v>22</v>
      </c>
      <c r="E44" s="56">
        <f>E43*(1+$D$6)</f>
        <v>149.36275151868062</v>
      </c>
      <c r="F44" s="13">
        <v>1000</v>
      </c>
      <c r="G44" s="56">
        <f>F44*E44</f>
        <v>149362.75151868063</v>
      </c>
      <c r="I44" s="56">
        <f>G44-G43</f>
        <v>11063.907519902277</v>
      </c>
      <c r="J44" s="56">
        <f>I44*$D$5</f>
        <v>3384.4493103381069</v>
      </c>
      <c r="K44" s="56">
        <f>I44-J44</f>
        <v>7679.4582095641708</v>
      </c>
      <c r="L44" s="76"/>
      <c r="M44" s="112"/>
      <c r="N44" s="17">
        <v>43464</v>
      </c>
      <c r="O44" s="13" t="s">
        <v>22</v>
      </c>
      <c r="P44" s="56">
        <f>P43*(1+$D$6)</f>
        <v>171.38242687795207</v>
      </c>
      <c r="Q44" s="13">
        <v>1000</v>
      </c>
      <c r="R44" s="56">
        <f>Q44*P44</f>
        <v>171382.42687795206</v>
      </c>
      <c r="T44" s="56">
        <f>R44-R43</f>
        <v>12694.994583552005</v>
      </c>
      <c r="U44" s="56">
        <v>0</v>
      </c>
      <c r="V44" s="56">
        <f>T44-U44</f>
        <v>12694.994583552005</v>
      </c>
      <c r="W44" s="76"/>
      <c r="CA44" s="13">
        <v>30</v>
      </c>
      <c r="CB44" s="13">
        <v>278289.25101630919</v>
      </c>
    </row>
    <row r="45" spans="2:80" x14ac:dyDescent="0.2">
      <c r="B45" s="41"/>
      <c r="C45" s="41"/>
      <c r="D45" s="41"/>
      <c r="E45" s="56"/>
      <c r="F45" s="41"/>
      <c r="G45" s="56"/>
      <c r="I45" s="56"/>
      <c r="J45" s="56"/>
      <c r="K45" s="56"/>
      <c r="L45" s="76"/>
      <c r="M45" s="41"/>
      <c r="N45" s="41"/>
      <c r="O45" s="41"/>
      <c r="P45" s="56"/>
      <c r="Q45" s="41"/>
      <c r="R45" s="56"/>
      <c r="T45" s="56"/>
      <c r="U45" s="56"/>
      <c r="V45" s="56"/>
      <c r="W45" s="76"/>
      <c r="BB45" s="13">
        <v>12</v>
      </c>
      <c r="BC45" s="13">
        <v>43101</v>
      </c>
      <c r="BD45" s="13" t="s">
        <v>20</v>
      </c>
      <c r="BE45" s="13">
        <v>145.53988420277176</v>
      </c>
      <c r="BF45" s="13">
        <v>1000</v>
      </c>
      <c r="BG45" s="13">
        <v>145539.88420277176</v>
      </c>
      <c r="BM45" s="13">
        <v>12</v>
      </c>
      <c r="BN45" s="13">
        <v>43101</v>
      </c>
      <c r="BO45" s="13" t="s">
        <v>20</v>
      </c>
      <c r="BP45" s="13">
        <v>171.03393581163144</v>
      </c>
      <c r="BQ45" s="13">
        <v>1000</v>
      </c>
      <c r="BR45" s="13">
        <v>171033.93581163144</v>
      </c>
      <c r="CA45" s="13">
        <v>31</v>
      </c>
      <c r="CB45" s="13">
        <v>287947.27947283024</v>
      </c>
    </row>
    <row r="46" spans="2:80" x14ac:dyDescent="0.2">
      <c r="B46" s="112">
        <v>8</v>
      </c>
      <c r="C46" s="17">
        <v>43101</v>
      </c>
      <c r="D46" s="13" t="s">
        <v>20</v>
      </c>
      <c r="E46" s="56">
        <f>G46/1000</f>
        <v>145.97830220834254</v>
      </c>
      <c r="F46" s="13">
        <v>1000</v>
      </c>
      <c r="G46" s="56">
        <f>G44-J44</f>
        <v>145978.30220834253</v>
      </c>
      <c r="I46" s="56"/>
      <c r="J46" s="56"/>
      <c r="K46" s="56"/>
      <c r="L46" s="76"/>
      <c r="M46" s="112">
        <v>8</v>
      </c>
      <c r="N46" s="17">
        <v>43101</v>
      </c>
      <c r="O46" s="13" t="s">
        <v>20</v>
      </c>
      <c r="P46" s="56">
        <f>R46/1000</f>
        <v>171.38242687795207</v>
      </c>
      <c r="Q46" s="13">
        <v>1000</v>
      </c>
      <c r="R46" s="56">
        <f>R44-U44</f>
        <v>171382.42687795206</v>
      </c>
      <c r="T46" s="56"/>
      <c r="U46" s="56"/>
      <c r="V46" s="56"/>
      <c r="W46" s="76"/>
      <c r="BC46" s="13">
        <v>43464</v>
      </c>
      <c r="BD46" s="13" t="s">
        <v>22</v>
      </c>
      <c r="BE46" s="13">
        <v>152.81687841291034</v>
      </c>
      <c r="BF46" s="13">
        <v>1000</v>
      </c>
      <c r="BG46" s="13">
        <v>152816.87841291033</v>
      </c>
      <c r="BI46" s="13">
        <v>7276.9942101385677</v>
      </c>
      <c r="BJ46" s="13">
        <v>2226.0325288813879</v>
      </c>
      <c r="BK46" s="13">
        <v>5050.9616812571803</v>
      </c>
      <c r="BN46" s="13">
        <v>43464</v>
      </c>
      <c r="BO46" s="13" t="s">
        <v>22</v>
      </c>
      <c r="BP46" s="13">
        <v>179.58563260221302</v>
      </c>
      <c r="BQ46" s="13">
        <v>1000</v>
      </c>
      <c r="BR46" s="13">
        <v>179585.63260221304</v>
      </c>
      <c r="BT46" s="13">
        <v>8551.6967905815982</v>
      </c>
      <c r="BU46" s="13">
        <v>0</v>
      </c>
      <c r="BV46" s="13">
        <v>8551.6967905815982</v>
      </c>
      <c r="CA46" s="13">
        <v>32</v>
      </c>
      <c r="CB46" s="13">
        <v>297940.48980693484</v>
      </c>
    </row>
    <row r="47" spans="2:80" x14ac:dyDescent="0.2">
      <c r="B47" s="112"/>
      <c r="C47" s="17">
        <v>43464</v>
      </c>
      <c r="D47" s="13" t="s">
        <v>22</v>
      </c>
      <c r="E47" s="56">
        <f>E46*(1+$D$6)</f>
        <v>157.65656638500997</v>
      </c>
      <c r="F47" s="13">
        <v>1000</v>
      </c>
      <c r="G47" s="56">
        <f>F47*E47</f>
        <v>157656.56638500997</v>
      </c>
      <c r="I47" s="56">
        <f>G47-G46</f>
        <v>11678.264176667435</v>
      </c>
      <c r="J47" s="56">
        <f>I47*$D$5</f>
        <v>3572.3810116425684</v>
      </c>
      <c r="K47" s="56">
        <f>I47-J47</f>
        <v>8105.8831650248667</v>
      </c>
      <c r="L47" s="76"/>
      <c r="M47" s="112"/>
      <c r="N47" s="17">
        <v>43464</v>
      </c>
      <c r="O47" s="13" t="s">
        <v>22</v>
      </c>
      <c r="P47" s="56">
        <f>P46*(1+$D$6)</f>
        <v>185.09302102818825</v>
      </c>
      <c r="Q47" s="13">
        <v>1000</v>
      </c>
      <c r="R47" s="56">
        <f>Q47*P47</f>
        <v>185093.02102818826</v>
      </c>
      <c r="T47" s="56">
        <f>R47-R46</f>
        <v>13710.594150236197</v>
      </c>
      <c r="U47" s="56">
        <v>0</v>
      </c>
      <c r="V47" s="56">
        <f>T47-U47</f>
        <v>13710.594150236197</v>
      </c>
      <c r="W47" s="76"/>
      <c r="CA47" s="13">
        <v>33</v>
      </c>
      <c r="CB47" s="13">
        <v>308280.51450568455</v>
      </c>
    </row>
    <row r="48" spans="2:80" x14ac:dyDescent="0.2">
      <c r="B48" s="41"/>
      <c r="C48" s="41"/>
      <c r="D48" s="41"/>
      <c r="E48" s="56"/>
      <c r="F48" s="41"/>
      <c r="G48" s="56"/>
      <c r="I48" s="56"/>
      <c r="J48" s="56"/>
      <c r="K48" s="56"/>
      <c r="L48" s="76"/>
      <c r="M48" s="41"/>
      <c r="N48" s="41"/>
      <c r="O48" s="41"/>
      <c r="P48" s="56"/>
      <c r="Q48" s="41"/>
      <c r="R48" s="56"/>
      <c r="T48" s="56"/>
      <c r="U48" s="56"/>
      <c r="V48" s="56"/>
      <c r="W48" s="76"/>
      <c r="BB48" s="13">
        <v>13</v>
      </c>
      <c r="BC48" s="13">
        <v>43101</v>
      </c>
      <c r="BD48" s="13" t="s">
        <v>20</v>
      </c>
      <c r="BE48" s="13">
        <v>150.59084588402894</v>
      </c>
      <c r="BF48" s="13">
        <v>1000</v>
      </c>
      <c r="BG48" s="13">
        <v>150590.84588402894</v>
      </c>
      <c r="BM48" s="13">
        <v>13</v>
      </c>
      <c r="BN48" s="13">
        <v>43101</v>
      </c>
      <c r="BO48" s="13" t="s">
        <v>20</v>
      </c>
      <c r="BP48" s="13">
        <v>179.58563260221302</v>
      </c>
      <c r="BQ48" s="13">
        <v>1000</v>
      </c>
      <c r="BR48" s="13">
        <v>179585.63260221304</v>
      </c>
      <c r="CA48" s="13">
        <v>34</v>
      </c>
      <c r="CB48" s="13">
        <v>318979.38976160437</v>
      </c>
    </row>
    <row r="49" spans="2:80" x14ac:dyDescent="0.2">
      <c r="B49" s="112">
        <v>9</v>
      </c>
      <c r="C49" s="17">
        <v>43101</v>
      </c>
      <c r="D49" s="13" t="s">
        <v>20</v>
      </c>
      <c r="E49" s="56">
        <f>G49/1000</f>
        <v>154.0841853733674</v>
      </c>
      <c r="F49" s="13">
        <v>1000</v>
      </c>
      <c r="G49" s="56">
        <f>G47-J47</f>
        <v>154084.18537336739</v>
      </c>
      <c r="I49" s="56"/>
      <c r="J49" s="56"/>
      <c r="K49" s="56"/>
      <c r="L49" s="76"/>
      <c r="M49" s="112">
        <v>9</v>
      </c>
      <c r="N49" s="17">
        <v>43101</v>
      </c>
      <c r="O49" s="13" t="s">
        <v>20</v>
      </c>
      <c r="P49" s="56">
        <f>R49/1000</f>
        <v>185.09302102818828</v>
      </c>
      <c r="Q49" s="13">
        <v>1000</v>
      </c>
      <c r="R49" s="56">
        <f>R47-U47</f>
        <v>185093.02102818826</v>
      </c>
      <c r="T49" s="56"/>
      <c r="U49" s="56"/>
      <c r="V49" s="56"/>
      <c r="W49" s="76"/>
      <c r="BC49" s="13">
        <v>43464</v>
      </c>
      <c r="BD49" s="13" t="s">
        <v>22</v>
      </c>
      <c r="BE49" s="13">
        <v>158.1203881782304</v>
      </c>
      <c r="BF49" s="13">
        <v>1000</v>
      </c>
      <c r="BG49" s="13">
        <v>158120.38817823041</v>
      </c>
      <c r="BI49" s="13">
        <v>7529.5422942014702</v>
      </c>
      <c r="BJ49" s="13">
        <v>2303.2869877962298</v>
      </c>
      <c r="BK49" s="13">
        <v>5226.2553064052408</v>
      </c>
      <c r="BN49" s="13">
        <v>43464</v>
      </c>
      <c r="BO49" s="13" t="s">
        <v>22</v>
      </c>
      <c r="BP49" s="13">
        <v>188.56491423232367</v>
      </c>
      <c r="BQ49" s="13">
        <v>1000</v>
      </c>
      <c r="BR49" s="13">
        <v>188564.91423232367</v>
      </c>
      <c r="BT49" s="13">
        <v>8979.2816301106359</v>
      </c>
      <c r="BU49" s="13">
        <v>0</v>
      </c>
      <c r="BV49" s="13">
        <v>8979.2816301106359</v>
      </c>
      <c r="CA49" s="13">
        <v>35</v>
      </c>
      <c r="CB49" s="13">
        <v>330049.56948328088</v>
      </c>
    </row>
    <row r="50" spans="2:80" x14ac:dyDescent="0.2">
      <c r="B50" s="112"/>
      <c r="C50" s="17">
        <v>43464</v>
      </c>
      <c r="D50" s="13" t="s">
        <v>22</v>
      </c>
      <c r="E50" s="56">
        <f>E49*(1+$D$6)</f>
        <v>166.4109202032368</v>
      </c>
      <c r="F50" s="13">
        <v>1000</v>
      </c>
      <c r="G50" s="56">
        <f>F50*E50</f>
        <v>166410.9202032368</v>
      </c>
      <c r="I50" s="56">
        <f>G50-G49</f>
        <v>12326.734829869412</v>
      </c>
      <c r="J50" s="56">
        <f>I50*$D$5</f>
        <v>3770.7481844570534</v>
      </c>
      <c r="K50" s="56">
        <f>I50-J50</f>
        <v>8555.9866454123585</v>
      </c>
      <c r="L50" s="76"/>
      <c r="M50" s="112"/>
      <c r="N50" s="17">
        <v>43464</v>
      </c>
      <c r="O50" s="13" t="s">
        <v>22</v>
      </c>
      <c r="P50" s="56">
        <f>P49*(1+$D$6)</f>
        <v>199.90046271044335</v>
      </c>
      <c r="Q50" s="13">
        <v>1000</v>
      </c>
      <c r="R50" s="56">
        <f>Q50*P50</f>
        <v>199900.46271044336</v>
      </c>
      <c r="T50" s="56">
        <f>R50-R49</f>
        <v>14807.441682255099</v>
      </c>
      <c r="U50" s="56">
        <v>0</v>
      </c>
      <c r="V50" s="56">
        <f>T50-U50</f>
        <v>14807.441682255099</v>
      </c>
      <c r="W50" s="76"/>
      <c r="CA50" s="13">
        <v>36</v>
      </c>
      <c r="CB50" s="13">
        <v>341503.93979219813</v>
      </c>
    </row>
    <row r="51" spans="2:80" x14ac:dyDescent="0.2">
      <c r="B51" s="41"/>
      <c r="C51" s="41"/>
      <c r="D51" s="41"/>
      <c r="E51" s="56"/>
      <c r="F51" s="41"/>
      <c r="G51" s="56"/>
      <c r="I51" s="56"/>
      <c r="J51" s="56"/>
      <c r="K51" s="56"/>
      <c r="L51" s="76"/>
      <c r="M51" s="41"/>
      <c r="N51" s="41"/>
      <c r="O51" s="41"/>
      <c r="P51" s="56"/>
      <c r="Q51" s="41"/>
      <c r="R51" s="56"/>
      <c r="T51" s="56"/>
      <c r="U51" s="56"/>
      <c r="V51" s="56"/>
      <c r="W51" s="76"/>
      <c r="BB51" s="13">
        <v>14</v>
      </c>
      <c r="BC51" s="13">
        <v>43101</v>
      </c>
      <c r="BD51" s="13" t="s">
        <v>20</v>
      </c>
      <c r="BE51" s="13">
        <v>155.81710119043419</v>
      </c>
      <c r="BF51" s="13">
        <v>1000</v>
      </c>
      <c r="BG51" s="13">
        <v>155817.10119043419</v>
      </c>
      <c r="BM51" s="13">
        <v>14</v>
      </c>
      <c r="BN51" s="13">
        <v>43101</v>
      </c>
      <c r="BO51" s="13" t="s">
        <v>20</v>
      </c>
      <c r="BP51" s="13">
        <v>188.56491423232367</v>
      </c>
      <c r="BQ51" s="13">
        <v>1000</v>
      </c>
      <c r="BR51" s="13">
        <v>188564.91423232367</v>
      </c>
      <c r="CA51" s="13">
        <v>37</v>
      </c>
      <c r="CB51" s="13">
        <v>353355.83402268635</v>
      </c>
    </row>
    <row r="52" spans="2:80" x14ac:dyDescent="0.2">
      <c r="B52" s="112">
        <v>10</v>
      </c>
      <c r="C52" s="17">
        <v>43101</v>
      </c>
      <c r="D52" s="13" t="s">
        <v>20</v>
      </c>
      <c r="E52" s="56">
        <f>G52/1000</f>
        <v>162.64017201877977</v>
      </c>
      <c r="F52" s="13">
        <v>1000</v>
      </c>
      <c r="G52" s="56">
        <f>G50-J50</f>
        <v>162640.17201877976</v>
      </c>
      <c r="I52" s="56"/>
      <c r="J52" s="56"/>
      <c r="K52" s="56"/>
      <c r="L52" s="76"/>
      <c r="M52" s="112">
        <v>10</v>
      </c>
      <c r="N52" s="17">
        <v>43101</v>
      </c>
      <c r="O52" s="13" t="s">
        <v>20</v>
      </c>
      <c r="P52" s="56">
        <f>R52/1000</f>
        <v>199.90046271044335</v>
      </c>
      <c r="Q52" s="13">
        <v>1000</v>
      </c>
      <c r="R52" s="56">
        <f>R50-U50</f>
        <v>199900.46271044336</v>
      </c>
      <c r="T52" s="56"/>
      <c r="U52" s="56"/>
      <c r="V52" s="56"/>
      <c r="W52" s="76"/>
      <c r="BC52" s="13">
        <v>43464</v>
      </c>
      <c r="BD52" s="13" t="s">
        <v>22</v>
      </c>
      <c r="BE52" s="13">
        <v>163.60795624995589</v>
      </c>
      <c r="BF52" s="13">
        <v>1000</v>
      </c>
      <c r="BG52" s="13">
        <v>163607.9562499559</v>
      </c>
      <c r="BI52" s="13">
        <v>7790.8550595217093</v>
      </c>
      <c r="BJ52" s="13">
        <v>2383.2225627076909</v>
      </c>
      <c r="BK52" s="13">
        <v>5407.6324968140179</v>
      </c>
      <c r="BN52" s="13">
        <v>43464</v>
      </c>
      <c r="BO52" s="13" t="s">
        <v>22</v>
      </c>
      <c r="BP52" s="13">
        <v>197.99315994393987</v>
      </c>
      <c r="BQ52" s="13">
        <v>1000</v>
      </c>
      <c r="BR52" s="13">
        <v>197993.15994393989</v>
      </c>
      <c r="BT52" s="13">
        <v>9428.2457116162113</v>
      </c>
      <c r="BU52" s="13">
        <v>0</v>
      </c>
      <c r="BV52" s="13">
        <v>9428.2457116162113</v>
      </c>
      <c r="CA52" s="13">
        <v>38</v>
      </c>
      <c r="CB52" s="13">
        <v>365619.04824244365</v>
      </c>
    </row>
    <row r="53" spans="2:80" x14ac:dyDescent="0.2">
      <c r="B53" s="112"/>
      <c r="C53" s="17">
        <v>43464</v>
      </c>
      <c r="D53" s="13" t="s">
        <v>22</v>
      </c>
      <c r="E53" s="56">
        <f>E52*(1+$D$6)</f>
        <v>175.65138578028217</v>
      </c>
      <c r="F53" s="13">
        <v>1000</v>
      </c>
      <c r="G53" s="56">
        <f>F53*E53</f>
        <v>175651.38578028217</v>
      </c>
      <c r="I53" s="56">
        <f>G53-G52</f>
        <v>13011.213761502411</v>
      </c>
      <c r="J53" s="56">
        <f>I53*$D$5</f>
        <v>3980.1302896435877</v>
      </c>
      <c r="K53" s="56">
        <f>I53-J53</f>
        <v>9031.083471858823</v>
      </c>
      <c r="L53" s="76"/>
      <c r="M53" s="112"/>
      <c r="N53" s="17">
        <v>43464</v>
      </c>
      <c r="O53" s="13" t="s">
        <v>22</v>
      </c>
      <c r="P53" s="56">
        <f>P52*(1+$D$6)</f>
        <v>215.89249972727882</v>
      </c>
      <c r="Q53" s="13">
        <v>1000</v>
      </c>
      <c r="R53" s="56">
        <f>Q53*P53</f>
        <v>215892.49972727883</v>
      </c>
      <c r="T53" s="56">
        <f>R53-R52</f>
        <v>15992.037016835471</v>
      </c>
      <c r="U53" s="56">
        <v>0</v>
      </c>
      <c r="V53" s="56">
        <f>T53-U53</f>
        <v>15992.037016835471</v>
      </c>
      <c r="W53" s="76"/>
      <c r="CA53" s="13">
        <v>39</v>
      </c>
      <c r="CB53" s="13">
        <v>378307.85731169762</v>
      </c>
    </row>
    <row r="54" spans="2:80" x14ac:dyDescent="0.2">
      <c r="B54" s="41"/>
      <c r="C54" s="41"/>
      <c r="D54" s="41"/>
      <c r="E54" s="56"/>
      <c r="F54" s="41"/>
      <c r="G54" s="56"/>
      <c r="I54" s="56"/>
      <c r="J54" s="56"/>
      <c r="K54" s="56"/>
      <c r="L54" s="76"/>
      <c r="M54" s="41"/>
      <c r="N54" s="41"/>
      <c r="O54" s="41"/>
      <c r="P54" s="56"/>
      <c r="Q54" s="41"/>
      <c r="R54" s="56"/>
      <c r="T54" s="56"/>
      <c r="U54" s="56"/>
      <c r="V54" s="56"/>
      <c r="W54" s="76"/>
      <c r="BB54" s="13">
        <v>15</v>
      </c>
      <c r="BC54" s="13">
        <v>43101</v>
      </c>
      <c r="BD54" s="13" t="s">
        <v>20</v>
      </c>
      <c r="BE54" s="13">
        <v>161.2247336872482</v>
      </c>
      <c r="BF54" s="13">
        <v>1000</v>
      </c>
      <c r="BG54" s="13">
        <v>161224.7336872482</v>
      </c>
      <c r="BM54" s="13">
        <v>15</v>
      </c>
      <c r="BN54" s="13">
        <v>43101</v>
      </c>
      <c r="BO54" s="13" t="s">
        <v>20</v>
      </c>
      <c r="BP54" s="13">
        <v>197.99315994393987</v>
      </c>
      <c r="BQ54" s="13">
        <v>1000</v>
      </c>
      <c r="BR54" s="13">
        <v>197993.15994393989</v>
      </c>
      <c r="CA54" s="13">
        <v>40</v>
      </c>
      <c r="CB54" s="13">
        <v>397223.25017728255</v>
      </c>
    </row>
    <row r="55" spans="2:80" x14ac:dyDescent="0.2">
      <c r="B55" s="112">
        <v>11</v>
      </c>
      <c r="C55" s="17">
        <v>43101</v>
      </c>
      <c r="D55" s="13" t="s">
        <v>20</v>
      </c>
      <c r="E55" s="56">
        <f>G55/1000</f>
        <v>171.67125549063857</v>
      </c>
      <c r="F55" s="13">
        <v>1000</v>
      </c>
      <c r="G55" s="56">
        <f>G53-J53</f>
        <v>171671.25549063858</v>
      </c>
      <c r="I55" s="56"/>
      <c r="J55" s="56"/>
      <c r="K55" s="56"/>
      <c r="L55" s="76"/>
      <c r="M55" s="112">
        <v>11</v>
      </c>
      <c r="N55" s="17">
        <v>43101</v>
      </c>
      <c r="O55" s="13" t="s">
        <v>20</v>
      </c>
      <c r="P55" s="56">
        <f>R55/1000</f>
        <v>215.89249972727882</v>
      </c>
      <c r="Q55" s="13">
        <v>1000</v>
      </c>
      <c r="R55" s="56">
        <f>R53-U53</f>
        <v>215892.49972727883</v>
      </c>
      <c r="T55" s="56"/>
      <c r="U55" s="56"/>
      <c r="V55" s="56"/>
      <c r="W55" s="76"/>
      <c r="BC55" s="13">
        <v>43464</v>
      </c>
      <c r="BD55" s="13" t="s">
        <v>22</v>
      </c>
      <c r="BE55" s="13">
        <v>169.28597037161063</v>
      </c>
      <c r="BF55" s="13">
        <v>1000</v>
      </c>
      <c r="BG55" s="13">
        <v>169285.97037161063</v>
      </c>
      <c r="BI55" s="13">
        <v>8061.2366843624332</v>
      </c>
      <c r="BJ55" s="13">
        <v>2465.9323017464685</v>
      </c>
      <c r="BK55" s="13">
        <v>5595.3043826159646</v>
      </c>
      <c r="BN55" s="13">
        <v>43464</v>
      </c>
      <c r="BO55" s="13" t="s">
        <v>22</v>
      </c>
      <c r="BP55" s="13">
        <v>207.89281794113688</v>
      </c>
      <c r="BQ55" s="13">
        <v>1000</v>
      </c>
      <c r="BR55" s="13">
        <v>207892.81794113689</v>
      </c>
      <c r="BT55" s="13">
        <v>9899.6579971970059</v>
      </c>
      <c r="BU55" s="13">
        <v>0</v>
      </c>
      <c r="BV55" s="13">
        <v>9899.6579971970059</v>
      </c>
      <c r="CA55" s="13">
        <v>40</v>
      </c>
      <c r="CB55" s="13">
        <v>391437.0314997001</v>
      </c>
    </row>
    <row r="56" spans="2:80" x14ac:dyDescent="0.2">
      <c r="B56" s="112"/>
      <c r="C56" s="17">
        <v>43464</v>
      </c>
      <c r="D56" s="13" t="s">
        <v>22</v>
      </c>
      <c r="E56" s="56">
        <f>E55*(1+$D$6)</f>
        <v>185.40495592988967</v>
      </c>
      <c r="F56" s="13">
        <v>1000</v>
      </c>
      <c r="G56" s="56">
        <f>F56*E56</f>
        <v>185404.95592988966</v>
      </c>
      <c r="I56" s="56">
        <f>G56-G55</f>
        <v>13733.700439251086</v>
      </c>
      <c r="J56" s="56">
        <f>I56*$D$5</f>
        <v>4201.1389643669072</v>
      </c>
      <c r="K56" s="56">
        <f>I56-J56</f>
        <v>9532.5614748841799</v>
      </c>
      <c r="L56" s="76"/>
      <c r="M56" s="112"/>
      <c r="N56" s="17">
        <v>43464</v>
      </c>
      <c r="O56" s="13" t="s">
        <v>22</v>
      </c>
      <c r="P56" s="56">
        <f>P55*(1+$D$6)</f>
        <v>233.16389970546115</v>
      </c>
      <c r="Q56" s="13">
        <v>1000</v>
      </c>
      <c r="R56" s="56">
        <f>Q56*P56</f>
        <v>233163.89970546114</v>
      </c>
      <c r="T56" s="56">
        <f>R56-R55</f>
        <v>17271.399978182308</v>
      </c>
      <c r="U56" s="56">
        <v>0</v>
      </c>
      <c r="V56" s="56">
        <f>T56-U56</f>
        <v>17271.399978182308</v>
      </c>
      <c r="W56" s="76"/>
    </row>
    <row r="57" spans="2:80" x14ac:dyDescent="0.2">
      <c r="B57" s="41"/>
      <c r="C57" s="41"/>
      <c r="D57" s="41"/>
      <c r="E57" s="56"/>
      <c r="F57" s="41"/>
      <c r="G57" s="56"/>
      <c r="I57" s="56"/>
      <c r="J57" s="56"/>
      <c r="K57" s="56"/>
      <c r="L57" s="76"/>
      <c r="M57" s="41"/>
      <c r="N57" s="41"/>
      <c r="O57" s="41"/>
      <c r="P57" s="56"/>
      <c r="Q57" s="41"/>
      <c r="R57" s="56"/>
      <c r="T57" s="56"/>
      <c r="U57" s="56"/>
      <c r="V57" s="56"/>
      <c r="W57" s="76"/>
      <c r="BB57" s="13">
        <v>16</v>
      </c>
      <c r="BC57" s="13">
        <v>43101</v>
      </c>
      <c r="BD57" s="13" t="s">
        <v>20</v>
      </c>
      <c r="BE57" s="13">
        <v>166.82003806986415</v>
      </c>
      <c r="BF57" s="13">
        <v>1000</v>
      </c>
      <c r="BG57" s="13">
        <v>166820.03806986415</v>
      </c>
      <c r="BM57" s="13">
        <v>16</v>
      </c>
      <c r="BN57" s="13">
        <v>43101</v>
      </c>
      <c r="BO57" s="13" t="s">
        <v>20</v>
      </c>
      <c r="BP57" s="13">
        <v>207.89281794113688</v>
      </c>
      <c r="BQ57" s="13">
        <v>1000</v>
      </c>
      <c r="BR57" s="13">
        <v>207892.81794113689</v>
      </c>
    </row>
    <row r="58" spans="2:80" x14ac:dyDescent="0.2">
      <c r="B58" s="112">
        <v>12</v>
      </c>
      <c r="C58" s="17">
        <v>43101</v>
      </c>
      <c r="D58" s="13" t="s">
        <v>20</v>
      </c>
      <c r="E58" s="56">
        <f>G58/1000</f>
        <v>181.20381696552278</v>
      </c>
      <c r="F58" s="13">
        <v>1000</v>
      </c>
      <c r="G58" s="56">
        <f>G56-J56</f>
        <v>181203.81696552277</v>
      </c>
      <c r="I58" s="56"/>
      <c r="J58" s="56"/>
      <c r="K58" s="56"/>
      <c r="L58" s="76"/>
      <c r="M58" s="112">
        <v>12</v>
      </c>
      <c r="N58" s="17">
        <v>43101</v>
      </c>
      <c r="O58" s="13" t="s">
        <v>20</v>
      </c>
      <c r="P58" s="56">
        <f>R58/1000</f>
        <v>233.16389970546115</v>
      </c>
      <c r="Q58" s="13">
        <v>1000</v>
      </c>
      <c r="R58" s="56">
        <f>R56-U56</f>
        <v>233163.89970546114</v>
      </c>
      <c r="T58" s="56"/>
      <c r="U58" s="56"/>
      <c r="V58" s="56"/>
      <c r="W58" s="76"/>
      <c r="BC58" s="13">
        <v>43464</v>
      </c>
      <c r="BD58" s="13" t="s">
        <v>22</v>
      </c>
      <c r="BE58" s="13">
        <v>175.16103997335736</v>
      </c>
      <c r="BF58" s="13">
        <v>1000</v>
      </c>
      <c r="BG58" s="13">
        <v>175161.03997335737</v>
      </c>
      <c r="BI58" s="13">
        <v>8341.0019034932193</v>
      </c>
      <c r="BJ58" s="13">
        <v>2551.512482278576</v>
      </c>
      <c r="BK58" s="13">
        <v>5789.4894212146428</v>
      </c>
      <c r="BN58" s="13">
        <v>43464</v>
      </c>
      <c r="BO58" s="13" t="s">
        <v>22</v>
      </c>
      <c r="BP58" s="13">
        <v>218.28745883819374</v>
      </c>
      <c r="BQ58" s="13">
        <v>1000</v>
      </c>
      <c r="BR58" s="13">
        <v>218287.45883819374</v>
      </c>
      <c r="BT58" s="13">
        <v>10394.640897056845</v>
      </c>
      <c r="BU58" s="13">
        <v>0</v>
      </c>
      <c r="BV58" s="13">
        <v>10394.640897056845</v>
      </c>
    </row>
    <row r="59" spans="2:80" x14ac:dyDescent="0.2">
      <c r="B59" s="112"/>
      <c r="C59" s="17">
        <v>43464</v>
      </c>
      <c r="D59" s="13" t="s">
        <v>22</v>
      </c>
      <c r="E59" s="56">
        <f>E58*(1+$D$6)</f>
        <v>195.7001223227646</v>
      </c>
      <c r="F59" s="13">
        <v>1000</v>
      </c>
      <c r="G59" s="56">
        <f>F59*E59</f>
        <v>195700.1223227646</v>
      </c>
      <c r="I59" s="56">
        <f>G59-G58</f>
        <v>14496.305357241828</v>
      </c>
      <c r="J59" s="56">
        <f>I59*$D$5</f>
        <v>4434.4198087802752</v>
      </c>
      <c r="K59" s="56">
        <f>I59-J59</f>
        <v>10061.885548461552</v>
      </c>
      <c r="L59" s="76"/>
      <c r="M59" s="112"/>
      <c r="N59" s="17">
        <v>43464</v>
      </c>
      <c r="O59" s="13" t="s">
        <v>22</v>
      </c>
      <c r="P59" s="56">
        <f>P58*(1+$D$6)</f>
        <v>251.81701168189807</v>
      </c>
      <c r="Q59" s="13">
        <v>1000</v>
      </c>
      <c r="R59" s="56">
        <f>Q59*P59</f>
        <v>251817.01168189806</v>
      </c>
      <c r="T59" s="56">
        <f>R59-R58</f>
        <v>18653.111976436921</v>
      </c>
      <c r="U59" s="56">
        <v>0</v>
      </c>
      <c r="V59" s="56">
        <f>T59-U59</f>
        <v>18653.111976436921</v>
      </c>
      <c r="W59" s="76"/>
    </row>
    <row r="60" spans="2:80" x14ac:dyDescent="0.2">
      <c r="B60" s="41"/>
      <c r="C60" s="41"/>
      <c r="D60" s="41"/>
      <c r="E60" s="56"/>
      <c r="F60" s="41"/>
      <c r="G60" s="56"/>
      <c r="I60" s="56"/>
      <c r="J60" s="56"/>
      <c r="K60" s="56"/>
      <c r="L60" s="76"/>
      <c r="M60" s="41"/>
      <c r="N60" s="41"/>
      <c r="O60" s="41"/>
      <c r="P60" s="56"/>
      <c r="Q60" s="41"/>
      <c r="R60" s="56"/>
      <c r="T60" s="56"/>
      <c r="U60" s="56"/>
      <c r="V60" s="56"/>
      <c r="W60" s="76"/>
      <c r="BB60" s="13">
        <v>17</v>
      </c>
      <c r="BC60" s="13">
        <v>43101</v>
      </c>
      <c r="BD60" s="13" t="s">
        <v>20</v>
      </c>
      <c r="BE60" s="13">
        <v>172.60952749107881</v>
      </c>
      <c r="BF60" s="13">
        <v>1000</v>
      </c>
      <c r="BG60" s="13">
        <v>172609.5274910788</v>
      </c>
      <c r="BM60" s="13">
        <v>17</v>
      </c>
      <c r="BN60" s="13">
        <v>43101</v>
      </c>
      <c r="BO60" s="13" t="s">
        <v>20</v>
      </c>
      <c r="BP60" s="13">
        <v>218.28745883819374</v>
      </c>
      <c r="BQ60" s="13">
        <v>1000</v>
      </c>
      <c r="BR60" s="13">
        <v>218287.45883819374</v>
      </c>
    </row>
    <row r="61" spans="2:80" x14ac:dyDescent="0.2">
      <c r="B61" s="112">
        <v>13</v>
      </c>
      <c r="C61" s="19">
        <v>43101</v>
      </c>
      <c r="D61" s="13" t="s">
        <v>20</v>
      </c>
      <c r="E61" s="56">
        <f>G61/1000</f>
        <v>191.26570251398431</v>
      </c>
      <c r="F61" s="13">
        <v>1000</v>
      </c>
      <c r="G61" s="56">
        <f>G59-J59</f>
        <v>191265.70251398432</v>
      </c>
      <c r="I61" s="56"/>
      <c r="J61" s="56"/>
      <c r="K61" s="56"/>
      <c r="L61" s="76"/>
      <c r="M61" s="112">
        <v>13</v>
      </c>
      <c r="N61" s="19">
        <v>43101</v>
      </c>
      <c r="O61" s="13" t="s">
        <v>20</v>
      </c>
      <c r="P61" s="56">
        <f>R61/1000</f>
        <v>251.81701168189807</v>
      </c>
      <c r="Q61" s="13">
        <v>1000</v>
      </c>
      <c r="R61" s="56">
        <f>R59-U59</f>
        <v>251817.01168189806</v>
      </c>
      <c r="T61" s="56"/>
      <c r="U61" s="56"/>
      <c r="V61" s="56"/>
      <c r="W61" s="76"/>
      <c r="BC61" s="13">
        <v>43464</v>
      </c>
      <c r="BD61" s="13" t="s">
        <v>22</v>
      </c>
      <c r="BE61" s="13">
        <v>181.24000386563276</v>
      </c>
      <c r="BF61" s="13">
        <v>1000</v>
      </c>
      <c r="BG61" s="13">
        <v>181240.00386563275</v>
      </c>
      <c r="BI61" s="13">
        <v>8630.4763745539531</v>
      </c>
      <c r="BJ61" s="13">
        <v>2640.0627229760544</v>
      </c>
      <c r="BK61" s="13">
        <v>5990.4136515778991</v>
      </c>
      <c r="BN61" s="13">
        <v>43464</v>
      </c>
      <c r="BO61" s="13" t="s">
        <v>22</v>
      </c>
      <c r="BP61" s="13">
        <v>229.20183178010345</v>
      </c>
      <c r="BQ61" s="13">
        <v>1000</v>
      </c>
      <c r="BR61" s="13">
        <v>229201.83178010344</v>
      </c>
      <c r="BT61" s="13">
        <v>10914.372941909707</v>
      </c>
      <c r="BU61" s="13">
        <v>0</v>
      </c>
      <c r="BV61" s="13">
        <v>10914.372941909707</v>
      </c>
    </row>
    <row r="62" spans="2:80" x14ac:dyDescent="0.2">
      <c r="B62" s="112"/>
      <c r="C62" s="19">
        <v>43464</v>
      </c>
      <c r="D62" s="13" t="s">
        <v>22</v>
      </c>
      <c r="E62" s="56">
        <f>E61*(1+$D$6)</f>
        <v>206.56695871510306</v>
      </c>
      <c r="F62" s="13">
        <v>1000</v>
      </c>
      <c r="G62" s="56">
        <f>F62*E62</f>
        <v>206566.95871510304</v>
      </c>
      <c r="I62" s="56">
        <f>G62-G61</f>
        <v>15301.256201118726</v>
      </c>
      <c r="J62" s="56">
        <f>I62*$D$5</f>
        <v>4680.654271922218</v>
      </c>
      <c r="K62" s="56">
        <f>I62-J62</f>
        <v>10620.601929196508</v>
      </c>
      <c r="L62" s="76"/>
      <c r="M62" s="112"/>
      <c r="N62" s="19">
        <v>43464</v>
      </c>
      <c r="O62" s="13" t="s">
        <v>22</v>
      </c>
      <c r="P62" s="56">
        <f>P61*(1+$D$6)</f>
        <v>271.96237261644995</v>
      </c>
      <c r="Q62" s="13">
        <v>1000</v>
      </c>
      <c r="R62" s="56">
        <f>Q62*P62</f>
        <v>271962.37261644995</v>
      </c>
      <c r="T62" s="56">
        <f>R62-R61</f>
        <v>20145.360934551893</v>
      </c>
      <c r="U62" s="56">
        <v>0</v>
      </c>
      <c r="V62" s="56">
        <f>T62-U62</f>
        <v>20145.360934551893</v>
      </c>
      <c r="W62" s="76"/>
    </row>
    <row r="63" spans="2:80" x14ac:dyDescent="0.2">
      <c r="B63" s="41"/>
      <c r="C63" s="41"/>
      <c r="D63" s="41"/>
      <c r="E63" s="56"/>
      <c r="F63" s="41"/>
      <c r="G63" s="56"/>
      <c r="I63" s="56"/>
      <c r="J63" s="56"/>
      <c r="K63" s="56"/>
      <c r="L63" s="76"/>
      <c r="M63" s="41"/>
      <c r="N63" s="41"/>
      <c r="O63" s="41"/>
      <c r="P63" s="56"/>
      <c r="Q63" s="41"/>
      <c r="R63" s="56"/>
      <c r="T63" s="56"/>
      <c r="U63" s="56"/>
      <c r="V63" s="56"/>
      <c r="W63" s="76"/>
      <c r="BB63" s="13">
        <v>18</v>
      </c>
      <c r="BC63" s="13">
        <v>43101</v>
      </c>
      <c r="BD63" s="13" t="s">
        <v>20</v>
      </c>
      <c r="BE63" s="13">
        <v>178.59994114265669</v>
      </c>
      <c r="BF63" s="13">
        <v>1000</v>
      </c>
      <c r="BG63" s="13">
        <v>178599.94114265669</v>
      </c>
      <c r="BM63" s="13">
        <v>18</v>
      </c>
      <c r="BN63" s="13">
        <v>43101</v>
      </c>
      <c r="BO63" s="13" t="s">
        <v>20</v>
      </c>
      <c r="BP63" s="13">
        <v>229.20183178010345</v>
      </c>
      <c r="BQ63" s="13">
        <v>1000</v>
      </c>
      <c r="BR63" s="13">
        <v>229201.83178010344</v>
      </c>
    </row>
    <row r="64" spans="2:80" x14ac:dyDescent="0.2">
      <c r="B64" s="112">
        <v>14</v>
      </c>
      <c r="C64" s="19">
        <v>43101</v>
      </c>
      <c r="D64" s="13" t="s">
        <v>20</v>
      </c>
      <c r="E64" s="56">
        <f>G64/1000</f>
        <v>201.88630444318082</v>
      </c>
      <c r="F64" s="13">
        <v>1000</v>
      </c>
      <c r="G64" s="56">
        <f>G62-J62</f>
        <v>201886.30444318082</v>
      </c>
      <c r="I64" s="56"/>
      <c r="J64" s="56"/>
      <c r="K64" s="56"/>
      <c r="L64" s="76"/>
      <c r="M64" s="112">
        <v>14</v>
      </c>
      <c r="N64" s="19">
        <v>43101</v>
      </c>
      <c r="O64" s="13" t="s">
        <v>20</v>
      </c>
      <c r="P64" s="56">
        <f>R64/1000</f>
        <v>271.96237261644995</v>
      </c>
      <c r="Q64" s="13">
        <v>1000</v>
      </c>
      <c r="R64" s="56">
        <f>R62-U62</f>
        <v>271962.37261644995</v>
      </c>
      <c r="T64" s="56"/>
      <c r="U64" s="56"/>
      <c r="V64" s="56"/>
      <c r="W64" s="76"/>
      <c r="BC64" s="13">
        <v>43464</v>
      </c>
      <c r="BD64" s="13" t="s">
        <v>22</v>
      </c>
      <c r="BE64" s="13">
        <v>187.52993819978954</v>
      </c>
      <c r="BF64" s="13">
        <v>1000</v>
      </c>
      <c r="BG64" s="13">
        <v>187529.93819978955</v>
      </c>
      <c r="BI64" s="13">
        <v>8929.9970571328595</v>
      </c>
      <c r="BJ64" s="13">
        <v>2731.6860997769418</v>
      </c>
      <c r="BK64" s="13">
        <v>6198.3109573559177</v>
      </c>
      <c r="BN64" s="13">
        <v>43464</v>
      </c>
      <c r="BO64" s="13" t="s">
        <v>22</v>
      </c>
      <c r="BP64" s="13">
        <v>240.66192336910862</v>
      </c>
      <c r="BQ64" s="13">
        <v>1000</v>
      </c>
      <c r="BR64" s="13">
        <v>240661.92336910861</v>
      </c>
      <c r="BT64" s="13">
        <v>11460.091589005169</v>
      </c>
      <c r="BU64" s="13">
        <v>0</v>
      </c>
      <c r="BV64" s="13">
        <v>11460.091589005169</v>
      </c>
    </row>
    <row r="65" spans="2:74" x14ac:dyDescent="0.2">
      <c r="B65" s="112"/>
      <c r="C65" s="19">
        <v>43464</v>
      </c>
      <c r="D65" s="13" t="s">
        <v>22</v>
      </c>
      <c r="E65" s="56">
        <f>E64*(1+$D$6)</f>
        <v>218.03720879863531</v>
      </c>
      <c r="F65" s="13">
        <v>1000</v>
      </c>
      <c r="G65" s="56">
        <f>F65*E65</f>
        <v>218037.20879863531</v>
      </c>
      <c r="I65" s="56">
        <f>G65-G64</f>
        <v>16150.904355454491</v>
      </c>
      <c r="J65" s="56">
        <f>I65*$D$5</f>
        <v>4940.5616423335287</v>
      </c>
      <c r="K65" s="56">
        <f>I65-J65</f>
        <v>11210.342713120963</v>
      </c>
      <c r="L65" s="76"/>
      <c r="M65" s="112"/>
      <c r="N65" s="19">
        <v>43464</v>
      </c>
      <c r="O65" s="13" t="s">
        <v>22</v>
      </c>
      <c r="P65" s="56">
        <f>P64*(1+$D$6)</f>
        <v>293.71936242576595</v>
      </c>
      <c r="Q65" s="13">
        <v>1000</v>
      </c>
      <c r="R65" s="56">
        <f>Q65*P65</f>
        <v>293719.36242576595</v>
      </c>
      <c r="T65" s="56">
        <f>R65-R64</f>
        <v>21756.989809316001</v>
      </c>
      <c r="U65" s="56">
        <v>0</v>
      </c>
      <c r="V65" s="56">
        <f>T65-U65</f>
        <v>21756.989809316001</v>
      </c>
      <c r="W65" s="76"/>
    </row>
    <row r="66" spans="2:74" x14ac:dyDescent="0.2">
      <c r="B66" s="41"/>
      <c r="C66" s="41"/>
      <c r="D66" s="41"/>
      <c r="E66" s="56"/>
      <c r="F66" s="41"/>
      <c r="G66" s="56"/>
      <c r="I66" s="56"/>
      <c r="J66" s="56"/>
      <c r="K66" s="56"/>
      <c r="L66" s="76"/>
      <c r="M66" s="41"/>
      <c r="N66" s="41"/>
      <c r="O66" s="41"/>
      <c r="P66" s="56"/>
      <c r="Q66" s="41"/>
      <c r="R66" s="56"/>
      <c r="T66" s="56"/>
      <c r="U66" s="56"/>
      <c r="V66" s="56"/>
      <c r="W66" s="76"/>
      <c r="BB66" s="13">
        <v>19</v>
      </c>
      <c r="BC66" s="13">
        <v>43101</v>
      </c>
      <c r="BD66" s="13" t="s">
        <v>20</v>
      </c>
      <c r="BE66" s="13">
        <v>184.7982521000126</v>
      </c>
      <c r="BF66" s="13">
        <v>1000</v>
      </c>
      <c r="BG66" s="13">
        <v>184798.25210001261</v>
      </c>
      <c r="BM66" s="13">
        <v>19</v>
      </c>
      <c r="BN66" s="13">
        <v>43101</v>
      </c>
      <c r="BO66" s="13" t="s">
        <v>20</v>
      </c>
      <c r="BP66" s="13">
        <v>240.66192336910862</v>
      </c>
      <c r="BQ66" s="13">
        <v>1000</v>
      </c>
      <c r="BR66" s="13">
        <v>240661.92336910861</v>
      </c>
    </row>
    <row r="67" spans="2:74" x14ac:dyDescent="0.2">
      <c r="B67" s="112">
        <v>15</v>
      </c>
      <c r="C67" s="19">
        <v>43101</v>
      </c>
      <c r="D67" s="13" t="s">
        <v>20</v>
      </c>
      <c r="E67" s="56">
        <f>G67/1000</f>
        <v>213.0966471563018</v>
      </c>
      <c r="F67" s="13">
        <v>1000</v>
      </c>
      <c r="G67" s="56">
        <f>G65-J65</f>
        <v>213096.6471563018</v>
      </c>
      <c r="I67" s="56"/>
      <c r="J67" s="56"/>
      <c r="K67" s="56"/>
      <c r="L67" s="76"/>
      <c r="M67" s="112">
        <v>15</v>
      </c>
      <c r="N67" s="19">
        <v>43101</v>
      </c>
      <c r="O67" s="13" t="s">
        <v>20</v>
      </c>
      <c r="P67" s="56">
        <f>R67/1000</f>
        <v>293.71936242576595</v>
      </c>
      <c r="Q67" s="13">
        <v>1000</v>
      </c>
      <c r="R67" s="56">
        <f>R65-U65</f>
        <v>293719.36242576595</v>
      </c>
      <c r="T67" s="56"/>
      <c r="U67" s="56"/>
      <c r="V67" s="56"/>
      <c r="W67" s="76"/>
      <c r="BC67" s="13">
        <v>43464</v>
      </c>
      <c r="BD67" s="13" t="s">
        <v>22</v>
      </c>
      <c r="BE67" s="13">
        <v>194.03816470501323</v>
      </c>
      <c r="BF67" s="13">
        <v>1000</v>
      </c>
      <c r="BG67" s="13">
        <v>194038.16470501322</v>
      </c>
      <c r="BI67" s="13">
        <v>9239.9126050006016</v>
      </c>
      <c r="BJ67" s="13">
        <v>2826.489265869684</v>
      </c>
      <c r="BK67" s="13">
        <v>6413.4233391309172</v>
      </c>
      <c r="BN67" s="13">
        <v>43464</v>
      </c>
      <c r="BO67" s="13" t="s">
        <v>22</v>
      </c>
      <c r="BP67" s="13">
        <v>252.69501953756406</v>
      </c>
      <c r="BQ67" s="13">
        <v>1000</v>
      </c>
      <c r="BR67" s="13">
        <v>252695.01953756408</v>
      </c>
      <c r="BT67" s="13">
        <v>12033.096168455464</v>
      </c>
      <c r="BU67" s="13">
        <v>0</v>
      </c>
      <c r="BV67" s="13">
        <v>12033.096168455464</v>
      </c>
    </row>
    <row r="68" spans="2:74" x14ac:dyDescent="0.2">
      <c r="B68" s="112"/>
      <c r="C68" s="19">
        <v>43464</v>
      </c>
      <c r="D68" s="13" t="s">
        <v>22</v>
      </c>
      <c r="E68" s="56">
        <f>E67*(1+$D$6)</f>
        <v>230.14437892880596</v>
      </c>
      <c r="F68" s="13">
        <v>1000</v>
      </c>
      <c r="G68" s="56">
        <f>F68*E68</f>
        <v>230144.37892880596</v>
      </c>
      <c r="I68" s="56">
        <f>G68-G67</f>
        <v>17047.731772504165</v>
      </c>
      <c r="J68" s="56">
        <f>I68*$D$5</f>
        <v>5214.901149209024</v>
      </c>
      <c r="K68" s="56">
        <f>I68-J68</f>
        <v>11832.83062329514</v>
      </c>
      <c r="L68" s="76"/>
      <c r="M68" s="112"/>
      <c r="N68" s="19">
        <v>43464</v>
      </c>
      <c r="O68" s="13" t="s">
        <v>22</v>
      </c>
      <c r="P68" s="56">
        <f>P67*(1+$D$6)</f>
        <v>317.21691141982723</v>
      </c>
      <c r="Q68" s="13">
        <v>1000</v>
      </c>
      <c r="R68" s="56">
        <f>Q68*P68</f>
        <v>317216.9114198272</v>
      </c>
      <c r="T68" s="56">
        <f>R68-R67</f>
        <v>23497.548994061246</v>
      </c>
      <c r="U68" s="56">
        <v>0</v>
      </c>
      <c r="V68" s="56">
        <f>T68-U68</f>
        <v>23497.548994061246</v>
      </c>
      <c r="W68" s="76"/>
    </row>
    <row r="69" spans="2:74" x14ac:dyDescent="0.2">
      <c r="E69" s="56"/>
      <c r="G69" s="56"/>
      <c r="I69" s="56"/>
      <c r="J69" s="56"/>
      <c r="K69" s="56"/>
      <c r="L69" s="76"/>
      <c r="P69" s="56"/>
      <c r="R69" s="56"/>
      <c r="T69" s="56"/>
      <c r="U69" s="56"/>
      <c r="V69" s="56"/>
      <c r="W69" s="76"/>
      <c r="BB69" s="13">
        <v>20</v>
      </c>
      <c r="BC69" s="13">
        <v>43101</v>
      </c>
      <c r="BD69" s="13" t="s">
        <v>20</v>
      </c>
      <c r="BE69" s="13">
        <v>191.21167543914353</v>
      </c>
      <c r="BF69" s="13">
        <v>1000</v>
      </c>
      <c r="BG69" s="13">
        <v>191211.67543914352</v>
      </c>
      <c r="BM69" s="13">
        <v>20</v>
      </c>
      <c r="BN69" s="13">
        <v>43101</v>
      </c>
      <c r="BO69" s="13" t="s">
        <v>20</v>
      </c>
      <c r="BP69" s="13">
        <v>252.69501953756406</v>
      </c>
      <c r="BQ69" s="13">
        <v>1000</v>
      </c>
      <c r="BR69" s="13">
        <v>252695.01953756408</v>
      </c>
    </row>
    <row r="70" spans="2:74" x14ac:dyDescent="0.2">
      <c r="B70" s="112">
        <v>16</v>
      </c>
      <c r="C70" s="19">
        <v>43101</v>
      </c>
      <c r="D70" s="13" t="s">
        <v>20</v>
      </c>
      <c r="E70" s="56">
        <f>G70/1000</f>
        <v>224.92947777959694</v>
      </c>
      <c r="F70" s="13">
        <v>1000</v>
      </c>
      <c r="G70" s="56">
        <f>G68-J68</f>
        <v>224929.47777959693</v>
      </c>
      <c r="I70" s="56"/>
      <c r="J70" s="56"/>
      <c r="K70" s="56"/>
      <c r="L70" s="76"/>
      <c r="M70" s="112">
        <v>16</v>
      </c>
      <c r="N70" s="19">
        <v>43101</v>
      </c>
      <c r="O70" s="13" t="s">
        <v>20</v>
      </c>
      <c r="P70" s="56">
        <f>R70/1000</f>
        <v>317.21691141982723</v>
      </c>
      <c r="Q70" s="13">
        <v>1000</v>
      </c>
      <c r="R70" s="56">
        <f>R68-U68</f>
        <v>317216.9114198272</v>
      </c>
      <c r="T70" s="56"/>
      <c r="U70" s="56"/>
      <c r="V70" s="56"/>
      <c r="W70" s="76"/>
      <c r="BC70" s="13">
        <v>43464</v>
      </c>
      <c r="BD70" s="13" t="s">
        <v>22</v>
      </c>
      <c r="BE70" s="13">
        <v>200.77225921110073</v>
      </c>
      <c r="BF70" s="13">
        <v>1000</v>
      </c>
      <c r="BG70" s="13">
        <v>200772.25921110073</v>
      </c>
      <c r="BI70" s="13">
        <v>9560.583771957201</v>
      </c>
      <c r="BJ70" s="13">
        <v>2924.5825758417077</v>
      </c>
      <c r="BK70" s="13">
        <v>6636.0011961154933</v>
      </c>
      <c r="BN70" s="13">
        <v>43464</v>
      </c>
      <c r="BO70" s="13" t="s">
        <v>22</v>
      </c>
      <c r="BP70" s="13">
        <v>265.32977051444226</v>
      </c>
      <c r="BQ70" s="13">
        <v>1000</v>
      </c>
      <c r="BR70" s="13">
        <v>265329.77051444224</v>
      </c>
      <c r="BT70" s="13">
        <v>12634.75097687816</v>
      </c>
      <c r="BU70" s="13">
        <v>0</v>
      </c>
      <c r="BV70" s="13">
        <v>12634.75097687816</v>
      </c>
    </row>
    <row r="71" spans="2:74" x14ac:dyDescent="0.2">
      <c r="B71" s="112"/>
      <c r="C71" s="19">
        <v>43464</v>
      </c>
      <c r="D71" s="13" t="s">
        <v>22</v>
      </c>
      <c r="E71" s="56">
        <f>E70*(1+$D$6)</f>
        <v>242.9238360019647</v>
      </c>
      <c r="F71" s="13">
        <v>1000</v>
      </c>
      <c r="G71" s="56">
        <f>F71*E71</f>
        <v>242923.83600196469</v>
      </c>
      <c r="I71" s="56">
        <f>G71-G70</f>
        <v>17994.358222367766</v>
      </c>
      <c r="J71" s="56">
        <f>I71*$D$5</f>
        <v>5504.4741802222998</v>
      </c>
      <c r="K71" s="56">
        <f>I71-J71</f>
        <v>12489.884042145466</v>
      </c>
      <c r="L71" s="76"/>
      <c r="M71" s="112"/>
      <c r="N71" s="19">
        <v>43464</v>
      </c>
      <c r="O71" s="13" t="s">
        <v>22</v>
      </c>
      <c r="P71" s="56">
        <f>P70*(1+$D$6)</f>
        <v>342.59426433341343</v>
      </c>
      <c r="Q71" s="13">
        <v>1000</v>
      </c>
      <c r="R71" s="56">
        <f>Q71*P71</f>
        <v>342594.26433341345</v>
      </c>
      <c r="T71" s="56">
        <f>R71-R70</f>
        <v>25377.352913586248</v>
      </c>
      <c r="U71" s="56">
        <v>0</v>
      </c>
      <c r="V71" s="56">
        <f>T71-U71</f>
        <v>25377.352913586248</v>
      </c>
      <c r="W71" s="76"/>
    </row>
    <row r="72" spans="2:74" x14ac:dyDescent="0.2">
      <c r="E72" s="56"/>
      <c r="G72" s="56"/>
      <c r="I72" s="56"/>
      <c r="J72" s="56"/>
      <c r="K72" s="56"/>
      <c r="L72" s="76"/>
      <c r="P72" s="56"/>
      <c r="R72" s="56"/>
      <c r="T72" s="56"/>
      <c r="U72" s="56"/>
      <c r="V72" s="56"/>
      <c r="W72" s="76"/>
      <c r="BB72" s="13">
        <v>21</v>
      </c>
      <c r="BC72" s="13">
        <v>43101</v>
      </c>
      <c r="BD72" s="13" t="s">
        <v>20</v>
      </c>
      <c r="BE72" s="13">
        <v>197.84767663525901</v>
      </c>
      <c r="BF72" s="13">
        <v>1000</v>
      </c>
      <c r="BG72" s="13">
        <v>197847.67663525901</v>
      </c>
      <c r="BM72" s="13">
        <v>21</v>
      </c>
      <c r="BN72" s="13">
        <v>43101</v>
      </c>
      <c r="BO72" s="13" t="s">
        <v>20</v>
      </c>
      <c r="BP72" s="13">
        <v>265.32977051444226</v>
      </c>
      <c r="BQ72" s="13">
        <v>1000</v>
      </c>
      <c r="BR72" s="13">
        <v>265329.77051444224</v>
      </c>
    </row>
    <row r="73" spans="2:74" x14ac:dyDescent="0.2">
      <c r="B73" s="112">
        <v>17</v>
      </c>
      <c r="C73" s="19">
        <v>43101</v>
      </c>
      <c r="D73" s="13" t="s">
        <v>20</v>
      </c>
      <c r="E73" s="56">
        <f>G73/1000</f>
        <v>237.41936182174237</v>
      </c>
      <c r="F73" s="13">
        <v>1000</v>
      </c>
      <c r="G73" s="56">
        <f>G71-J71</f>
        <v>237419.36182174238</v>
      </c>
      <c r="I73" s="56"/>
      <c r="J73" s="56"/>
      <c r="K73" s="56"/>
      <c r="L73" s="76"/>
      <c r="M73" s="112">
        <v>17</v>
      </c>
      <c r="N73" s="19">
        <v>43101</v>
      </c>
      <c r="O73" s="13" t="s">
        <v>20</v>
      </c>
      <c r="P73" s="56">
        <f>R73/1000</f>
        <v>342.59426433341343</v>
      </c>
      <c r="Q73" s="13">
        <v>1000</v>
      </c>
      <c r="R73" s="56">
        <f>R71-U71</f>
        <v>342594.26433341345</v>
      </c>
      <c r="T73" s="56"/>
      <c r="U73" s="56"/>
      <c r="V73" s="56"/>
      <c r="W73" s="76"/>
      <c r="BC73" s="13">
        <v>43464</v>
      </c>
      <c r="BD73" s="13" t="s">
        <v>22</v>
      </c>
      <c r="BE73" s="13">
        <v>207.74006046702198</v>
      </c>
      <c r="BF73" s="13">
        <v>1000</v>
      </c>
      <c r="BG73" s="13">
        <v>207740.06046702198</v>
      </c>
      <c r="BI73" s="13">
        <v>9892.3838317629707</v>
      </c>
      <c r="BJ73" s="13">
        <v>3026.0802141362929</v>
      </c>
      <c r="BK73" s="13">
        <v>6866.3036176266778</v>
      </c>
      <c r="BN73" s="13">
        <v>43464</v>
      </c>
      <c r="BO73" s="13" t="s">
        <v>22</v>
      </c>
      <c r="BP73" s="13">
        <v>278.5962590401644</v>
      </c>
      <c r="BQ73" s="13">
        <v>1000</v>
      </c>
      <c r="BR73" s="13">
        <v>278596.25904016441</v>
      </c>
      <c r="BT73" s="13">
        <v>13266.488525722176</v>
      </c>
      <c r="BU73" s="13">
        <v>0</v>
      </c>
      <c r="BV73" s="13">
        <v>13266.488525722176</v>
      </c>
    </row>
    <row r="74" spans="2:74" x14ac:dyDescent="0.2">
      <c r="B74" s="112"/>
      <c r="C74" s="19">
        <v>43464</v>
      </c>
      <c r="D74" s="13" t="s">
        <v>22</v>
      </c>
      <c r="E74" s="56">
        <f>E73*(1+$D$6)</f>
        <v>256.41291076748178</v>
      </c>
      <c r="F74" s="13">
        <v>1000</v>
      </c>
      <c r="G74" s="56">
        <f>F74*E74</f>
        <v>256412.91076748178</v>
      </c>
      <c r="I74" s="56">
        <f>G74-G73</f>
        <v>18993.5489457394</v>
      </c>
      <c r="J74" s="56">
        <f>I74*$D$5</f>
        <v>5810.1266225016825</v>
      </c>
      <c r="K74" s="56">
        <f>I74-J74</f>
        <v>13183.422323237717</v>
      </c>
      <c r="L74" s="76"/>
      <c r="M74" s="112"/>
      <c r="N74" s="19">
        <v>43464</v>
      </c>
      <c r="O74" s="13" t="s">
        <v>22</v>
      </c>
      <c r="P74" s="56">
        <f>P73*(1+$D$6)</f>
        <v>370.00180548008655</v>
      </c>
      <c r="Q74" s="13">
        <v>1000</v>
      </c>
      <c r="R74" s="56">
        <f>Q74*P74</f>
        <v>370001.80548008654</v>
      </c>
      <c r="T74" s="56">
        <f>R74-R73</f>
        <v>27407.541146673087</v>
      </c>
      <c r="U74" s="56">
        <v>0</v>
      </c>
      <c r="V74" s="56">
        <f>T74-U74</f>
        <v>27407.541146673087</v>
      </c>
      <c r="W74" s="76"/>
    </row>
    <row r="75" spans="2:74" x14ac:dyDescent="0.2">
      <c r="E75" s="56"/>
      <c r="G75" s="56"/>
      <c r="I75" s="56"/>
      <c r="J75" s="56"/>
      <c r="K75" s="56"/>
      <c r="L75" s="76"/>
      <c r="P75" s="56"/>
      <c r="R75" s="56"/>
      <c r="T75" s="56"/>
      <c r="U75" s="56"/>
      <c r="V75" s="56"/>
      <c r="W75" s="76"/>
      <c r="BB75" s="13">
        <v>22</v>
      </c>
      <c r="BC75" s="13">
        <v>43101</v>
      </c>
      <c r="BD75" s="13" t="s">
        <v>20</v>
      </c>
      <c r="BE75" s="13">
        <v>204.7139802528857</v>
      </c>
      <c r="BF75" s="13">
        <v>1000</v>
      </c>
      <c r="BG75" s="13">
        <v>204713.9802528857</v>
      </c>
      <c r="BM75" s="13">
        <v>22</v>
      </c>
      <c r="BN75" s="13">
        <v>43101</v>
      </c>
      <c r="BO75" s="13" t="s">
        <v>20</v>
      </c>
      <c r="BP75" s="13">
        <v>278.5962590401644</v>
      </c>
      <c r="BQ75" s="13">
        <v>1000</v>
      </c>
      <c r="BR75" s="13">
        <v>278596.25904016441</v>
      </c>
    </row>
    <row r="76" spans="2:74" x14ac:dyDescent="0.2">
      <c r="B76" s="112">
        <v>18</v>
      </c>
      <c r="C76" s="19">
        <v>43101</v>
      </c>
      <c r="D76" s="13" t="s">
        <v>20</v>
      </c>
      <c r="E76" s="56">
        <f>G76/1000</f>
        <v>250.60278414498009</v>
      </c>
      <c r="F76" s="13">
        <v>1000</v>
      </c>
      <c r="G76" s="56">
        <f>G74-J74</f>
        <v>250602.78414498011</v>
      </c>
      <c r="I76" s="56"/>
      <c r="J76" s="56"/>
      <c r="K76" s="56"/>
      <c r="L76" s="76"/>
      <c r="M76" s="112">
        <v>18</v>
      </c>
      <c r="N76" s="19">
        <v>43101</v>
      </c>
      <c r="O76" s="13" t="s">
        <v>20</v>
      </c>
      <c r="P76" s="56">
        <f>R76/1000</f>
        <v>370.00180548008655</v>
      </c>
      <c r="Q76" s="13">
        <v>1000</v>
      </c>
      <c r="R76" s="56">
        <f>R74-U74</f>
        <v>370001.80548008654</v>
      </c>
      <c r="T76" s="56"/>
      <c r="U76" s="56"/>
      <c r="V76" s="56"/>
      <c r="W76" s="76"/>
      <c r="BC76" s="13">
        <v>43464</v>
      </c>
      <c r="BD76" s="13" t="s">
        <v>22</v>
      </c>
      <c r="BE76" s="13">
        <v>214.94967926552999</v>
      </c>
      <c r="BF76" s="13">
        <v>1000</v>
      </c>
      <c r="BG76" s="13">
        <v>214949.67926552999</v>
      </c>
      <c r="BI76" s="13">
        <v>10235.699012644298</v>
      </c>
      <c r="BJ76" s="13">
        <v>3131.1003279678907</v>
      </c>
      <c r="BK76" s="13">
        <v>7104.5986846764072</v>
      </c>
      <c r="BN76" s="13">
        <v>43464</v>
      </c>
      <c r="BO76" s="13" t="s">
        <v>22</v>
      </c>
      <c r="BP76" s="13">
        <v>292.5260719921726</v>
      </c>
      <c r="BQ76" s="13">
        <v>1000</v>
      </c>
      <c r="BR76" s="13">
        <v>292526.07199217263</v>
      </c>
      <c r="BT76" s="13">
        <v>13929.812952008215</v>
      </c>
      <c r="BU76" s="13">
        <v>0</v>
      </c>
      <c r="BV76" s="13">
        <v>13929.812952008215</v>
      </c>
    </row>
    <row r="77" spans="2:74" x14ac:dyDescent="0.2">
      <c r="B77" s="112"/>
      <c r="C77" s="19">
        <v>43464</v>
      </c>
      <c r="D77" s="13" t="s">
        <v>22</v>
      </c>
      <c r="E77" s="56">
        <f>E76*(1+$D$6)</f>
        <v>270.65100687657849</v>
      </c>
      <c r="F77" s="13">
        <v>1000</v>
      </c>
      <c r="G77" s="56">
        <f>F77*E77</f>
        <v>270651.0068765785</v>
      </c>
      <c r="I77" s="56">
        <f>G77-G76</f>
        <v>20048.222731598391</v>
      </c>
      <c r="J77" s="56">
        <f>I77*$D$5</f>
        <v>6132.7513335959475</v>
      </c>
      <c r="K77" s="56">
        <f>I77-J77</f>
        <v>13915.471398002443</v>
      </c>
      <c r="L77" s="76"/>
      <c r="M77" s="112"/>
      <c r="N77" s="19">
        <v>43464</v>
      </c>
      <c r="O77" s="13" t="s">
        <v>22</v>
      </c>
      <c r="P77" s="56">
        <f>P76*(1+$D$6)</f>
        <v>399.60194991849352</v>
      </c>
      <c r="Q77" s="13">
        <v>1000</v>
      </c>
      <c r="R77" s="56">
        <f>Q77*P77</f>
        <v>399601.94991849351</v>
      </c>
      <c r="T77" s="56">
        <f>R77-R76</f>
        <v>29600.144438406976</v>
      </c>
      <c r="U77" s="56">
        <v>0</v>
      </c>
      <c r="V77" s="56">
        <f>T77-U77</f>
        <v>29600.144438406976</v>
      </c>
      <c r="W77" s="76"/>
    </row>
    <row r="78" spans="2:74" x14ac:dyDescent="0.2">
      <c r="E78" s="56"/>
      <c r="G78" s="56"/>
      <c r="I78" s="56"/>
      <c r="J78" s="56"/>
      <c r="K78" s="56"/>
      <c r="L78" s="76"/>
      <c r="P78" s="56"/>
      <c r="R78" s="56"/>
      <c r="T78" s="56"/>
      <c r="U78" s="56"/>
      <c r="V78" s="56"/>
      <c r="W78" s="76"/>
      <c r="BB78" s="13">
        <v>23</v>
      </c>
      <c r="BC78" s="13">
        <v>43101</v>
      </c>
      <c r="BD78" s="13" t="s">
        <v>20</v>
      </c>
      <c r="BE78" s="13">
        <v>211.81857893756211</v>
      </c>
      <c r="BF78" s="13">
        <v>1000</v>
      </c>
      <c r="BG78" s="13">
        <v>211818.5789375621</v>
      </c>
      <c r="BM78" s="13">
        <v>23</v>
      </c>
      <c r="BN78" s="13">
        <v>43101</v>
      </c>
      <c r="BO78" s="13" t="s">
        <v>20</v>
      </c>
      <c r="BP78" s="13">
        <v>292.5260719921726</v>
      </c>
      <c r="BQ78" s="13">
        <v>1000</v>
      </c>
      <c r="BR78" s="13">
        <v>292526.07199217263</v>
      </c>
    </row>
    <row r="79" spans="2:74" x14ac:dyDescent="0.2">
      <c r="B79" s="112">
        <v>19</v>
      </c>
      <c r="C79" s="19">
        <v>43101</v>
      </c>
      <c r="D79" s="13" t="s">
        <v>20</v>
      </c>
      <c r="E79" s="56">
        <f>G79/1000</f>
        <v>264.51825554298256</v>
      </c>
      <c r="F79" s="13">
        <v>1000</v>
      </c>
      <c r="G79" s="56">
        <f>G77-J77</f>
        <v>264518.25554298254</v>
      </c>
      <c r="I79" s="56"/>
      <c r="J79" s="56"/>
      <c r="K79" s="56"/>
      <c r="L79" s="76"/>
      <c r="M79" s="112">
        <v>19</v>
      </c>
      <c r="N79" s="19">
        <v>43101</v>
      </c>
      <c r="O79" s="13" t="s">
        <v>20</v>
      </c>
      <c r="P79" s="56">
        <f>R79/1000</f>
        <v>399.60194991849352</v>
      </c>
      <c r="Q79" s="13">
        <v>1000</v>
      </c>
      <c r="R79" s="56">
        <f>R77-U77</f>
        <v>399601.94991849351</v>
      </c>
      <c r="T79" s="56"/>
      <c r="U79" s="56"/>
      <c r="V79" s="56"/>
      <c r="W79" s="76"/>
      <c r="BC79" s="13">
        <v>43464</v>
      </c>
      <c r="BD79" s="13" t="s">
        <v>22</v>
      </c>
      <c r="BE79" s="13">
        <v>222.40950788444022</v>
      </c>
      <c r="BF79" s="13">
        <v>1000</v>
      </c>
      <c r="BG79" s="13">
        <v>222409.50788444022</v>
      </c>
      <c r="BI79" s="13">
        <v>10590.928946878121</v>
      </c>
      <c r="BJ79" s="13">
        <v>3239.7651648500173</v>
      </c>
      <c r="BK79" s="13">
        <v>7351.163782028103</v>
      </c>
      <c r="BN79" s="13">
        <v>43464</v>
      </c>
      <c r="BO79" s="13" t="s">
        <v>22</v>
      </c>
      <c r="BP79" s="13">
        <v>307.15237559178127</v>
      </c>
      <c r="BQ79" s="13">
        <v>1000</v>
      </c>
      <c r="BR79" s="13">
        <v>307152.37559178128</v>
      </c>
      <c r="BT79" s="13">
        <v>14626.303599608655</v>
      </c>
      <c r="BU79" s="13">
        <v>0</v>
      </c>
      <c r="BV79" s="13">
        <v>14626.303599608655</v>
      </c>
    </row>
    <row r="80" spans="2:74" x14ac:dyDescent="0.2">
      <c r="B80" s="112"/>
      <c r="C80" s="19">
        <v>43464</v>
      </c>
      <c r="D80" s="13" t="s">
        <v>22</v>
      </c>
      <c r="E80" s="56">
        <f>E79*(1+$D$6)</f>
        <v>285.67971598642117</v>
      </c>
      <c r="F80" s="13">
        <v>1000</v>
      </c>
      <c r="G80" s="56">
        <f>F80*E80</f>
        <v>285679.71598642116</v>
      </c>
      <c r="I80" s="56">
        <f>G80-G79</f>
        <v>21161.460443438613</v>
      </c>
      <c r="J80" s="56">
        <f>I80*$D$5</f>
        <v>6473.290749647872</v>
      </c>
      <c r="K80" s="56">
        <f>I80-J80</f>
        <v>14688.16969379074</v>
      </c>
      <c r="L80" s="76"/>
      <c r="M80" s="112"/>
      <c r="N80" s="19">
        <v>43464</v>
      </c>
      <c r="O80" s="13" t="s">
        <v>22</v>
      </c>
      <c r="P80" s="56">
        <f>P79*(1+$D$6)</f>
        <v>431.57010591197303</v>
      </c>
      <c r="Q80" s="13">
        <v>1000</v>
      </c>
      <c r="R80" s="56">
        <f>Q80*P80</f>
        <v>431570.10591197305</v>
      </c>
      <c r="T80" s="56">
        <f>R80-R79</f>
        <v>31968.155993479537</v>
      </c>
      <c r="U80" s="56">
        <v>0</v>
      </c>
      <c r="V80" s="56">
        <f>T80-U80</f>
        <v>31968.155993479537</v>
      </c>
      <c r="W80" s="76"/>
    </row>
    <row r="81" spans="2:74" x14ac:dyDescent="0.2">
      <c r="E81" s="56"/>
      <c r="G81" s="56"/>
      <c r="I81" s="56"/>
      <c r="J81" s="56"/>
      <c r="K81" s="56"/>
      <c r="L81" s="76"/>
      <c r="P81" s="56"/>
      <c r="R81" s="56"/>
      <c r="T81" s="56"/>
      <c r="U81" s="56"/>
      <c r="V81" s="56"/>
      <c r="W81" s="76"/>
      <c r="BB81" s="13">
        <v>24</v>
      </c>
      <c r="BC81" s="13">
        <v>43101</v>
      </c>
      <c r="BD81" s="13" t="s">
        <v>20</v>
      </c>
      <c r="BE81" s="13">
        <v>219.1697427195902</v>
      </c>
      <c r="BF81" s="13">
        <v>1000</v>
      </c>
      <c r="BG81" s="13">
        <v>219169.7427195902</v>
      </c>
      <c r="BM81" s="13">
        <v>24</v>
      </c>
      <c r="BN81" s="13">
        <v>43101</v>
      </c>
      <c r="BO81" s="13" t="s">
        <v>20</v>
      </c>
      <c r="BP81" s="13">
        <v>307.15237559178127</v>
      </c>
      <c r="BQ81" s="13">
        <v>1000</v>
      </c>
      <c r="BR81" s="13">
        <v>307152.37559178128</v>
      </c>
    </row>
    <row r="82" spans="2:74" x14ac:dyDescent="0.2">
      <c r="B82" s="112">
        <v>20</v>
      </c>
      <c r="C82" s="19">
        <v>43101</v>
      </c>
      <c r="D82" s="13" t="s">
        <v>20</v>
      </c>
      <c r="E82" s="56">
        <f>G82/1000</f>
        <v>279.20642523677327</v>
      </c>
      <c r="F82" s="13">
        <v>1000</v>
      </c>
      <c r="G82" s="56">
        <f>G80-J80</f>
        <v>279206.42523677327</v>
      </c>
      <c r="I82" s="56"/>
      <c r="J82" s="56"/>
      <c r="K82" s="56"/>
      <c r="L82" s="76"/>
      <c r="M82" s="112">
        <v>20</v>
      </c>
      <c r="N82" s="19">
        <v>43101</v>
      </c>
      <c r="O82" s="13" t="s">
        <v>20</v>
      </c>
      <c r="P82" s="56">
        <f>R82/1000</f>
        <v>431.57010591197303</v>
      </c>
      <c r="Q82" s="13">
        <v>1000</v>
      </c>
      <c r="R82" s="56">
        <f>R80-U80</f>
        <v>431570.10591197305</v>
      </c>
      <c r="T82" s="56"/>
      <c r="U82" s="56"/>
      <c r="V82" s="56"/>
      <c r="W82" s="76"/>
      <c r="BC82" s="13">
        <v>43464</v>
      </c>
      <c r="BD82" s="13" t="s">
        <v>22</v>
      </c>
      <c r="BE82" s="13">
        <v>230.12822985556971</v>
      </c>
      <c r="BF82" s="13">
        <v>1000</v>
      </c>
      <c r="BG82" s="13">
        <v>230128.22985556972</v>
      </c>
      <c r="BI82" s="13">
        <v>10958.487135979522</v>
      </c>
      <c r="BJ82" s="13">
        <v>3352.2012148961358</v>
      </c>
      <c r="BK82" s="13">
        <v>7606.2859210833858</v>
      </c>
      <c r="BN82" s="13">
        <v>43464</v>
      </c>
      <c r="BO82" s="13" t="s">
        <v>22</v>
      </c>
      <c r="BP82" s="13">
        <v>322.50999437137034</v>
      </c>
      <c r="BQ82" s="13">
        <v>1000</v>
      </c>
      <c r="BR82" s="13">
        <v>322509.99437137035</v>
      </c>
      <c r="BT82" s="13">
        <v>15357.618779589073</v>
      </c>
      <c r="BU82" s="13">
        <v>0</v>
      </c>
      <c r="BV82" s="13">
        <v>15357.618779589073</v>
      </c>
    </row>
    <row r="83" spans="2:74" x14ac:dyDescent="0.2">
      <c r="B83" s="112"/>
      <c r="C83" s="19">
        <v>43464</v>
      </c>
      <c r="D83" s="13" t="s">
        <v>22</v>
      </c>
      <c r="E83" s="56">
        <f>E82*(1+$D$6)</f>
        <v>301.54293925571517</v>
      </c>
      <c r="F83" s="13">
        <v>1000</v>
      </c>
      <c r="G83" s="56">
        <f>F83*E83</f>
        <v>301542.93925571517</v>
      </c>
      <c r="I83" s="56">
        <f>G83-G82</f>
        <v>22336.514018941903</v>
      </c>
      <c r="J83" s="56">
        <f>I83*$D$5</f>
        <v>6832.7396383943287</v>
      </c>
      <c r="K83" s="56">
        <f>I83-J83</f>
        <v>15503.774380547575</v>
      </c>
      <c r="L83" s="76"/>
      <c r="M83" s="112"/>
      <c r="N83" s="19">
        <v>43464</v>
      </c>
      <c r="O83" s="13" t="s">
        <v>22</v>
      </c>
      <c r="P83" s="56">
        <f>P82*(1+$D$6)</f>
        <v>466.09571438493089</v>
      </c>
      <c r="Q83" s="13">
        <v>1000</v>
      </c>
      <c r="R83" s="56">
        <f>Q83*P83</f>
        <v>466095.71438493091</v>
      </c>
      <c r="T83" s="56">
        <f>R83-R82</f>
        <v>34525.608472957858</v>
      </c>
      <c r="U83" s="56">
        <v>0</v>
      </c>
      <c r="V83" s="56">
        <f>T83-U83</f>
        <v>34525.608472957858</v>
      </c>
      <c r="W83" s="76"/>
    </row>
    <row r="84" spans="2:74" x14ac:dyDescent="0.2">
      <c r="E84" s="56"/>
      <c r="G84" s="56"/>
      <c r="I84" s="56"/>
      <c r="J84" s="56"/>
      <c r="K84" s="56"/>
      <c r="L84" s="76"/>
      <c r="P84" s="56"/>
      <c r="R84" s="56"/>
      <c r="T84" s="56"/>
      <c r="U84" s="56"/>
      <c r="V84" s="56"/>
      <c r="W84" s="76"/>
      <c r="BB84" s="13">
        <v>25</v>
      </c>
      <c r="BC84" s="13">
        <v>43101</v>
      </c>
      <c r="BD84" s="13" t="s">
        <v>20</v>
      </c>
      <c r="BE84" s="13">
        <v>226.77602864067359</v>
      </c>
      <c r="BF84" s="13">
        <v>1000</v>
      </c>
      <c r="BG84" s="13">
        <v>226776.02864067358</v>
      </c>
      <c r="BM84" s="13">
        <v>25</v>
      </c>
      <c r="BN84" s="13">
        <v>43101</v>
      </c>
      <c r="BO84" s="13" t="s">
        <v>20</v>
      </c>
      <c r="BP84" s="13">
        <v>322.50999437137034</v>
      </c>
      <c r="BQ84" s="13">
        <v>1000</v>
      </c>
      <c r="BR84" s="13">
        <v>322509.99437137035</v>
      </c>
    </row>
    <row r="85" spans="2:74" x14ac:dyDescent="0.2">
      <c r="B85" s="112">
        <v>21</v>
      </c>
      <c r="C85" s="19">
        <v>43101</v>
      </c>
      <c r="D85" s="13" t="s">
        <v>20</v>
      </c>
      <c r="E85" s="56">
        <f>G85/1000</f>
        <v>294.71019961732082</v>
      </c>
      <c r="F85" s="13">
        <v>1000</v>
      </c>
      <c r="G85" s="56">
        <f>G83-J83</f>
        <v>294710.19961732085</v>
      </c>
      <c r="I85" s="56"/>
      <c r="J85" s="56"/>
      <c r="K85" s="56"/>
      <c r="L85" s="76"/>
      <c r="M85" s="112">
        <v>21</v>
      </c>
      <c r="N85" s="19">
        <v>43101</v>
      </c>
      <c r="O85" s="13" t="s">
        <v>20</v>
      </c>
      <c r="P85" s="56">
        <f>R85/1000</f>
        <v>466.09571438493089</v>
      </c>
      <c r="Q85" s="13">
        <v>1000</v>
      </c>
      <c r="R85" s="56">
        <f>R83-U83</f>
        <v>466095.71438493091</v>
      </c>
      <c r="T85" s="56"/>
      <c r="U85" s="56"/>
      <c r="V85" s="56"/>
      <c r="W85" s="76"/>
      <c r="BC85" s="13">
        <v>43464</v>
      </c>
      <c r="BD85" s="13" t="s">
        <v>22</v>
      </c>
      <c r="BE85" s="13">
        <v>238.11483007270726</v>
      </c>
      <c r="BF85" s="13">
        <v>1000</v>
      </c>
      <c r="BG85" s="13">
        <v>238114.83007270726</v>
      </c>
      <c r="BI85" s="13">
        <v>11338.801432033681</v>
      </c>
      <c r="BJ85" s="13">
        <v>3468.5393580591031</v>
      </c>
      <c r="BK85" s="13">
        <v>7870.262073974578</v>
      </c>
      <c r="BN85" s="13">
        <v>43464</v>
      </c>
      <c r="BO85" s="13" t="s">
        <v>22</v>
      </c>
      <c r="BP85" s="13">
        <v>338.63549408993885</v>
      </c>
      <c r="BQ85" s="13">
        <v>1000</v>
      </c>
      <c r="BR85" s="13">
        <v>338635.49408993882</v>
      </c>
      <c r="BT85" s="13">
        <v>16125.499718568462</v>
      </c>
      <c r="BU85" s="13">
        <v>0</v>
      </c>
      <c r="BV85" s="13">
        <v>16125.499718568462</v>
      </c>
    </row>
    <row r="86" spans="2:74" x14ac:dyDescent="0.2">
      <c r="B86" s="112"/>
      <c r="C86" s="19">
        <v>43464</v>
      </c>
      <c r="D86" s="13" t="s">
        <v>22</v>
      </c>
      <c r="E86" s="56">
        <f>E85*(1+$D$6)</f>
        <v>318.2870155867065</v>
      </c>
      <c r="F86" s="13">
        <v>1000</v>
      </c>
      <c r="G86" s="56">
        <f>F86*E86</f>
        <v>318287.01558670652</v>
      </c>
      <c r="I86" s="56">
        <f>G86-G85</f>
        <v>23576.815969385672</v>
      </c>
      <c r="J86" s="56">
        <f>I86*$D$5</f>
        <v>7212.1480050350774</v>
      </c>
      <c r="K86" s="56">
        <f>I86-J86</f>
        <v>16364.667964350596</v>
      </c>
      <c r="L86" s="76"/>
      <c r="M86" s="112"/>
      <c r="N86" s="19">
        <v>43464</v>
      </c>
      <c r="O86" s="13" t="s">
        <v>22</v>
      </c>
      <c r="P86" s="56">
        <f>P85*(1+$D$6)</f>
        <v>503.38337153572542</v>
      </c>
      <c r="Q86" s="13">
        <v>1000</v>
      </c>
      <c r="R86" s="56">
        <f>Q86*P86</f>
        <v>503383.37153572543</v>
      </c>
      <c r="T86" s="56">
        <f>R86-R85</f>
        <v>37287.657150794519</v>
      </c>
      <c r="U86" s="56">
        <v>0</v>
      </c>
      <c r="V86" s="56">
        <f>T86-U86</f>
        <v>37287.657150794519</v>
      </c>
      <c r="W86" s="76"/>
    </row>
    <row r="87" spans="2:74" x14ac:dyDescent="0.2">
      <c r="E87" s="56"/>
      <c r="G87" s="56"/>
      <c r="I87" s="56"/>
      <c r="J87" s="56"/>
      <c r="K87" s="56"/>
      <c r="L87" s="76"/>
      <c r="P87" s="56"/>
      <c r="R87" s="56"/>
      <c r="T87" s="56"/>
      <c r="U87" s="56"/>
      <c r="V87" s="56"/>
      <c r="W87" s="76"/>
      <c r="BB87" s="13">
        <v>26</v>
      </c>
      <c r="BC87" s="13">
        <v>43101</v>
      </c>
      <c r="BD87" s="13" t="s">
        <v>20</v>
      </c>
      <c r="BE87" s="13">
        <v>234.64629071464816</v>
      </c>
      <c r="BF87" s="13">
        <v>1000</v>
      </c>
      <c r="BG87" s="13">
        <v>234646.29071464817</v>
      </c>
      <c r="BM87" s="13">
        <v>26</v>
      </c>
      <c r="BN87" s="13">
        <v>43101</v>
      </c>
      <c r="BO87" s="13" t="s">
        <v>20</v>
      </c>
      <c r="BP87" s="13">
        <v>338.63549408993879</v>
      </c>
      <c r="BQ87" s="13">
        <v>1000</v>
      </c>
      <c r="BR87" s="13">
        <v>338635.49408993882</v>
      </c>
    </row>
    <row r="88" spans="2:74" x14ac:dyDescent="0.2">
      <c r="B88" s="112">
        <v>22</v>
      </c>
      <c r="C88" s="19">
        <v>43101</v>
      </c>
      <c r="D88" s="13" t="s">
        <v>20</v>
      </c>
      <c r="E88" s="56">
        <f>G88/1000</f>
        <v>311.07486758167147</v>
      </c>
      <c r="F88" s="13">
        <v>1000</v>
      </c>
      <c r="G88" s="56">
        <f>G86-J86</f>
        <v>311074.86758167145</v>
      </c>
      <c r="I88" s="56"/>
      <c r="J88" s="56"/>
      <c r="K88" s="56"/>
      <c r="L88" s="76"/>
      <c r="M88" s="112">
        <v>22</v>
      </c>
      <c r="N88" s="19">
        <v>43101</v>
      </c>
      <c r="O88" s="13" t="s">
        <v>20</v>
      </c>
      <c r="P88" s="56">
        <f>R88/1000</f>
        <v>503.38337153572542</v>
      </c>
      <c r="Q88" s="13">
        <v>1000</v>
      </c>
      <c r="R88" s="56">
        <f>R86-U86</f>
        <v>503383.37153572543</v>
      </c>
      <c r="T88" s="56"/>
      <c r="U88" s="56"/>
      <c r="V88" s="56"/>
      <c r="W88" s="76"/>
      <c r="BC88" s="13">
        <v>43464</v>
      </c>
      <c r="BD88" s="13" t="s">
        <v>22</v>
      </c>
      <c r="BE88" s="13">
        <v>246.37860525038059</v>
      </c>
      <c r="BF88" s="13">
        <v>1000</v>
      </c>
      <c r="BG88" s="13">
        <v>246378.60525038058</v>
      </c>
      <c r="BI88" s="13">
        <v>11732.31453573241</v>
      </c>
      <c r="BJ88" s="13">
        <v>3588.9150164805442</v>
      </c>
      <c r="BK88" s="13">
        <v>8143.399519251866</v>
      </c>
      <c r="BN88" s="13">
        <v>43464</v>
      </c>
      <c r="BO88" s="13" t="s">
        <v>22</v>
      </c>
      <c r="BP88" s="13">
        <v>355.56726879443573</v>
      </c>
      <c r="BQ88" s="13">
        <v>1000</v>
      </c>
      <c r="BR88" s="13">
        <v>355567.26879443572</v>
      </c>
      <c r="BT88" s="13">
        <v>16931.7747044969</v>
      </c>
      <c r="BU88" s="13">
        <v>0</v>
      </c>
      <c r="BV88" s="13">
        <v>16931.7747044969</v>
      </c>
    </row>
    <row r="89" spans="2:74" x14ac:dyDescent="0.2">
      <c r="B89" s="112"/>
      <c r="C89" s="19">
        <v>43464</v>
      </c>
      <c r="D89" s="13" t="s">
        <v>22</v>
      </c>
      <c r="E89" s="56">
        <f>E88*(1+$D$6)</f>
        <v>335.96085698820519</v>
      </c>
      <c r="F89" s="13">
        <v>1000</v>
      </c>
      <c r="G89" s="56">
        <f>F89*E89</f>
        <v>335960.85698820517</v>
      </c>
      <c r="I89" s="56">
        <f>G89-G88</f>
        <v>24885.989406533714</v>
      </c>
      <c r="J89" s="56">
        <f>I89*$D$5</f>
        <v>7612.6241594586636</v>
      </c>
      <c r="K89" s="56">
        <f>I89-J89</f>
        <v>17273.365247075049</v>
      </c>
      <c r="L89" s="76"/>
      <c r="M89" s="112"/>
      <c r="N89" s="19">
        <v>43464</v>
      </c>
      <c r="O89" s="13" t="s">
        <v>22</v>
      </c>
      <c r="P89" s="56">
        <f>P88*(1+$D$6)</f>
        <v>543.65404125858345</v>
      </c>
      <c r="Q89" s="13">
        <v>1000</v>
      </c>
      <c r="R89" s="56">
        <f>Q89*P89</f>
        <v>543654.04125858343</v>
      </c>
      <c r="T89" s="56">
        <f>R89-R88</f>
        <v>40270.669722858001</v>
      </c>
      <c r="U89" s="56">
        <v>0</v>
      </c>
      <c r="V89" s="56">
        <f>T89-U89</f>
        <v>40270.669722858001</v>
      </c>
      <c r="W89" s="76"/>
    </row>
    <row r="90" spans="2:74" x14ac:dyDescent="0.2">
      <c r="E90" s="56"/>
      <c r="G90" s="56"/>
      <c r="I90" s="56"/>
      <c r="J90" s="56"/>
      <c r="K90" s="56"/>
      <c r="L90" s="76"/>
      <c r="P90" s="56"/>
      <c r="R90" s="56"/>
      <c r="T90" s="56"/>
      <c r="U90" s="56"/>
      <c r="V90" s="56"/>
      <c r="W90" s="76"/>
      <c r="BB90" s="13">
        <v>27</v>
      </c>
      <c r="BC90" s="13">
        <v>43101</v>
      </c>
      <c r="BD90" s="13" t="s">
        <v>20</v>
      </c>
      <c r="BE90" s="13">
        <v>242.78969023390005</v>
      </c>
      <c r="BF90" s="13">
        <v>1000</v>
      </c>
      <c r="BG90" s="13">
        <v>242789.69023390004</v>
      </c>
      <c r="BM90" s="13">
        <v>27</v>
      </c>
      <c r="BN90" s="13">
        <v>43101</v>
      </c>
      <c r="BO90" s="13" t="s">
        <v>20</v>
      </c>
      <c r="BP90" s="13">
        <v>355.56726879443573</v>
      </c>
      <c r="BQ90" s="13">
        <v>1000</v>
      </c>
      <c r="BR90" s="13">
        <v>355567.26879443572</v>
      </c>
    </row>
    <row r="91" spans="2:74" x14ac:dyDescent="0.2">
      <c r="B91" s="112">
        <v>23</v>
      </c>
      <c r="C91" s="19">
        <v>43101</v>
      </c>
      <c r="D91" s="13" t="s">
        <v>20</v>
      </c>
      <c r="E91" s="56">
        <f>G91/1000</f>
        <v>328.34823282874652</v>
      </c>
      <c r="F91" s="13">
        <v>1000</v>
      </c>
      <c r="G91" s="56">
        <f>G89-J89</f>
        <v>328348.23282874649</v>
      </c>
      <c r="I91" s="56"/>
      <c r="J91" s="56"/>
      <c r="K91" s="56"/>
      <c r="L91" s="76"/>
      <c r="M91" s="112">
        <v>23</v>
      </c>
      <c r="N91" s="19">
        <v>43101</v>
      </c>
      <c r="O91" s="13" t="s">
        <v>20</v>
      </c>
      <c r="P91" s="56">
        <f>R91/1000</f>
        <v>543.65404125858345</v>
      </c>
      <c r="Q91" s="13">
        <v>1000</v>
      </c>
      <c r="R91" s="56">
        <f>R89-U89</f>
        <v>543654.04125858343</v>
      </c>
      <c r="T91" s="56"/>
      <c r="U91" s="56"/>
      <c r="V91" s="56"/>
      <c r="W91" s="76"/>
      <c r="BC91" s="13">
        <v>43464</v>
      </c>
      <c r="BD91" s="13" t="s">
        <v>22</v>
      </c>
      <c r="BE91" s="13">
        <v>254.92917474559505</v>
      </c>
      <c r="BF91" s="13">
        <v>1000</v>
      </c>
      <c r="BG91" s="13">
        <v>254929.17474559505</v>
      </c>
      <c r="BI91" s="13">
        <v>12139.484511695016</v>
      </c>
      <c r="BJ91" s="13">
        <v>3713.4683121275057</v>
      </c>
      <c r="BK91" s="13">
        <v>8426.0161995675116</v>
      </c>
      <c r="BN91" s="13">
        <v>43464</v>
      </c>
      <c r="BO91" s="13" t="s">
        <v>22</v>
      </c>
      <c r="BP91" s="13">
        <v>373.34563223415756</v>
      </c>
      <c r="BQ91" s="13">
        <v>1000</v>
      </c>
      <c r="BR91" s="13">
        <v>373345.63223415759</v>
      </c>
      <c r="BT91" s="13">
        <v>17778.36343972187</v>
      </c>
      <c r="BU91" s="13">
        <v>0</v>
      </c>
      <c r="BV91" s="13">
        <v>17778.36343972187</v>
      </c>
    </row>
    <row r="92" spans="2:74" x14ac:dyDescent="0.2">
      <c r="B92" s="112"/>
      <c r="C92" s="19">
        <v>43464</v>
      </c>
      <c r="D92" s="13" t="s">
        <v>22</v>
      </c>
      <c r="E92" s="56">
        <f>E91*(1+$D$6)</f>
        <v>354.61609145504627</v>
      </c>
      <c r="F92" s="13">
        <v>1000</v>
      </c>
      <c r="G92" s="56">
        <f>F92*E92</f>
        <v>354616.09145504626</v>
      </c>
      <c r="I92" s="56">
        <f>G92-G91</f>
        <v>26267.858626299771</v>
      </c>
      <c r="J92" s="56">
        <f>I92*$D$5</f>
        <v>8035.3379537850997</v>
      </c>
      <c r="K92" s="56">
        <f>I92-J92</f>
        <v>18232.520672514671</v>
      </c>
      <c r="L92" s="76"/>
      <c r="M92" s="112"/>
      <c r="N92" s="19">
        <v>43464</v>
      </c>
      <c r="O92" s="13" t="s">
        <v>22</v>
      </c>
      <c r="P92" s="56">
        <f>P91*(1+$D$6)</f>
        <v>587.14636455927018</v>
      </c>
      <c r="Q92" s="13">
        <v>1000</v>
      </c>
      <c r="R92" s="56">
        <f>Q92*P92</f>
        <v>587146.36455927021</v>
      </c>
      <c r="T92" s="56">
        <f>R92-R91</f>
        <v>43492.323300686781</v>
      </c>
      <c r="U92" s="56">
        <v>0</v>
      </c>
      <c r="V92" s="56">
        <f>T92-U92</f>
        <v>43492.323300686781</v>
      </c>
      <c r="W92" s="76"/>
    </row>
    <row r="93" spans="2:74" x14ac:dyDescent="0.2">
      <c r="E93" s="56"/>
      <c r="G93" s="56"/>
      <c r="I93" s="56"/>
      <c r="J93" s="56"/>
      <c r="K93" s="56"/>
      <c r="L93" s="76"/>
      <c r="P93" s="56"/>
      <c r="R93" s="56"/>
      <c r="T93" s="56"/>
      <c r="U93" s="56"/>
      <c r="V93" s="56"/>
      <c r="W93" s="76"/>
      <c r="BB93" s="13">
        <v>28</v>
      </c>
      <c r="BC93" s="13">
        <v>43101</v>
      </c>
      <c r="BD93" s="13" t="s">
        <v>20</v>
      </c>
      <c r="BE93" s="13">
        <v>251.21570643346755</v>
      </c>
      <c r="BF93" s="13">
        <v>1000</v>
      </c>
      <c r="BG93" s="13">
        <v>251215.70643346754</v>
      </c>
      <c r="BM93" s="13">
        <v>28</v>
      </c>
      <c r="BN93" s="13">
        <v>43101</v>
      </c>
      <c r="BO93" s="13" t="s">
        <v>20</v>
      </c>
      <c r="BP93" s="13">
        <v>373.34563223415756</v>
      </c>
      <c r="BQ93" s="13">
        <v>1000</v>
      </c>
      <c r="BR93" s="13">
        <v>373345.63223415759</v>
      </c>
    </row>
    <row r="94" spans="2:74" x14ac:dyDescent="0.2">
      <c r="B94" s="112">
        <v>24</v>
      </c>
      <c r="C94" s="19">
        <v>43101</v>
      </c>
      <c r="D94" s="13" t="s">
        <v>20</v>
      </c>
      <c r="E94" s="56">
        <f>G94/1000</f>
        <v>346.5807535012612</v>
      </c>
      <c r="F94" s="13">
        <v>1000</v>
      </c>
      <c r="G94" s="56">
        <f>G92-J92</f>
        <v>346580.75350126118</v>
      </c>
      <c r="I94" s="56"/>
      <c r="J94" s="56"/>
      <c r="K94" s="56"/>
      <c r="L94" s="76"/>
      <c r="M94" s="112">
        <v>24</v>
      </c>
      <c r="N94" s="19">
        <v>43101</v>
      </c>
      <c r="O94" s="13" t="s">
        <v>20</v>
      </c>
      <c r="P94" s="56">
        <f>R94/1000</f>
        <v>587.14636455927018</v>
      </c>
      <c r="Q94" s="13">
        <v>1000</v>
      </c>
      <c r="R94" s="56">
        <f>R92-U92</f>
        <v>587146.36455927021</v>
      </c>
      <c r="T94" s="56"/>
      <c r="U94" s="56"/>
      <c r="V94" s="56"/>
      <c r="W94" s="76"/>
      <c r="BC94" s="13">
        <v>43464</v>
      </c>
      <c r="BD94" s="13" t="s">
        <v>22</v>
      </c>
      <c r="BE94" s="13">
        <v>263.77649175514091</v>
      </c>
      <c r="BF94" s="13">
        <v>1000</v>
      </c>
      <c r="BG94" s="13">
        <v>263776.49175514089</v>
      </c>
      <c r="BI94" s="13">
        <v>12560.785321673349</v>
      </c>
      <c r="BJ94" s="13">
        <v>3842.3442298998775</v>
      </c>
      <c r="BK94" s="13">
        <v>8718.4410917734713</v>
      </c>
      <c r="BN94" s="13">
        <v>43464</v>
      </c>
      <c r="BO94" s="13" t="s">
        <v>22</v>
      </c>
      <c r="BP94" s="13">
        <v>392.01291384586546</v>
      </c>
      <c r="BQ94" s="13">
        <v>1000</v>
      </c>
      <c r="BR94" s="13">
        <v>392012.91384586546</v>
      </c>
      <c r="BT94" s="13">
        <v>18667.281611707876</v>
      </c>
      <c r="BU94" s="13">
        <v>0</v>
      </c>
      <c r="BV94" s="13">
        <v>18667.281611707876</v>
      </c>
    </row>
    <row r="95" spans="2:74" x14ac:dyDescent="0.2">
      <c r="B95" s="112"/>
      <c r="C95" s="19">
        <v>43464</v>
      </c>
      <c r="D95" s="13" t="s">
        <v>22</v>
      </c>
      <c r="E95" s="56">
        <f>E94*(1+$D$6)</f>
        <v>374.30721378136212</v>
      </c>
      <c r="F95" s="13">
        <v>1000</v>
      </c>
      <c r="G95" s="56">
        <f>F95*E95</f>
        <v>374307.21378136211</v>
      </c>
      <c r="I95" s="56">
        <f>G95-G94</f>
        <v>27726.460280100931</v>
      </c>
      <c r="J95" s="56">
        <f>I95*$D$5</f>
        <v>8481.5241996828754</v>
      </c>
      <c r="K95" s="56">
        <f>I95-J95</f>
        <v>19244.936080418054</v>
      </c>
      <c r="L95" s="76"/>
      <c r="M95" s="112"/>
      <c r="N95" s="19">
        <v>43464</v>
      </c>
      <c r="O95" s="13" t="s">
        <v>22</v>
      </c>
      <c r="P95" s="56">
        <f>P94*(1+$D$6)</f>
        <v>634.11807372401188</v>
      </c>
      <c r="Q95" s="13">
        <v>1000</v>
      </c>
      <c r="R95" s="56">
        <f>Q95*P95</f>
        <v>634118.07372401189</v>
      </c>
      <c r="T95" s="56">
        <f>R95-R94</f>
        <v>46971.709164741682</v>
      </c>
      <c r="U95" s="56">
        <v>0</v>
      </c>
      <c r="V95" s="56">
        <f>T95-U95</f>
        <v>46971.709164741682</v>
      </c>
      <c r="W95" s="76"/>
    </row>
    <row r="96" spans="2:74" x14ac:dyDescent="0.2">
      <c r="E96" s="56"/>
      <c r="G96" s="56"/>
      <c r="I96" s="56"/>
      <c r="J96" s="56"/>
      <c r="K96" s="56"/>
      <c r="L96" s="76"/>
      <c r="P96" s="56"/>
      <c r="R96" s="56"/>
      <c r="T96" s="56"/>
      <c r="U96" s="56"/>
      <c r="V96" s="56"/>
      <c r="W96" s="76"/>
      <c r="BB96" s="13">
        <v>29</v>
      </c>
      <c r="BC96" s="13">
        <v>43101</v>
      </c>
      <c r="BD96" s="13" t="s">
        <v>20</v>
      </c>
      <c r="BE96" s="13">
        <v>259.93414752524103</v>
      </c>
      <c r="BF96" s="13">
        <v>1000</v>
      </c>
      <c r="BG96" s="13">
        <v>259934.14752524102</v>
      </c>
      <c r="BM96" s="13">
        <v>29</v>
      </c>
      <c r="BN96" s="13">
        <v>43101</v>
      </c>
      <c r="BO96" s="13" t="s">
        <v>20</v>
      </c>
      <c r="BP96" s="13">
        <v>392.01291384586546</v>
      </c>
      <c r="BQ96" s="13">
        <v>1000</v>
      </c>
      <c r="BR96" s="13">
        <v>392012.91384586546</v>
      </c>
    </row>
    <row r="97" spans="2:74" x14ac:dyDescent="0.2">
      <c r="B97" s="112">
        <v>25</v>
      </c>
      <c r="C97" s="19">
        <v>43101</v>
      </c>
      <c r="D97" s="13" t="s">
        <v>20</v>
      </c>
      <c r="E97" s="56">
        <f>G97/1000</f>
        <v>365.82568958167923</v>
      </c>
      <c r="F97" s="13">
        <v>1000</v>
      </c>
      <c r="G97" s="56">
        <f>G95-J95</f>
        <v>365825.68958167924</v>
      </c>
      <c r="I97" s="56"/>
      <c r="J97" s="56"/>
      <c r="K97" s="56"/>
      <c r="L97" s="76"/>
      <c r="M97" s="112">
        <v>25</v>
      </c>
      <c r="N97" s="19">
        <v>43101</v>
      </c>
      <c r="O97" s="13" t="s">
        <v>20</v>
      </c>
      <c r="P97" s="56">
        <f>R97/1000</f>
        <v>634.11807372401188</v>
      </c>
      <c r="Q97" s="13">
        <v>1000</v>
      </c>
      <c r="R97" s="56">
        <f>R95-U95</f>
        <v>634118.07372401189</v>
      </c>
      <c r="T97" s="56"/>
      <c r="U97" s="56"/>
      <c r="V97" s="56"/>
      <c r="W97" s="76"/>
      <c r="BC97" s="13">
        <v>43464</v>
      </c>
      <c r="BD97" s="13" t="s">
        <v>22</v>
      </c>
      <c r="BE97" s="13">
        <v>272.9308549015031</v>
      </c>
      <c r="BF97" s="13">
        <v>1000</v>
      </c>
      <c r="BG97" s="13">
        <v>272930.85490150307</v>
      </c>
      <c r="BI97" s="13">
        <v>12996.707376262057</v>
      </c>
      <c r="BJ97" s="13">
        <v>3975.6927863985634</v>
      </c>
      <c r="BK97" s="13">
        <v>9021.0145898634928</v>
      </c>
      <c r="BN97" s="13">
        <v>43464</v>
      </c>
      <c r="BO97" s="13" t="s">
        <v>22</v>
      </c>
      <c r="BP97" s="13">
        <v>411.61355953815877</v>
      </c>
      <c r="BQ97" s="13">
        <v>1000</v>
      </c>
      <c r="BR97" s="13">
        <v>411613.55953815876</v>
      </c>
      <c r="BT97" s="13">
        <v>19600.645692293299</v>
      </c>
      <c r="BU97" s="13">
        <v>0</v>
      </c>
      <c r="BV97" s="13">
        <v>19600.645692293299</v>
      </c>
    </row>
    <row r="98" spans="2:74" x14ac:dyDescent="0.2">
      <c r="B98" s="112"/>
      <c r="C98" s="19">
        <v>43464</v>
      </c>
      <c r="D98" s="13" t="s">
        <v>22</v>
      </c>
      <c r="E98" s="56">
        <f>E97*(1+$D$6)</f>
        <v>395.09174474821361</v>
      </c>
      <c r="F98" s="13">
        <v>1000</v>
      </c>
      <c r="G98" s="56">
        <f>F98*E98</f>
        <v>395091.74474821362</v>
      </c>
      <c r="I98" s="56">
        <f>G98-G97</f>
        <v>29266.055166534381</v>
      </c>
      <c r="J98" s="56">
        <f>I98*$D$5</f>
        <v>8952.4862754428668</v>
      </c>
      <c r="K98" s="56">
        <f>I98-J98</f>
        <v>20313.568891091512</v>
      </c>
      <c r="L98" s="76"/>
      <c r="M98" s="112"/>
      <c r="N98" s="19">
        <v>43464</v>
      </c>
      <c r="O98" s="13" t="s">
        <v>22</v>
      </c>
      <c r="P98" s="56">
        <f>P97*(1+$D$6)</f>
        <v>684.84751962193286</v>
      </c>
      <c r="Q98" s="13">
        <v>1000</v>
      </c>
      <c r="R98" s="56">
        <f>Q98*P98</f>
        <v>684847.51962193288</v>
      </c>
      <c r="T98" s="56">
        <f>R98-R97</f>
        <v>50729.445897920989</v>
      </c>
      <c r="U98" s="56">
        <v>0</v>
      </c>
      <c r="V98" s="56">
        <f>T98-U98</f>
        <v>50729.445897920989</v>
      </c>
      <c r="W98" s="76"/>
    </row>
    <row r="99" spans="2:74" x14ac:dyDescent="0.2">
      <c r="E99" s="56"/>
      <c r="G99" s="56"/>
      <c r="I99" s="56"/>
      <c r="J99" s="56"/>
      <c r="K99" s="56"/>
      <c r="L99" s="76"/>
      <c r="P99" s="56"/>
      <c r="R99" s="56"/>
      <c r="T99" s="56"/>
      <c r="U99" s="56"/>
      <c r="V99" s="56"/>
      <c r="W99" s="76"/>
      <c r="BB99" s="13">
        <v>30</v>
      </c>
      <c r="BC99" s="13">
        <v>43101</v>
      </c>
      <c r="BD99" s="13" t="s">
        <v>20</v>
      </c>
      <c r="BE99" s="13">
        <v>268.95516211510449</v>
      </c>
      <c r="BF99" s="13">
        <v>1000</v>
      </c>
      <c r="BG99" s="13">
        <v>268955.1621151045</v>
      </c>
      <c r="BM99" s="13">
        <v>30</v>
      </c>
      <c r="BN99" s="13">
        <v>43101</v>
      </c>
      <c r="BO99" s="13" t="s">
        <v>20</v>
      </c>
      <c r="BP99" s="13">
        <v>411.61355953815877</v>
      </c>
      <c r="BQ99" s="13">
        <v>1000</v>
      </c>
      <c r="BR99" s="13">
        <v>411613.55953815876</v>
      </c>
    </row>
    <row r="100" spans="2:74" x14ac:dyDescent="0.2">
      <c r="B100" s="112">
        <v>26</v>
      </c>
      <c r="C100" s="19">
        <v>43101</v>
      </c>
      <c r="D100" s="13" t="s">
        <v>20</v>
      </c>
      <c r="E100" s="56">
        <f>G100/1000</f>
        <v>386.13925847277073</v>
      </c>
      <c r="F100" s="13">
        <v>1000</v>
      </c>
      <c r="G100" s="56">
        <f>G98-J98</f>
        <v>386139.25847277074</v>
      </c>
      <c r="I100" s="56"/>
      <c r="J100" s="56"/>
      <c r="K100" s="56"/>
      <c r="L100" s="76"/>
      <c r="M100" s="112">
        <v>26</v>
      </c>
      <c r="N100" s="19">
        <v>43101</v>
      </c>
      <c r="O100" s="13" t="s">
        <v>20</v>
      </c>
      <c r="P100" s="56">
        <f>R100/1000</f>
        <v>684.84751962193286</v>
      </c>
      <c r="Q100" s="13">
        <v>1000</v>
      </c>
      <c r="R100" s="56">
        <f>R98-U98</f>
        <v>684847.51962193288</v>
      </c>
      <c r="T100" s="56"/>
      <c r="U100" s="56"/>
      <c r="V100" s="56"/>
      <c r="W100" s="76"/>
      <c r="BC100" s="13">
        <v>43464</v>
      </c>
      <c r="BD100" s="13" t="s">
        <v>22</v>
      </c>
      <c r="BE100" s="13">
        <v>282.4029202208597</v>
      </c>
      <c r="BF100" s="13">
        <v>1000</v>
      </c>
      <c r="BG100" s="13">
        <v>282402.9202208597</v>
      </c>
      <c r="BI100" s="13">
        <v>13447.758105755202</v>
      </c>
      <c r="BJ100" s="13">
        <v>4113.669204550516</v>
      </c>
      <c r="BK100" s="13">
        <v>9334.0889012046864</v>
      </c>
      <c r="BN100" s="13">
        <v>43464</v>
      </c>
      <c r="BO100" s="13" t="s">
        <v>22</v>
      </c>
      <c r="BP100" s="13">
        <v>432.19423751506673</v>
      </c>
      <c r="BQ100" s="13">
        <v>1000</v>
      </c>
      <c r="BR100" s="13">
        <v>432194.23751506675</v>
      </c>
      <c r="BT100" s="13">
        <v>20580.677976907988</v>
      </c>
      <c r="BU100" s="13">
        <v>0</v>
      </c>
      <c r="BV100" s="13">
        <v>20580.677976907988</v>
      </c>
    </row>
    <row r="101" spans="2:74" x14ac:dyDescent="0.2">
      <c r="B101" s="112"/>
      <c r="C101" s="19">
        <v>43464</v>
      </c>
      <c r="D101" s="13" t="s">
        <v>22</v>
      </c>
      <c r="E101" s="56">
        <f>E100*(1+$D$6)</f>
        <v>417.03039915059242</v>
      </c>
      <c r="F101" s="13">
        <v>1000</v>
      </c>
      <c r="G101" s="56">
        <f>F101*E101</f>
        <v>417030.39915059239</v>
      </c>
      <c r="I101" s="56">
        <f>G101-G100</f>
        <v>30891.140677821648</v>
      </c>
      <c r="J101" s="56">
        <f>I101*$D$5</f>
        <v>9449.5999333456421</v>
      </c>
      <c r="K101" s="56">
        <f>I101-J101</f>
        <v>21441.540744476006</v>
      </c>
      <c r="L101" s="76"/>
      <c r="M101" s="112"/>
      <c r="N101" s="19">
        <v>43464</v>
      </c>
      <c r="O101" s="13" t="s">
        <v>22</v>
      </c>
      <c r="P101" s="56">
        <f>P100*(1+$D$6)</f>
        <v>739.63532119168758</v>
      </c>
      <c r="Q101" s="13">
        <v>1000</v>
      </c>
      <c r="R101" s="56">
        <f>Q101*P101</f>
        <v>739635.3211916876</v>
      </c>
      <c r="T101" s="56">
        <f>R101-R100</f>
        <v>54787.801569754723</v>
      </c>
      <c r="U101" s="56">
        <v>0</v>
      </c>
      <c r="V101" s="56">
        <f>T101-U101</f>
        <v>54787.801569754723</v>
      </c>
      <c r="W101" s="76"/>
    </row>
    <row r="102" spans="2:74" x14ac:dyDescent="0.2">
      <c r="E102" s="56"/>
      <c r="G102" s="56"/>
      <c r="I102" s="56"/>
      <c r="J102" s="56"/>
      <c r="K102" s="56"/>
      <c r="L102" s="76"/>
      <c r="P102" s="56"/>
      <c r="R102" s="56"/>
      <c r="T102" s="56"/>
      <c r="U102" s="56"/>
      <c r="V102" s="56"/>
      <c r="W102" s="76"/>
      <c r="BB102" s="13">
        <v>31</v>
      </c>
      <c r="BC102" s="13">
        <v>43101</v>
      </c>
      <c r="BD102" s="13" t="s">
        <v>20</v>
      </c>
      <c r="BE102" s="13">
        <v>278.28925101630921</v>
      </c>
      <c r="BF102" s="13">
        <v>1000</v>
      </c>
      <c r="BG102" s="13">
        <v>278289.25101630919</v>
      </c>
      <c r="BM102" s="13">
        <v>31</v>
      </c>
      <c r="BN102" s="13">
        <v>43101</v>
      </c>
      <c r="BO102" s="13" t="s">
        <v>20</v>
      </c>
      <c r="BP102" s="13">
        <v>432.19423751506673</v>
      </c>
      <c r="BQ102" s="13">
        <v>1000</v>
      </c>
      <c r="BR102" s="13">
        <v>432194.23751506675</v>
      </c>
    </row>
    <row r="103" spans="2:74" x14ac:dyDescent="0.2">
      <c r="B103" s="112">
        <v>27</v>
      </c>
      <c r="C103" s="19">
        <v>43101</v>
      </c>
      <c r="D103" s="13" t="s">
        <v>20</v>
      </c>
      <c r="E103" s="56">
        <f>G103/1000</f>
        <v>407.58079921724675</v>
      </c>
      <c r="F103" s="13">
        <v>1000</v>
      </c>
      <c r="G103" s="56">
        <f>G101-J101</f>
        <v>407580.79921724676</v>
      </c>
      <c r="I103" s="56"/>
      <c r="J103" s="56"/>
      <c r="K103" s="56"/>
      <c r="L103" s="76"/>
      <c r="M103" s="112">
        <v>27</v>
      </c>
      <c r="N103" s="19">
        <v>43101</v>
      </c>
      <c r="O103" s="13" t="s">
        <v>20</v>
      </c>
      <c r="P103" s="56">
        <f>R103/1000</f>
        <v>739.63532119168758</v>
      </c>
      <c r="Q103" s="13">
        <v>1000</v>
      </c>
      <c r="R103" s="56">
        <f>R101-U101</f>
        <v>739635.3211916876</v>
      </c>
      <c r="T103" s="56"/>
      <c r="U103" s="56"/>
      <c r="V103" s="56"/>
      <c r="W103" s="76"/>
      <c r="BC103" s="13">
        <v>43464</v>
      </c>
      <c r="BD103" s="13" t="s">
        <v>22</v>
      </c>
      <c r="BE103" s="13">
        <v>292.20371356712468</v>
      </c>
      <c r="BF103" s="13">
        <v>1000</v>
      </c>
      <c r="BG103" s="13">
        <v>292203.71356712468</v>
      </c>
      <c r="BI103" s="13">
        <v>13914.462550815486</v>
      </c>
      <c r="BJ103" s="13">
        <v>4256.4340942944573</v>
      </c>
      <c r="BK103" s="13">
        <v>9658.0284565210277</v>
      </c>
      <c r="BN103" s="13">
        <v>43464</v>
      </c>
      <c r="BO103" s="13" t="s">
        <v>22</v>
      </c>
      <c r="BP103" s="13">
        <v>453.80394939082009</v>
      </c>
      <c r="BQ103" s="13">
        <v>1000</v>
      </c>
      <c r="BR103" s="13">
        <v>453803.94939082011</v>
      </c>
      <c r="BT103" s="13">
        <v>21609.711875753361</v>
      </c>
      <c r="BU103" s="13">
        <v>0</v>
      </c>
      <c r="BV103" s="13">
        <v>21609.711875753361</v>
      </c>
    </row>
    <row r="104" spans="2:74" x14ac:dyDescent="0.2">
      <c r="B104" s="112"/>
      <c r="C104" s="19">
        <v>43464</v>
      </c>
      <c r="D104" s="13" t="s">
        <v>22</v>
      </c>
      <c r="E104" s="56">
        <f>E103*(1+$D$6)</f>
        <v>440.18726315462652</v>
      </c>
      <c r="F104" s="13">
        <v>1000</v>
      </c>
      <c r="G104" s="56">
        <f>F104*E104</f>
        <v>440187.26315462653</v>
      </c>
      <c r="I104" s="56">
        <f>G104-G103</f>
        <v>32606.463937379769</v>
      </c>
      <c r="J104" s="56">
        <f>I104*$D$5</f>
        <v>9974.3173184444713</v>
      </c>
      <c r="K104" s="56">
        <f>I104-J104</f>
        <v>22632.146618935298</v>
      </c>
      <c r="L104" s="76"/>
      <c r="M104" s="112"/>
      <c r="N104" s="19">
        <v>43464</v>
      </c>
      <c r="O104" s="13" t="s">
        <v>22</v>
      </c>
      <c r="P104" s="56">
        <f>P103*(1+$D$6)</f>
        <v>798.80614688702269</v>
      </c>
      <c r="Q104" s="13">
        <v>1000</v>
      </c>
      <c r="R104" s="56">
        <f>Q104*P104</f>
        <v>798806.14688702265</v>
      </c>
      <c r="T104" s="56">
        <f>R104-R103</f>
        <v>59170.82569533505</v>
      </c>
      <c r="U104" s="56">
        <v>0</v>
      </c>
      <c r="V104" s="56">
        <f>T104-U104</f>
        <v>59170.82569533505</v>
      </c>
      <c r="W104" s="76"/>
    </row>
    <row r="105" spans="2:74" x14ac:dyDescent="0.2">
      <c r="E105" s="56"/>
      <c r="G105" s="56"/>
      <c r="I105" s="56"/>
      <c r="J105" s="56"/>
      <c r="K105" s="56"/>
      <c r="L105" s="76"/>
      <c r="P105" s="56"/>
      <c r="R105" s="56"/>
      <c r="T105" s="56"/>
      <c r="U105" s="56"/>
      <c r="V105" s="56"/>
      <c r="W105" s="76"/>
      <c r="BB105" s="13">
        <v>32</v>
      </c>
      <c r="BC105" s="13">
        <v>43101</v>
      </c>
      <c r="BD105" s="13" t="s">
        <v>20</v>
      </c>
      <c r="BE105" s="13">
        <v>287.94727947283025</v>
      </c>
      <c r="BF105" s="13">
        <v>1000</v>
      </c>
      <c r="BG105" s="13">
        <v>287947.27947283024</v>
      </c>
      <c r="BM105" s="13">
        <v>32</v>
      </c>
      <c r="BN105" s="13">
        <v>43101</v>
      </c>
      <c r="BO105" s="13" t="s">
        <v>20</v>
      </c>
      <c r="BP105" s="13">
        <v>453.80394939082009</v>
      </c>
      <c r="BQ105" s="13">
        <v>1000</v>
      </c>
      <c r="BR105" s="13">
        <v>453803.94939082011</v>
      </c>
    </row>
    <row r="106" spans="2:74" x14ac:dyDescent="0.2">
      <c r="B106" s="112">
        <v>28</v>
      </c>
      <c r="C106" s="19">
        <v>43101</v>
      </c>
      <c r="D106" s="13" t="s">
        <v>20</v>
      </c>
      <c r="E106" s="56">
        <f>G106/1000</f>
        <v>430.21294583618203</v>
      </c>
      <c r="F106" s="13">
        <v>1000</v>
      </c>
      <c r="G106" s="56">
        <f>G104-J104</f>
        <v>430212.94583618204</v>
      </c>
      <c r="I106" s="56"/>
      <c r="J106" s="56"/>
      <c r="K106" s="56"/>
      <c r="L106" s="76"/>
      <c r="M106" s="112">
        <v>28</v>
      </c>
      <c r="N106" s="19">
        <v>43101</v>
      </c>
      <c r="O106" s="13" t="s">
        <v>20</v>
      </c>
      <c r="P106" s="56">
        <f>R106/1000</f>
        <v>798.80614688702269</v>
      </c>
      <c r="Q106" s="13">
        <v>1000</v>
      </c>
      <c r="R106" s="56">
        <f>R104-U104</f>
        <v>798806.14688702265</v>
      </c>
      <c r="T106" s="56"/>
      <c r="U106" s="56"/>
      <c r="V106" s="56"/>
      <c r="W106" s="76"/>
      <c r="BC106" s="13">
        <v>43464</v>
      </c>
      <c r="BD106" s="13" t="s">
        <v>22</v>
      </c>
      <c r="BE106" s="13">
        <v>302.34464344647176</v>
      </c>
      <c r="BF106" s="13">
        <v>1000</v>
      </c>
      <c r="BG106" s="13">
        <v>302344.64344647177</v>
      </c>
      <c r="BI106" s="13">
        <v>14397.363973641535</v>
      </c>
      <c r="BJ106" s="13">
        <v>4404.1536395369458</v>
      </c>
      <c r="BK106" s="13">
        <v>9993.2103341045895</v>
      </c>
      <c r="BN106" s="13">
        <v>43464</v>
      </c>
      <c r="BO106" s="13" t="s">
        <v>22</v>
      </c>
      <c r="BP106" s="13">
        <v>476.49414686036113</v>
      </c>
      <c r="BQ106" s="13">
        <v>1000</v>
      </c>
      <c r="BR106" s="13">
        <v>476494.1468603611</v>
      </c>
      <c r="BT106" s="13">
        <v>22690.197469540988</v>
      </c>
      <c r="BU106" s="13">
        <v>0</v>
      </c>
      <c r="BV106" s="13">
        <v>22690.197469540988</v>
      </c>
    </row>
    <row r="107" spans="2:74" x14ac:dyDescent="0.2">
      <c r="B107" s="112"/>
      <c r="C107" s="19">
        <v>43464</v>
      </c>
      <c r="D107" s="13" t="s">
        <v>22</v>
      </c>
      <c r="E107" s="56">
        <f>E106*(1+$D$6)</f>
        <v>464.62998150307664</v>
      </c>
      <c r="F107" s="13">
        <v>1000</v>
      </c>
      <c r="G107" s="56">
        <f>F107*E107</f>
        <v>464629.98150307662</v>
      </c>
      <c r="I107" s="56">
        <f>G107-G106</f>
        <v>34417.035666894575</v>
      </c>
      <c r="J107" s="56">
        <f>I107*$D$5</f>
        <v>10528.171210503051</v>
      </c>
      <c r="K107" s="56">
        <f>I107-J107</f>
        <v>23888.864456391522</v>
      </c>
      <c r="L107" s="76"/>
      <c r="M107" s="112"/>
      <c r="N107" s="19">
        <v>43464</v>
      </c>
      <c r="O107" s="13" t="s">
        <v>22</v>
      </c>
      <c r="P107" s="56">
        <f>P106*(1+$D$6)</f>
        <v>862.71063863798452</v>
      </c>
      <c r="Q107" s="13">
        <v>1000</v>
      </c>
      <c r="R107" s="56">
        <f>Q107*P107</f>
        <v>862710.63863798452</v>
      </c>
      <c r="T107" s="56">
        <f>R107-R106</f>
        <v>63904.491750961868</v>
      </c>
      <c r="U107" s="56">
        <v>0</v>
      </c>
      <c r="V107" s="56">
        <f>T107-U107</f>
        <v>63904.491750961868</v>
      </c>
      <c r="W107" s="76"/>
    </row>
    <row r="108" spans="2:74" x14ac:dyDescent="0.2">
      <c r="E108" s="56"/>
      <c r="G108" s="56"/>
      <c r="I108" s="56"/>
      <c r="J108" s="56"/>
      <c r="K108" s="56"/>
      <c r="L108" s="76"/>
      <c r="P108" s="56"/>
      <c r="R108" s="56"/>
      <c r="T108" s="56"/>
      <c r="U108" s="56"/>
      <c r="V108" s="56"/>
      <c r="W108" s="76"/>
      <c r="BB108" s="13">
        <v>33</v>
      </c>
      <c r="BC108" s="13">
        <v>43101</v>
      </c>
      <c r="BD108" s="13" t="s">
        <v>20</v>
      </c>
      <c r="BE108" s="13">
        <v>297.94048980693486</v>
      </c>
      <c r="BF108" s="13">
        <v>1000</v>
      </c>
      <c r="BG108" s="13">
        <v>297940.48980693484</v>
      </c>
      <c r="BM108" s="13">
        <v>33</v>
      </c>
      <c r="BN108" s="13">
        <v>43101</v>
      </c>
      <c r="BO108" s="13" t="s">
        <v>20</v>
      </c>
      <c r="BP108" s="13">
        <v>476.49414686036113</v>
      </c>
      <c r="BQ108" s="13">
        <v>1000</v>
      </c>
      <c r="BR108" s="13">
        <v>476494.1468603611</v>
      </c>
    </row>
    <row r="109" spans="2:74" x14ac:dyDescent="0.2">
      <c r="B109" s="112">
        <v>29</v>
      </c>
      <c r="C109" s="19">
        <v>43101</v>
      </c>
      <c r="D109" s="13" t="s">
        <v>20</v>
      </c>
      <c r="E109" s="56">
        <f>G109/1000</f>
        <v>454.10181029257359</v>
      </c>
      <c r="F109" s="13">
        <v>1000</v>
      </c>
      <c r="G109" s="56">
        <f>G107-J107</f>
        <v>454101.81029257359</v>
      </c>
      <c r="I109" s="56"/>
      <c r="J109" s="56"/>
      <c r="K109" s="56"/>
      <c r="L109" s="76"/>
      <c r="M109" s="112">
        <v>29</v>
      </c>
      <c r="N109" s="19">
        <v>43101</v>
      </c>
      <c r="O109" s="13" t="s">
        <v>20</v>
      </c>
      <c r="P109" s="56">
        <f>R109/1000</f>
        <v>862.71063863798452</v>
      </c>
      <c r="Q109" s="13">
        <v>1000</v>
      </c>
      <c r="R109" s="56">
        <f>R107-U107</f>
        <v>862710.63863798452</v>
      </c>
      <c r="T109" s="56"/>
      <c r="U109" s="56"/>
      <c r="V109" s="56"/>
      <c r="W109" s="76"/>
      <c r="BC109" s="13">
        <v>43464</v>
      </c>
      <c r="BD109" s="13" t="s">
        <v>22</v>
      </c>
      <c r="BE109" s="13">
        <v>312.83751429728164</v>
      </c>
      <c r="BF109" s="13">
        <v>1000</v>
      </c>
      <c r="BG109" s="13">
        <v>312837.51429728162</v>
      </c>
      <c r="BI109" s="13">
        <v>14897.024490346783</v>
      </c>
      <c r="BJ109" s="13">
        <v>4556.9997915970807</v>
      </c>
      <c r="BK109" s="13">
        <v>10340.024698749701</v>
      </c>
      <c r="BN109" s="13">
        <v>43464</v>
      </c>
      <c r="BO109" s="13" t="s">
        <v>22</v>
      </c>
      <c r="BP109" s="13">
        <v>500.3188542033792</v>
      </c>
      <c r="BQ109" s="13">
        <v>1000</v>
      </c>
      <c r="BR109" s="13">
        <v>500318.85420337919</v>
      </c>
      <c r="BT109" s="13">
        <v>23824.70734301809</v>
      </c>
      <c r="BU109" s="13">
        <v>0</v>
      </c>
      <c r="BV109" s="13">
        <v>23824.70734301809</v>
      </c>
    </row>
    <row r="110" spans="2:74" x14ac:dyDescent="0.2">
      <c r="B110" s="112"/>
      <c r="C110" s="19">
        <v>43464</v>
      </c>
      <c r="D110" s="13" t="s">
        <v>22</v>
      </c>
      <c r="E110" s="56">
        <f>E109*(1+$D$6)</f>
        <v>490.42995511597951</v>
      </c>
      <c r="F110" s="13">
        <v>1000</v>
      </c>
      <c r="G110" s="56">
        <f>F110*E110</f>
        <v>490429.95511597954</v>
      </c>
      <c r="I110" s="56">
        <f>G110-G109</f>
        <v>36328.14482340595</v>
      </c>
      <c r="J110" s="56">
        <f>I110*$D$5</f>
        <v>11112.779501479879</v>
      </c>
      <c r="K110" s="56">
        <f>I110-J110</f>
        <v>25215.36532192607</v>
      </c>
      <c r="L110" s="76"/>
      <c r="M110" s="112"/>
      <c r="N110" s="19">
        <v>43464</v>
      </c>
      <c r="O110" s="13" t="s">
        <v>22</v>
      </c>
      <c r="P110" s="56">
        <f>P109*(1+$D$6)</f>
        <v>931.72748972902332</v>
      </c>
      <c r="Q110" s="13">
        <v>1000</v>
      </c>
      <c r="R110" s="56">
        <f>Q110*P110</f>
        <v>931727.48972902331</v>
      </c>
      <c r="T110" s="56">
        <f>R110-R109</f>
        <v>69016.851091038785</v>
      </c>
      <c r="U110" s="56">
        <v>0</v>
      </c>
      <c r="V110" s="56">
        <f>T110-U110</f>
        <v>69016.851091038785</v>
      </c>
      <c r="W110" s="76"/>
    </row>
    <row r="111" spans="2:74" x14ac:dyDescent="0.2">
      <c r="E111" s="56"/>
      <c r="G111" s="56"/>
      <c r="I111" s="56"/>
      <c r="J111" s="56"/>
      <c r="K111" s="56"/>
      <c r="L111" s="76"/>
      <c r="P111" s="56"/>
      <c r="R111" s="56"/>
      <c r="T111" s="56"/>
      <c r="U111" s="56"/>
      <c r="V111" s="56"/>
      <c r="W111" s="76"/>
      <c r="BB111" s="13">
        <v>34</v>
      </c>
      <c r="BC111" s="13">
        <v>43101</v>
      </c>
      <c r="BD111" s="13" t="s">
        <v>20</v>
      </c>
      <c r="BE111" s="13">
        <v>308.28051450568455</v>
      </c>
      <c r="BF111" s="13">
        <v>1000</v>
      </c>
      <c r="BG111" s="13">
        <v>308280.51450568455</v>
      </c>
      <c r="BM111" s="13">
        <v>34</v>
      </c>
      <c r="BN111" s="13">
        <v>43101</v>
      </c>
      <c r="BO111" s="13" t="s">
        <v>20</v>
      </c>
      <c r="BP111" s="13">
        <v>500.3188542033792</v>
      </c>
      <c r="BQ111" s="13">
        <v>1000</v>
      </c>
      <c r="BR111" s="13">
        <v>500318.85420337919</v>
      </c>
    </row>
    <row r="112" spans="2:74" x14ac:dyDescent="0.2">
      <c r="B112" s="112">
        <v>30</v>
      </c>
      <c r="C112" s="19">
        <v>43101</v>
      </c>
      <c r="D112" s="13" t="s">
        <v>20</v>
      </c>
      <c r="E112" s="56">
        <f>G112/1000</f>
        <v>479.31717561449966</v>
      </c>
      <c r="F112" s="13">
        <v>1000</v>
      </c>
      <c r="G112" s="56">
        <f>G110-J110</f>
        <v>479317.17561449966</v>
      </c>
      <c r="I112" s="56"/>
      <c r="J112" s="56"/>
      <c r="K112" s="56"/>
      <c r="L112" s="76"/>
      <c r="M112" s="112">
        <v>30</v>
      </c>
      <c r="N112" s="19">
        <v>43101</v>
      </c>
      <c r="O112" s="13" t="s">
        <v>20</v>
      </c>
      <c r="P112" s="56">
        <f>R112/1000</f>
        <v>931.72748972902332</v>
      </c>
      <c r="Q112" s="13">
        <v>1000</v>
      </c>
      <c r="R112" s="56">
        <f>R110-U110</f>
        <v>931727.48972902331</v>
      </c>
      <c r="T112" s="56"/>
      <c r="U112" s="56"/>
      <c r="V112" s="56"/>
      <c r="W112" s="76"/>
      <c r="BC112" s="13">
        <v>43464</v>
      </c>
      <c r="BD112" s="13" t="s">
        <v>22</v>
      </c>
      <c r="BE112" s="13">
        <v>323.69454023096881</v>
      </c>
      <c r="BF112" s="13">
        <v>1000</v>
      </c>
      <c r="BG112" s="13">
        <v>323694.54023096879</v>
      </c>
      <c r="BI112" s="13">
        <v>15414.025725284242</v>
      </c>
      <c r="BJ112" s="13">
        <v>4715.1504693644501</v>
      </c>
      <c r="BK112" s="13">
        <v>10698.875255919793</v>
      </c>
      <c r="BN112" s="13">
        <v>43464</v>
      </c>
      <c r="BO112" s="13" t="s">
        <v>22</v>
      </c>
      <c r="BP112" s="13">
        <v>525.33479691354819</v>
      </c>
      <c r="BQ112" s="13">
        <v>1000</v>
      </c>
      <c r="BR112" s="13">
        <v>525334.79691354814</v>
      </c>
      <c r="BT112" s="13">
        <v>25015.942710168951</v>
      </c>
      <c r="BU112" s="13">
        <v>0</v>
      </c>
      <c r="BV112" s="13">
        <v>25015.942710168951</v>
      </c>
    </row>
    <row r="113" spans="2:74" x14ac:dyDescent="0.2">
      <c r="B113" s="112"/>
      <c r="C113" s="19">
        <v>43464</v>
      </c>
      <c r="D113" s="13" t="s">
        <v>22</v>
      </c>
      <c r="E113" s="56">
        <f>E112*(1+$D$6)</f>
        <v>517.66254966365966</v>
      </c>
      <c r="F113" s="13">
        <v>1000</v>
      </c>
      <c r="G113" s="56">
        <f>F113*E113</f>
        <v>517662.54966365965</v>
      </c>
      <c r="I113" s="56">
        <f>G113-G112</f>
        <v>38345.374049159989</v>
      </c>
      <c r="J113" s="56">
        <f>I113*$D$5</f>
        <v>11729.849921638041</v>
      </c>
      <c r="K113" s="56">
        <f>I113-J113</f>
        <v>26615.524127521949</v>
      </c>
      <c r="L113" s="76"/>
      <c r="M113" s="112"/>
      <c r="N113" s="19">
        <v>43464</v>
      </c>
      <c r="O113" s="13" t="s">
        <v>22</v>
      </c>
      <c r="P113" s="56">
        <f>P112*(1+$D$6)</f>
        <v>1006.2656889073453</v>
      </c>
      <c r="Q113" s="13">
        <v>1000</v>
      </c>
      <c r="R113" s="56">
        <f>Q113*P113</f>
        <v>1006265.6889073453</v>
      </c>
      <c r="T113" s="56">
        <f>R113-R112</f>
        <v>74538.199178321986</v>
      </c>
      <c r="U113" s="56">
        <v>0</v>
      </c>
      <c r="V113" s="56">
        <f>T113-U113</f>
        <v>74538.199178321986</v>
      </c>
      <c r="W113" s="76"/>
    </row>
    <row r="114" spans="2:74" x14ac:dyDescent="0.2">
      <c r="E114" s="56"/>
      <c r="G114" s="56"/>
      <c r="I114" s="56"/>
      <c r="J114" s="56"/>
      <c r="K114" s="56"/>
      <c r="L114" s="76"/>
      <c r="P114" s="56"/>
      <c r="R114" s="56"/>
      <c r="T114" s="56"/>
      <c r="U114" s="56"/>
      <c r="V114" s="56"/>
      <c r="W114" s="76"/>
      <c r="BB114" s="13">
        <v>35</v>
      </c>
      <c r="BC114" s="13">
        <v>43101</v>
      </c>
      <c r="BD114" s="13" t="s">
        <v>20</v>
      </c>
      <c r="BE114" s="13">
        <v>318.97938976160435</v>
      </c>
      <c r="BF114" s="13">
        <v>1000</v>
      </c>
      <c r="BG114" s="13">
        <v>318979.38976160437</v>
      </c>
      <c r="BM114" s="13">
        <v>35</v>
      </c>
      <c r="BN114" s="13">
        <v>43101</v>
      </c>
      <c r="BO114" s="13" t="s">
        <v>20</v>
      </c>
      <c r="BP114" s="13">
        <v>525.33479691354819</v>
      </c>
      <c r="BQ114" s="13">
        <v>1000</v>
      </c>
      <c r="BR114" s="13">
        <v>525334.79691354814</v>
      </c>
    </row>
    <row r="115" spans="2:74" x14ac:dyDescent="0.2">
      <c r="B115" s="112">
        <v>31</v>
      </c>
      <c r="C115" s="19">
        <v>43101</v>
      </c>
      <c r="D115" s="13" t="s">
        <v>20</v>
      </c>
      <c r="E115" s="56">
        <f>G115/1000</f>
        <v>505.93269974202161</v>
      </c>
      <c r="F115" s="13">
        <v>1000</v>
      </c>
      <c r="G115" s="56">
        <f>G113-J113</f>
        <v>505932.69974202162</v>
      </c>
      <c r="I115" s="56"/>
      <c r="J115" s="56"/>
      <c r="K115" s="56"/>
      <c r="L115" s="76"/>
      <c r="M115" s="112">
        <v>31</v>
      </c>
      <c r="N115" s="19">
        <v>43101</v>
      </c>
      <c r="O115" s="13" t="s">
        <v>20</v>
      </c>
      <c r="P115" s="56">
        <f>R115/1000</f>
        <v>1006.2656889073453</v>
      </c>
      <c r="Q115" s="13">
        <v>1000</v>
      </c>
      <c r="R115" s="56">
        <f>R113-U113</f>
        <v>1006265.6889073453</v>
      </c>
      <c r="T115" s="56"/>
      <c r="U115" s="56"/>
      <c r="V115" s="56"/>
      <c r="W115" s="76"/>
      <c r="BC115" s="13">
        <v>43464</v>
      </c>
      <c r="BD115" s="13" t="s">
        <v>22</v>
      </c>
      <c r="BE115" s="13">
        <v>334.9283592496846</v>
      </c>
      <c r="BF115" s="13">
        <v>1000</v>
      </c>
      <c r="BG115" s="13">
        <v>334928.35924968461</v>
      </c>
      <c r="BI115" s="13">
        <v>15948.969488080242</v>
      </c>
      <c r="BJ115" s="13">
        <v>4878.7897664037464</v>
      </c>
      <c r="BK115" s="13">
        <v>11070.179721676495</v>
      </c>
      <c r="BN115" s="13">
        <v>43464</v>
      </c>
      <c r="BO115" s="13" t="s">
        <v>22</v>
      </c>
      <c r="BP115" s="13">
        <v>551.60153675922561</v>
      </c>
      <c r="BQ115" s="13">
        <v>1000</v>
      </c>
      <c r="BR115" s="13">
        <v>551601.53675922565</v>
      </c>
      <c r="BT115" s="13">
        <v>26266.739845677512</v>
      </c>
      <c r="BU115" s="13">
        <v>0</v>
      </c>
      <c r="BV115" s="13">
        <v>26266.739845677512</v>
      </c>
    </row>
    <row r="116" spans="2:74" x14ac:dyDescent="0.2">
      <c r="B116" s="112"/>
      <c r="C116" s="19">
        <v>43464</v>
      </c>
      <c r="D116" s="13" t="s">
        <v>22</v>
      </c>
      <c r="E116" s="56">
        <f>E115*(1+$D$6)</f>
        <v>546.40731572138338</v>
      </c>
      <c r="F116" s="13">
        <v>1000</v>
      </c>
      <c r="G116" s="56">
        <f>F116*E116</f>
        <v>546407.31572138343</v>
      </c>
      <c r="I116" s="56">
        <f>G116-G115</f>
        <v>40474.615979361814</v>
      </c>
      <c r="J116" s="56">
        <f>I116*$D$5</f>
        <v>12381.185028086778</v>
      </c>
      <c r="K116" s="56">
        <f>I116-J116</f>
        <v>28093.430951275033</v>
      </c>
      <c r="L116" s="76"/>
      <c r="M116" s="112"/>
      <c r="N116" s="19">
        <v>43464</v>
      </c>
      <c r="O116" s="13" t="s">
        <v>22</v>
      </c>
      <c r="P116" s="56">
        <f>P115*(1+$D$6)</f>
        <v>1086.7669440199329</v>
      </c>
      <c r="Q116" s="13">
        <v>1000</v>
      </c>
      <c r="R116" s="56">
        <f>Q116*P116</f>
        <v>1086766.944019933</v>
      </c>
      <c r="T116" s="56">
        <f>R116-R115</f>
        <v>80501.255112587707</v>
      </c>
      <c r="U116" s="56">
        <v>0</v>
      </c>
      <c r="V116" s="56">
        <f>T116-U116</f>
        <v>80501.255112587707</v>
      </c>
      <c r="W116" s="76"/>
    </row>
    <row r="117" spans="2:74" x14ac:dyDescent="0.2">
      <c r="E117" s="56"/>
      <c r="G117" s="56"/>
      <c r="I117" s="56"/>
      <c r="J117" s="56"/>
      <c r="K117" s="56"/>
      <c r="L117" s="76"/>
      <c r="P117" s="56"/>
      <c r="R117" s="56"/>
      <c r="T117" s="56"/>
      <c r="U117" s="56"/>
      <c r="V117" s="56"/>
      <c r="W117" s="76"/>
      <c r="BB117" s="13">
        <v>36</v>
      </c>
      <c r="BC117" s="13">
        <v>43101</v>
      </c>
      <c r="BD117" s="13" t="s">
        <v>20</v>
      </c>
      <c r="BE117" s="13">
        <v>330.04956948328089</v>
      </c>
      <c r="BF117" s="13">
        <v>1000</v>
      </c>
      <c r="BG117" s="13">
        <v>330049.56948328088</v>
      </c>
      <c r="BM117" s="13">
        <v>36</v>
      </c>
      <c r="BN117" s="13">
        <v>43101</v>
      </c>
      <c r="BO117" s="13" t="s">
        <v>20</v>
      </c>
      <c r="BP117" s="13">
        <v>551.60153675922561</v>
      </c>
      <c r="BQ117" s="13">
        <v>1000</v>
      </c>
      <c r="BR117" s="13">
        <v>551601.53675922565</v>
      </c>
    </row>
    <row r="118" spans="2:74" x14ac:dyDescent="0.2">
      <c r="B118" s="112">
        <v>32</v>
      </c>
      <c r="C118" s="19">
        <v>43101</v>
      </c>
      <c r="D118" s="13" t="s">
        <v>20</v>
      </c>
      <c r="E118" s="56">
        <f>G118/1000</f>
        <v>534.02613069329664</v>
      </c>
      <c r="F118" s="13">
        <v>1000</v>
      </c>
      <c r="G118" s="56">
        <f>G116-J116</f>
        <v>534026.13069329667</v>
      </c>
      <c r="I118" s="56"/>
      <c r="J118" s="56"/>
      <c r="K118" s="56"/>
      <c r="L118" s="76"/>
      <c r="M118" s="112">
        <v>32</v>
      </c>
      <c r="N118" s="19">
        <v>43101</v>
      </c>
      <c r="O118" s="13" t="s">
        <v>20</v>
      </c>
      <c r="P118" s="56">
        <f>R118/1000</f>
        <v>1086.7669440199329</v>
      </c>
      <c r="Q118" s="13">
        <v>1000</v>
      </c>
      <c r="R118" s="56">
        <f>R116-U116</f>
        <v>1086766.944019933</v>
      </c>
      <c r="T118" s="56"/>
      <c r="U118" s="56"/>
      <c r="V118" s="56"/>
      <c r="W118" s="76"/>
      <c r="BC118" s="13">
        <v>43464</v>
      </c>
      <c r="BD118" s="13" t="s">
        <v>22</v>
      </c>
      <c r="BE118" s="13">
        <v>346.55204795744493</v>
      </c>
      <c r="BF118" s="13">
        <v>1000</v>
      </c>
      <c r="BG118" s="13">
        <v>346552.04795744491</v>
      </c>
      <c r="BI118" s="13">
        <v>16502.478474164032</v>
      </c>
      <c r="BJ118" s="13">
        <v>5048.1081652467774</v>
      </c>
      <c r="BK118" s="13">
        <v>11454.370308917256</v>
      </c>
      <c r="BN118" s="13">
        <v>43464</v>
      </c>
      <c r="BO118" s="13" t="s">
        <v>22</v>
      </c>
      <c r="BP118" s="13">
        <v>579.18161359718692</v>
      </c>
      <c r="BQ118" s="13">
        <v>1000</v>
      </c>
      <c r="BR118" s="13">
        <v>579181.61359718698</v>
      </c>
      <c r="BT118" s="13">
        <v>27580.076837961329</v>
      </c>
      <c r="BU118" s="13">
        <v>0</v>
      </c>
      <c r="BV118" s="13">
        <v>27580.076837961329</v>
      </c>
    </row>
    <row r="119" spans="2:74" x14ac:dyDescent="0.2">
      <c r="B119" s="112"/>
      <c r="C119" s="19">
        <v>43464</v>
      </c>
      <c r="D119" s="13" t="s">
        <v>22</v>
      </c>
      <c r="E119" s="56">
        <f>E118*(1+$D$6)</f>
        <v>576.74822114876042</v>
      </c>
      <c r="F119" s="13">
        <v>1000</v>
      </c>
      <c r="G119" s="56">
        <f>F119*E119</f>
        <v>576748.22114876041</v>
      </c>
      <c r="I119" s="56">
        <f>G119-G118</f>
        <v>42722.090455463738</v>
      </c>
      <c r="J119" s="56">
        <f>I119*$D$5</f>
        <v>13068.687470326358</v>
      </c>
      <c r="K119" s="56">
        <f>I119-J119</f>
        <v>29653.402985137378</v>
      </c>
      <c r="L119" s="76"/>
      <c r="M119" s="112"/>
      <c r="N119" s="19">
        <v>43464</v>
      </c>
      <c r="O119" s="13" t="s">
        <v>22</v>
      </c>
      <c r="P119" s="56">
        <f>P118*(1+$D$6)</f>
        <v>1173.7082995415276</v>
      </c>
      <c r="Q119" s="13">
        <v>1000</v>
      </c>
      <c r="R119" s="56">
        <f>Q119*P119</f>
        <v>1173708.2995415276</v>
      </c>
      <c r="T119" s="56">
        <f>R119-R118</f>
        <v>86941.35552159464</v>
      </c>
      <c r="U119" s="56">
        <v>0</v>
      </c>
      <c r="V119" s="56">
        <f>T119-U119</f>
        <v>86941.35552159464</v>
      </c>
      <c r="W119" s="76"/>
    </row>
    <row r="120" spans="2:74" x14ac:dyDescent="0.2">
      <c r="E120" s="56"/>
      <c r="G120" s="56"/>
      <c r="I120" s="56"/>
      <c r="J120" s="56"/>
      <c r="K120" s="56"/>
      <c r="L120" s="76"/>
      <c r="P120" s="56"/>
      <c r="R120" s="56"/>
      <c r="T120" s="56"/>
      <c r="U120" s="56"/>
      <c r="V120" s="56"/>
      <c r="W120" s="76"/>
      <c r="BB120" s="13">
        <v>37</v>
      </c>
      <c r="BC120" s="13">
        <v>43101</v>
      </c>
      <c r="BD120" s="13" t="s">
        <v>20</v>
      </c>
      <c r="BE120" s="13">
        <v>341.50393979219814</v>
      </c>
      <c r="BF120" s="13">
        <v>1000</v>
      </c>
      <c r="BG120" s="13">
        <v>341503.93979219813</v>
      </c>
      <c r="BM120" s="13">
        <v>37</v>
      </c>
      <c r="BN120" s="13">
        <v>43101</v>
      </c>
      <c r="BO120" s="13" t="s">
        <v>20</v>
      </c>
      <c r="BP120" s="13">
        <v>579.18161359718692</v>
      </c>
      <c r="BQ120" s="13">
        <v>1000</v>
      </c>
      <c r="BR120" s="13">
        <v>579181.61359718698</v>
      </c>
    </row>
    <row r="121" spans="2:74" x14ac:dyDescent="0.2">
      <c r="B121" s="112">
        <v>33</v>
      </c>
      <c r="C121" s="19">
        <v>43101</v>
      </c>
      <c r="D121" s="13" t="s">
        <v>20</v>
      </c>
      <c r="E121" s="56">
        <f>G121/1000</f>
        <v>563.67953367843404</v>
      </c>
      <c r="F121" s="13">
        <v>1000</v>
      </c>
      <c r="G121" s="56">
        <f>G119-J119</f>
        <v>563679.53367843409</v>
      </c>
      <c r="I121" s="56"/>
      <c r="J121" s="56"/>
      <c r="K121" s="56"/>
      <c r="L121" s="76"/>
      <c r="M121" s="112">
        <v>33</v>
      </c>
      <c r="N121" s="19">
        <v>43101</v>
      </c>
      <c r="O121" s="13" t="s">
        <v>20</v>
      </c>
      <c r="P121" s="56">
        <f>R121/1000</f>
        <v>1173.7082995415276</v>
      </c>
      <c r="Q121" s="13">
        <v>1000</v>
      </c>
      <c r="R121" s="56">
        <f>R119-U119</f>
        <v>1173708.2995415276</v>
      </c>
      <c r="T121" s="56"/>
      <c r="U121" s="56"/>
      <c r="V121" s="56"/>
      <c r="W121" s="76"/>
      <c r="BC121" s="13">
        <v>43464</v>
      </c>
      <c r="BD121" s="13" t="s">
        <v>22</v>
      </c>
      <c r="BE121" s="13">
        <v>358.57913678180807</v>
      </c>
      <c r="BF121" s="13">
        <v>1000</v>
      </c>
      <c r="BG121" s="13">
        <v>358579.13678180805</v>
      </c>
      <c r="BI121" s="13">
        <v>17075.196989609918</v>
      </c>
      <c r="BJ121" s="13">
        <v>5223.3027591216742</v>
      </c>
      <c r="BK121" s="13">
        <v>11851.894230488244</v>
      </c>
      <c r="BN121" s="13">
        <v>43464</v>
      </c>
      <c r="BO121" s="13" t="s">
        <v>22</v>
      </c>
      <c r="BP121" s="13">
        <v>608.14069427704635</v>
      </c>
      <c r="BQ121" s="13">
        <v>1000</v>
      </c>
      <c r="BR121" s="13">
        <v>608140.69427704636</v>
      </c>
      <c r="BT121" s="13">
        <v>28959.080679859384</v>
      </c>
      <c r="BU121" s="13">
        <v>0</v>
      </c>
      <c r="BV121" s="13">
        <v>28959.080679859384</v>
      </c>
    </row>
    <row r="122" spans="2:74" x14ac:dyDescent="0.2">
      <c r="B122" s="112"/>
      <c r="C122" s="19">
        <v>43464</v>
      </c>
      <c r="D122" s="13" t="s">
        <v>22</v>
      </c>
      <c r="E122" s="56">
        <f>E121*(1+$D$6)</f>
        <v>608.7738963727088</v>
      </c>
      <c r="F122" s="13">
        <v>1000</v>
      </c>
      <c r="G122" s="56">
        <f>F122*E122</f>
        <v>608773.89637270884</v>
      </c>
      <c r="I122" s="56">
        <f>G122-G121</f>
        <v>45094.362694274751</v>
      </c>
      <c r="J122" s="56">
        <f>I122*$D$5</f>
        <v>13794.365548178646</v>
      </c>
      <c r="K122" s="56">
        <f>I122-J122</f>
        <v>31299.997146096102</v>
      </c>
      <c r="L122" s="76"/>
      <c r="M122" s="112"/>
      <c r="N122" s="19">
        <v>43464</v>
      </c>
      <c r="O122" s="13" t="s">
        <v>22</v>
      </c>
      <c r="P122" s="56">
        <f>P121*(1+$D$6)</f>
        <v>1267.6049635048498</v>
      </c>
      <c r="Q122" s="13">
        <v>1000</v>
      </c>
      <c r="R122" s="56">
        <f>Q122*P122</f>
        <v>1267604.9635048499</v>
      </c>
      <c r="T122" s="56">
        <f>R122-R121</f>
        <v>93896.663963322295</v>
      </c>
      <c r="U122" s="56">
        <v>0</v>
      </c>
      <c r="V122" s="56">
        <f>T122-U122</f>
        <v>93896.663963322295</v>
      </c>
      <c r="W122" s="76"/>
    </row>
    <row r="123" spans="2:74" x14ac:dyDescent="0.2">
      <c r="E123" s="56"/>
      <c r="G123" s="56"/>
      <c r="I123" s="56"/>
      <c r="J123" s="56"/>
      <c r="K123" s="56"/>
      <c r="L123" s="76"/>
      <c r="P123" s="56"/>
      <c r="R123" s="56"/>
      <c r="T123" s="56"/>
      <c r="U123" s="56"/>
      <c r="V123" s="56"/>
      <c r="W123" s="76"/>
      <c r="BB123" s="13">
        <v>38</v>
      </c>
      <c r="BC123" s="13">
        <v>43101</v>
      </c>
      <c r="BD123" s="13" t="s">
        <v>20</v>
      </c>
      <c r="BE123" s="13">
        <v>353.35583402268634</v>
      </c>
      <c r="BF123" s="13">
        <v>1000</v>
      </c>
      <c r="BG123" s="13">
        <v>353355.83402268635</v>
      </c>
      <c r="BM123" s="13">
        <v>38</v>
      </c>
      <c r="BN123" s="13">
        <v>43101</v>
      </c>
      <c r="BO123" s="13" t="s">
        <v>20</v>
      </c>
      <c r="BP123" s="13">
        <v>608.14069427704635</v>
      </c>
      <c r="BQ123" s="13">
        <v>1000</v>
      </c>
      <c r="BR123" s="13">
        <v>608140.69427704636</v>
      </c>
    </row>
    <row r="124" spans="2:74" x14ac:dyDescent="0.2">
      <c r="B124" s="112">
        <v>34</v>
      </c>
      <c r="C124" s="19">
        <v>43101</v>
      </c>
      <c r="D124" s="13" t="s">
        <v>20</v>
      </c>
      <c r="E124" s="56">
        <f>G124/1000</f>
        <v>594.97953082453012</v>
      </c>
      <c r="F124" s="13">
        <v>1000</v>
      </c>
      <c r="G124" s="56">
        <f>G122-J122</f>
        <v>594979.53082453017</v>
      </c>
      <c r="I124" s="56"/>
      <c r="J124" s="56"/>
      <c r="K124" s="56"/>
      <c r="L124" s="76"/>
      <c r="M124" s="112">
        <v>34</v>
      </c>
      <c r="N124" s="19">
        <v>43101</v>
      </c>
      <c r="O124" s="13" t="s">
        <v>20</v>
      </c>
      <c r="P124" s="56">
        <f>R124/1000</f>
        <v>1267.6049635048498</v>
      </c>
      <c r="Q124" s="13">
        <v>1000</v>
      </c>
      <c r="R124" s="56">
        <f>R122-U122</f>
        <v>1267604.9635048499</v>
      </c>
      <c r="T124" s="56"/>
      <c r="U124" s="56"/>
      <c r="V124" s="56"/>
      <c r="W124" s="76"/>
      <c r="BC124" s="13">
        <v>43464</v>
      </c>
      <c r="BD124" s="13" t="s">
        <v>22</v>
      </c>
      <c r="BE124" s="13">
        <v>371.02362572382066</v>
      </c>
      <c r="BF124" s="13">
        <v>1000</v>
      </c>
      <c r="BG124" s="13">
        <v>371023.62572382065</v>
      </c>
      <c r="BI124" s="13">
        <v>17667.791701134294</v>
      </c>
      <c r="BJ124" s="13">
        <v>5404.5774813769804</v>
      </c>
      <c r="BK124" s="13">
        <v>12263.214219757314</v>
      </c>
      <c r="BN124" s="13">
        <v>43464</v>
      </c>
      <c r="BO124" s="13" t="s">
        <v>22</v>
      </c>
      <c r="BP124" s="13">
        <v>638.54772899089869</v>
      </c>
      <c r="BQ124" s="13">
        <v>1000</v>
      </c>
      <c r="BR124" s="13">
        <v>638547.7289908987</v>
      </c>
      <c r="BT124" s="13">
        <v>30407.034713852336</v>
      </c>
      <c r="BU124" s="13">
        <v>0</v>
      </c>
      <c r="BV124" s="13">
        <v>30407.034713852336</v>
      </c>
    </row>
    <row r="125" spans="2:74" x14ac:dyDescent="0.2">
      <c r="B125" s="112"/>
      <c r="C125" s="19">
        <v>43464</v>
      </c>
      <c r="D125" s="13" t="s">
        <v>22</v>
      </c>
      <c r="E125" s="56">
        <f>E124*(1+$D$6)</f>
        <v>642.57789329049251</v>
      </c>
      <c r="F125" s="13">
        <v>1000</v>
      </c>
      <c r="G125" s="56">
        <f>F125*E125</f>
        <v>642577.89329049247</v>
      </c>
      <c r="I125" s="56">
        <f>G125-G124</f>
        <v>47598.362465962302</v>
      </c>
      <c r="J125" s="56">
        <f>I125*$D$5</f>
        <v>14560.339078337869</v>
      </c>
      <c r="K125" s="56">
        <f>I125-J125</f>
        <v>33038.023387624431</v>
      </c>
      <c r="L125" s="76"/>
      <c r="M125" s="112"/>
      <c r="N125" s="19">
        <v>43464</v>
      </c>
      <c r="O125" s="13" t="s">
        <v>22</v>
      </c>
      <c r="P125" s="56">
        <f>P124*(1+$D$6)</f>
        <v>1369.0133605852379</v>
      </c>
      <c r="Q125" s="13">
        <v>1000</v>
      </c>
      <c r="R125" s="56">
        <f>Q125*P125</f>
        <v>1369013.3605852379</v>
      </c>
      <c r="T125" s="56">
        <f>R125-R124</f>
        <v>101408.39708038792</v>
      </c>
      <c r="U125" s="56">
        <v>0</v>
      </c>
      <c r="V125" s="56">
        <f>T125-U125</f>
        <v>101408.39708038792</v>
      </c>
      <c r="W125" s="76"/>
    </row>
    <row r="126" spans="2:74" x14ac:dyDescent="0.2">
      <c r="E126" s="56"/>
      <c r="G126" s="56"/>
      <c r="I126" s="56"/>
      <c r="J126" s="56"/>
      <c r="K126" s="56"/>
      <c r="L126" s="76"/>
      <c r="P126" s="56"/>
      <c r="R126" s="56"/>
      <c r="T126" s="56"/>
      <c r="U126" s="56"/>
      <c r="V126" s="56"/>
      <c r="W126" s="76"/>
      <c r="BB126" s="13">
        <v>39</v>
      </c>
      <c r="BC126" s="13">
        <v>43101</v>
      </c>
      <c r="BD126" s="13" t="s">
        <v>20</v>
      </c>
      <c r="BE126" s="13">
        <v>365.61904824244363</v>
      </c>
      <c r="BF126" s="13">
        <v>1000</v>
      </c>
      <c r="BG126" s="13">
        <v>365619.04824244365</v>
      </c>
      <c r="BM126" s="13">
        <v>39</v>
      </c>
      <c r="BN126" s="13">
        <v>43101</v>
      </c>
      <c r="BO126" s="13" t="s">
        <v>20</v>
      </c>
      <c r="BP126" s="13">
        <v>638.54772899089869</v>
      </c>
      <c r="BQ126" s="13">
        <v>1000</v>
      </c>
      <c r="BR126" s="13">
        <v>638547.7289908987</v>
      </c>
    </row>
    <row r="127" spans="2:74" x14ac:dyDescent="0.2">
      <c r="B127" s="112">
        <v>35</v>
      </c>
      <c r="C127" s="19">
        <v>43101</v>
      </c>
      <c r="D127" s="13" t="s">
        <v>20</v>
      </c>
      <c r="E127" s="56">
        <f>G127/1000</f>
        <v>628.01755421215455</v>
      </c>
      <c r="F127" s="13">
        <v>1000</v>
      </c>
      <c r="G127" s="56">
        <f>G125-J125</f>
        <v>628017.55421215459</v>
      </c>
      <c r="I127" s="56"/>
      <c r="J127" s="56"/>
      <c r="K127" s="56"/>
      <c r="L127" s="76"/>
      <c r="M127" s="112">
        <v>35</v>
      </c>
      <c r="N127" s="19">
        <v>43101</v>
      </c>
      <c r="O127" s="13" t="s">
        <v>20</v>
      </c>
      <c r="P127" s="56">
        <f>R127/1000</f>
        <v>1369.0133605852379</v>
      </c>
      <c r="Q127" s="13">
        <v>1000</v>
      </c>
      <c r="R127" s="56">
        <f>R125-U125</f>
        <v>1369013.3605852379</v>
      </c>
      <c r="T127" s="56"/>
      <c r="U127" s="56"/>
      <c r="V127" s="56"/>
      <c r="W127" s="76"/>
      <c r="BC127" s="13">
        <v>43464</v>
      </c>
      <c r="BD127" s="13" t="s">
        <v>22</v>
      </c>
      <c r="BE127" s="13">
        <v>383.90000065456582</v>
      </c>
      <c r="BF127" s="13">
        <v>1000</v>
      </c>
      <c r="BG127" s="13">
        <v>383900.00065456581</v>
      </c>
      <c r="BI127" s="13">
        <v>18280.952412122162</v>
      </c>
      <c r="BJ127" s="13">
        <v>5592.1433428681694</v>
      </c>
      <c r="BK127" s="13">
        <v>12688.809069253992</v>
      </c>
      <c r="BN127" s="13">
        <v>43464</v>
      </c>
      <c r="BO127" s="13" t="s">
        <v>22</v>
      </c>
      <c r="BP127" s="13">
        <v>670.47511544044369</v>
      </c>
      <c r="BQ127" s="13">
        <v>1000</v>
      </c>
      <c r="BR127" s="13">
        <v>670475.11544044374</v>
      </c>
      <c r="BT127" s="13">
        <v>31927.38644954504</v>
      </c>
      <c r="BU127" s="13">
        <v>0</v>
      </c>
      <c r="BV127" s="13">
        <v>31927.38644954504</v>
      </c>
    </row>
    <row r="128" spans="2:74" x14ac:dyDescent="0.2">
      <c r="B128" s="112"/>
      <c r="C128" s="19">
        <v>43464</v>
      </c>
      <c r="D128" s="13" t="s">
        <v>22</v>
      </c>
      <c r="E128" s="56">
        <f>E127*(1+$D$6)</f>
        <v>678.25895854912699</v>
      </c>
      <c r="F128" s="13">
        <v>1000</v>
      </c>
      <c r="G128" s="56">
        <f>F128*E128</f>
        <v>678258.95854912698</v>
      </c>
      <c r="I128" s="56">
        <f>G128-G127</f>
        <v>50241.404336972395</v>
      </c>
      <c r="J128" s="56">
        <f>I128*$D$5</f>
        <v>15368.845586679856</v>
      </c>
      <c r="K128" s="56">
        <f>I128-J128</f>
        <v>34872.558750292541</v>
      </c>
      <c r="L128" s="76"/>
      <c r="M128" s="112"/>
      <c r="N128" s="19">
        <v>43464</v>
      </c>
      <c r="O128" s="13" t="s">
        <v>22</v>
      </c>
      <c r="P128" s="56">
        <f>P127*(1+$D$6)</f>
        <v>1478.5344294320571</v>
      </c>
      <c r="Q128" s="13">
        <v>1000</v>
      </c>
      <c r="R128" s="56">
        <f>Q128*P128</f>
        <v>1478534.4294320571</v>
      </c>
      <c r="T128" s="56">
        <f>R128-R127</f>
        <v>109521.06884681922</v>
      </c>
      <c r="U128" s="56">
        <v>0</v>
      </c>
      <c r="V128" s="56">
        <f>T128-U128</f>
        <v>109521.06884681922</v>
      </c>
      <c r="W128" s="76"/>
    </row>
    <row r="129" spans="2:74" x14ac:dyDescent="0.2">
      <c r="E129" s="56"/>
      <c r="G129" s="56"/>
      <c r="I129" s="56"/>
      <c r="J129" s="56"/>
      <c r="K129" s="56"/>
      <c r="L129" s="76"/>
      <c r="P129" s="56"/>
      <c r="R129" s="56"/>
      <c r="T129" s="56"/>
      <c r="U129" s="56"/>
      <c r="V129" s="56"/>
      <c r="W129" s="76"/>
      <c r="BB129" s="13">
        <v>40</v>
      </c>
      <c r="BC129" s="13">
        <v>43101</v>
      </c>
      <c r="BD129" s="13" t="s">
        <v>20</v>
      </c>
      <c r="BE129" s="13">
        <v>378.3078573116976</v>
      </c>
      <c r="BF129" s="13">
        <v>1000</v>
      </c>
      <c r="BG129" s="13">
        <v>378307.85731169762</v>
      </c>
      <c r="BM129" s="13">
        <v>40</v>
      </c>
      <c r="BN129" s="13">
        <v>43101</v>
      </c>
      <c r="BO129" s="13" t="s">
        <v>20</v>
      </c>
      <c r="BP129" s="13">
        <v>670.47511544044369</v>
      </c>
      <c r="BQ129" s="13">
        <v>1000</v>
      </c>
      <c r="BR129" s="13">
        <v>670475.11544044374</v>
      </c>
    </row>
    <row r="130" spans="2:74" x14ac:dyDescent="0.2">
      <c r="B130" s="112">
        <v>36</v>
      </c>
      <c r="C130" s="19">
        <v>43101</v>
      </c>
      <c r="D130" s="13" t="s">
        <v>20</v>
      </c>
      <c r="E130" s="56">
        <f>G130/1000</f>
        <v>662.89011296244712</v>
      </c>
      <c r="F130" s="13">
        <v>1000</v>
      </c>
      <c r="G130" s="56">
        <f>G128-J128</f>
        <v>662890.11296244711</v>
      </c>
      <c r="I130" s="56"/>
      <c r="J130" s="56"/>
      <c r="K130" s="56"/>
      <c r="L130" s="76"/>
      <c r="M130" s="112">
        <v>36</v>
      </c>
      <c r="N130" s="19">
        <v>43101</v>
      </c>
      <c r="O130" s="13" t="s">
        <v>20</v>
      </c>
      <c r="P130" s="56">
        <f>R130/1000</f>
        <v>1478.5344294320571</v>
      </c>
      <c r="Q130" s="13">
        <v>1000</v>
      </c>
      <c r="R130" s="56">
        <f>R128-U128</f>
        <v>1478534.4294320571</v>
      </c>
      <c r="T130" s="56"/>
      <c r="U130" s="56"/>
      <c r="V130" s="56"/>
      <c r="W130" s="76"/>
      <c r="BC130" s="13">
        <v>43464</v>
      </c>
      <c r="BD130" s="13" t="s">
        <v>22</v>
      </c>
      <c r="BE130" s="13">
        <v>397.22325017728252</v>
      </c>
      <c r="BF130" s="13">
        <v>1000</v>
      </c>
      <c r="BG130" s="13">
        <v>397223.25017728255</v>
      </c>
      <c r="BI130" s="13">
        <v>18915.39286558493</v>
      </c>
      <c r="BJ130" s="13">
        <v>5786.2186775824302</v>
      </c>
      <c r="BK130" s="13">
        <v>13129.1741880025</v>
      </c>
      <c r="BN130" s="13">
        <v>43464</v>
      </c>
      <c r="BO130" s="13" t="s">
        <v>22</v>
      </c>
      <c r="BP130" s="13">
        <v>703.99887121246593</v>
      </c>
      <c r="BQ130" s="13">
        <v>1000</v>
      </c>
      <c r="BR130" s="13">
        <v>703998.87121246592</v>
      </c>
      <c r="BT130" s="13">
        <v>33523.755772022181</v>
      </c>
      <c r="BU130" s="13">
        <v>0</v>
      </c>
      <c r="BV130" s="13">
        <v>33523.755772022181</v>
      </c>
    </row>
    <row r="131" spans="2:74" x14ac:dyDescent="0.2">
      <c r="B131" s="112"/>
      <c r="C131" s="19">
        <v>43464</v>
      </c>
      <c r="D131" s="13" t="s">
        <v>22</v>
      </c>
      <c r="E131" s="56">
        <f>E130*(1+$D$6)</f>
        <v>715.92132199944297</v>
      </c>
      <c r="F131" s="13">
        <v>1000</v>
      </c>
      <c r="G131" s="56">
        <f>F131*E131</f>
        <v>715921.321999443</v>
      </c>
      <c r="I131" s="56">
        <f>G131-G130</f>
        <v>53031.20903699589</v>
      </c>
      <c r="J131" s="56">
        <f>I131*$D$5</f>
        <v>16222.246844417043</v>
      </c>
      <c r="K131" s="56">
        <f>I131-J131</f>
        <v>36808.962192578845</v>
      </c>
      <c r="L131" s="76"/>
      <c r="M131" s="112"/>
      <c r="N131" s="19">
        <v>43464</v>
      </c>
      <c r="O131" s="13" t="s">
        <v>22</v>
      </c>
      <c r="P131" s="56">
        <f>P130*(1+$D$6)</f>
        <v>1596.8171837866219</v>
      </c>
      <c r="Q131" s="13">
        <v>1000</v>
      </c>
      <c r="R131" s="56">
        <f>Q131*P131</f>
        <v>1596817.1837866218</v>
      </c>
      <c r="T131" s="56">
        <f>R131-R130</f>
        <v>118282.75435456471</v>
      </c>
      <c r="U131" s="56">
        <v>0</v>
      </c>
      <c r="V131" s="56">
        <f>T131-U131</f>
        <v>118282.75435456471</v>
      </c>
      <c r="W131" s="76"/>
    </row>
    <row r="132" spans="2:74" x14ac:dyDescent="0.2">
      <c r="E132" s="56"/>
      <c r="G132" s="56"/>
      <c r="I132" s="56"/>
      <c r="J132" s="56"/>
      <c r="K132" s="56"/>
      <c r="L132" s="76"/>
      <c r="P132" s="56"/>
      <c r="R132" s="56"/>
      <c r="T132" s="56"/>
      <c r="U132" s="56"/>
      <c r="V132" s="56"/>
      <c r="W132" s="76"/>
      <c r="BB132" s="13">
        <v>40</v>
      </c>
      <c r="BG132" s="13">
        <v>391437.0314997001</v>
      </c>
    </row>
    <row r="133" spans="2:74" x14ac:dyDescent="0.2">
      <c r="B133" s="112">
        <v>37</v>
      </c>
      <c r="C133" s="19">
        <v>43101</v>
      </c>
      <c r="D133" s="13" t="s">
        <v>20</v>
      </c>
      <c r="E133" s="56">
        <f>G133/1000</f>
        <v>699.69907515502598</v>
      </c>
      <c r="F133" s="13">
        <v>1000</v>
      </c>
      <c r="G133" s="56">
        <f>G131-J131</f>
        <v>699699.07515502593</v>
      </c>
      <c r="I133" s="56"/>
      <c r="J133" s="56"/>
      <c r="K133" s="56"/>
      <c r="L133" s="76"/>
      <c r="M133" s="112">
        <v>37</v>
      </c>
      <c r="N133" s="19">
        <v>43101</v>
      </c>
      <c r="O133" s="13" t="s">
        <v>20</v>
      </c>
      <c r="P133" s="56">
        <f>R133/1000</f>
        <v>1596.8171837866219</v>
      </c>
      <c r="Q133" s="13">
        <v>1000</v>
      </c>
      <c r="R133" s="56">
        <f>R131-U131</f>
        <v>1596817.1837866218</v>
      </c>
      <c r="T133" s="56"/>
      <c r="U133" s="56"/>
      <c r="V133" s="56"/>
      <c r="W133" s="76"/>
    </row>
    <row r="134" spans="2:74" x14ac:dyDescent="0.2">
      <c r="B134" s="112"/>
      <c r="C134" s="19">
        <v>43464</v>
      </c>
      <c r="D134" s="13" t="s">
        <v>22</v>
      </c>
      <c r="E134" s="56">
        <f>E133*(1+$D$6)</f>
        <v>755.67500116742815</v>
      </c>
      <c r="F134" s="13">
        <v>1000</v>
      </c>
      <c r="G134" s="56">
        <f>F134*E134</f>
        <v>755675.0011674281</v>
      </c>
      <c r="I134" s="56">
        <f>G134-G133</f>
        <v>55975.926012402168</v>
      </c>
      <c r="J134" s="56">
        <f>I134*$D$5</f>
        <v>17123.035767193822</v>
      </c>
      <c r="K134" s="56">
        <f>I134-J134</f>
        <v>38852.890245208342</v>
      </c>
      <c r="L134" s="76"/>
      <c r="M134" s="112"/>
      <c r="N134" s="19">
        <v>43464</v>
      </c>
      <c r="O134" s="13" t="s">
        <v>22</v>
      </c>
      <c r="P134" s="56">
        <f>P133*(1+$D$6)</f>
        <v>1724.5625584895517</v>
      </c>
      <c r="Q134" s="13">
        <v>1000</v>
      </c>
      <c r="R134" s="56">
        <f>Q134*P134</f>
        <v>1724562.5584895518</v>
      </c>
      <c r="T134" s="56">
        <f>R134-R133</f>
        <v>127745.37470292998</v>
      </c>
      <c r="U134" s="56">
        <v>0</v>
      </c>
      <c r="V134" s="56">
        <f>T134-U134</f>
        <v>127745.37470292998</v>
      </c>
      <c r="W134" s="76"/>
    </row>
    <row r="135" spans="2:74" x14ac:dyDescent="0.2">
      <c r="E135" s="56"/>
      <c r="G135" s="56"/>
      <c r="I135" s="56"/>
      <c r="J135" s="56"/>
      <c r="K135" s="56"/>
      <c r="L135" s="76"/>
      <c r="P135" s="56"/>
      <c r="R135" s="56"/>
      <c r="T135" s="56"/>
      <c r="U135" s="56"/>
      <c r="V135" s="56"/>
      <c r="W135" s="76"/>
    </row>
    <row r="136" spans="2:74" x14ac:dyDescent="0.2">
      <c r="B136" s="112">
        <v>38</v>
      </c>
      <c r="C136" s="19">
        <v>43101</v>
      </c>
      <c r="D136" s="13" t="s">
        <v>20</v>
      </c>
      <c r="E136" s="56">
        <f>G136/1000</f>
        <v>738.55196540023428</v>
      </c>
      <c r="F136" s="13">
        <v>1000</v>
      </c>
      <c r="G136" s="56">
        <f>G134-J134</f>
        <v>738551.96540023433</v>
      </c>
      <c r="I136" s="56"/>
      <c r="J136" s="56"/>
      <c r="K136" s="56"/>
      <c r="L136" s="76"/>
      <c r="M136" s="112">
        <v>38</v>
      </c>
      <c r="N136" s="19">
        <v>43101</v>
      </c>
      <c r="O136" s="13" t="s">
        <v>20</v>
      </c>
      <c r="P136" s="56">
        <f>R136/1000</f>
        <v>1724.5625584895517</v>
      </c>
      <c r="Q136" s="13">
        <v>1000</v>
      </c>
      <c r="R136" s="56">
        <f>R134-U134</f>
        <v>1724562.5584895518</v>
      </c>
      <c r="T136" s="56"/>
      <c r="U136" s="56"/>
      <c r="V136" s="56"/>
      <c r="W136" s="76"/>
    </row>
    <row r="137" spans="2:74" x14ac:dyDescent="0.2">
      <c r="B137" s="112"/>
      <c r="C137" s="19">
        <v>43464</v>
      </c>
      <c r="D137" s="13" t="s">
        <v>22</v>
      </c>
      <c r="E137" s="56">
        <f>E136*(1+$D$6)</f>
        <v>797.63612263225309</v>
      </c>
      <c r="F137" s="13">
        <v>1000</v>
      </c>
      <c r="G137" s="56">
        <f>F137*E137</f>
        <v>797636.1226322531</v>
      </c>
      <c r="I137" s="56">
        <f>G137-G136</f>
        <v>59084.15723201877</v>
      </c>
      <c r="J137" s="56">
        <f>I137*$D$5</f>
        <v>18073.84369727454</v>
      </c>
      <c r="K137" s="56">
        <f>I137-J137</f>
        <v>41010.313534744229</v>
      </c>
      <c r="L137" s="76"/>
      <c r="M137" s="112"/>
      <c r="N137" s="19">
        <v>43464</v>
      </c>
      <c r="O137" s="13" t="s">
        <v>22</v>
      </c>
      <c r="P137" s="56">
        <f>P136*(1+$D$6)</f>
        <v>1862.5275631687159</v>
      </c>
      <c r="Q137" s="13">
        <v>1000</v>
      </c>
      <c r="R137" s="56">
        <f>Q137*P137</f>
        <v>1862527.5631687159</v>
      </c>
      <c r="T137" s="56">
        <f>R137-R136</f>
        <v>137965.00467916415</v>
      </c>
      <c r="U137" s="56">
        <v>0</v>
      </c>
      <c r="V137" s="56">
        <f>T137-U137</f>
        <v>137965.00467916415</v>
      </c>
      <c r="W137" s="76"/>
    </row>
    <row r="138" spans="2:74" x14ac:dyDescent="0.2">
      <c r="E138" s="56"/>
      <c r="G138" s="56"/>
      <c r="I138" s="56"/>
      <c r="J138" s="56"/>
      <c r="K138" s="56"/>
      <c r="L138" s="76"/>
      <c r="P138" s="56"/>
      <c r="R138" s="56"/>
      <c r="T138" s="56"/>
      <c r="U138" s="56"/>
      <c r="V138" s="56"/>
      <c r="W138" s="76"/>
    </row>
    <row r="139" spans="2:74" x14ac:dyDescent="0.2">
      <c r="B139" s="112">
        <v>39</v>
      </c>
      <c r="C139" s="19">
        <v>43101</v>
      </c>
      <c r="D139" s="13" t="s">
        <v>20</v>
      </c>
      <c r="E139" s="56">
        <f>G139/1000</f>
        <v>779.56227893497851</v>
      </c>
      <c r="F139" s="13">
        <v>1000</v>
      </c>
      <c r="G139" s="56">
        <f>G137-J137</f>
        <v>779562.27893497853</v>
      </c>
      <c r="I139" s="56"/>
      <c r="J139" s="56"/>
      <c r="K139" s="56"/>
      <c r="L139" s="76"/>
      <c r="M139" s="112">
        <v>39</v>
      </c>
      <c r="N139" s="19">
        <v>43101</v>
      </c>
      <c r="O139" s="13" t="s">
        <v>20</v>
      </c>
      <c r="P139" s="56">
        <f>R139/1000</f>
        <v>1862.5275631687159</v>
      </c>
      <c r="Q139" s="13">
        <v>1000</v>
      </c>
      <c r="R139" s="56">
        <f>R137-U137</f>
        <v>1862527.5631687159</v>
      </c>
      <c r="T139" s="56"/>
      <c r="U139" s="56"/>
      <c r="V139" s="56"/>
      <c r="W139" s="76"/>
    </row>
    <row r="140" spans="2:74" x14ac:dyDescent="0.2">
      <c r="B140" s="112"/>
      <c r="C140" s="19">
        <v>43464</v>
      </c>
      <c r="D140" s="13" t="s">
        <v>22</v>
      </c>
      <c r="E140" s="56">
        <f>E139*(1+$D$6)</f>
        <v>841.92726124977685</v>
      </c>
      <c r="F140" s="13">
        <v>1000</v>
      </c>
      <c r="G140" s="56">
        <f>F140*E140</f>
        <v>841927.26124977681</v>
      </c>
      <c r="I140" s="56">
        <f>G140-G139</f>
        <v>62364.982314798282</v>
      </c>
      <c r="J140" s="56">
        <f>I140*$D$5</f>
        <v>19077.448090096794</v>
      </c>
      <c r="K140" s="56">
        <f>I140-J140</f>
        <v>43287.534224701492</v>
      </c>
      <c r="L140" s="76"/>
      <c r="M140" s="112"/>
      <c r="N140" s="19">
        <v>43464</v>
      </c>
      <c r="O140" s="13" t="s">
        <v>22</v>
      </c>
      <c r="P140" s="56">
        <f>P139*(1+$D$6)</f>
        <v>2011.5297682222133</v>
      </c>
      <c r="Q140" s="13">
        <v>1000</v>
      </c>
      <c r="R140" s="56">
        <f>Q140*P140</f>
        <v>2011529.7682222133</v>
      </c>
      <c r="T140" s="56">
        <f>R140-R139</f>
        <v>149002.20505349734</v>
      </c>
      <c r="U140" s="56">
        <v>0</v>
      </c>
      <c r="V140" s="56">
        <f>T140-U140</f>
        <v>149002.20505349734</v>
      </c>
      <c r="W140" s="76"/>
    </row>
    <row r="141" spans="2:74" x14ac:dyDescent="0.2">
      <c r="E141" s="56"/>
      <c r="G141" s="56"/>
      <c r="I141" s="56"/>
      <c r="J141" s="56"/>
      <c r="K141" s="56"/>
      <c r="L141" s="76"/>
      <c r="P141" s="56"/>
      <c r="R141" s="56"/>
      <c r="T141" s="56"/>
      <c r="U141" s="56"/>
      <c r="V141" s="56"/>
      <c r="W141" s="76"/>
    </row>
    <row r="142" spans="2:74" x14ac:dyDescent="0.2">
      <c r="B142" s="112">
        <v>40</v>
      </c>
      <c r="C142" s="23">
        <v>43101</v>
      </c>
      <c r="D142" s="24" t="s">
        <v>20</v>
      </c>
      <c r="E142" s="56">
        <f>G142/1000</f>
        <v>822.84981315968002</v>
      </c>
      <c r="F142" s="24">
        <v>1000</v>
      </c>
      <c r="G142" s="56">
        <f>G140-J140</f>
        <v>822849.81315967999</v>
      </c>
      <c r="H142" s="24"/>
      <c r="I142" s="56"/>
      <c r="J142" s="56"/>
      <c r="K142" s="56"/>
      <c r="L142" s="76"/>
      <c r="M142" s="112">
        <v>40</v>
      </c>
      <c r="N142" s="23">
        <v>43101</v>
      </c>
      <c r="O142" s="24" t="s">
        <v>20</v>
      </c>
      <c r="P142" s="56">
        <f>R142/1000</f>
        <v>2011.5297682222133</v>
      </c>
      <c r="Q142" s="24">
        <v>1000</v>
      </c>
      <c r="R142" s="56">
        <f>R140-U140</f>
        <v>2011529.7682222133</v>
      </c>
      <c r="S142" s="24"/>
      <c r="T142" s="56"/>
      <c r="U142" s="56"/>
      <c r="V142" s="56"/>
      <c r="W142" s="76"/>
    </row>
    <row r="143" spans="2:74" x14ac:dyDescent="0.2">
      <c r="B143" s="113"/>
      <c r="C143" s="25">
        <v>43464</v>
      </c>
      <c r="D143" s="26" t="s">
        <v>22</v>
      </c>
      <c r="E143" s="57">
        <f>E142*(1+$D$6)</f>
        <v>888.67779821245449</v>
      </c>
      <c r="F143" s="26">
        <v>1000</v>
      </c>
      <c r="G143" s="57">
        <f>F143*E143</f>
        <v>888677.79821245454</v>
      </c>
      <c r="H143" s="26"/>
      <c r="I143" s="57">
        <f>G143-G142</f>
        <v>65827.985052774544</v>
      </c>
      <c r="J143" s="57">
        <f>I143*$D$5</f>
        <v>20136.780627643733</v>
      </c>
      <c r="K143" s="57">
        <f>I143-J143</f>
        <v>45691.204425130811</v>
      </c>
      <c r="L143" s="76"/>
      <c r="M143" s="113"/>
      <c r="N143" s="25">
        <v>43464</v>
      </c>
      <c r="O143" s="26" t="s">
        <v>22</v>
      </c>
      <c r="P143" s="57">
        <f>P142*(1+$D$6)</f>
        <v>2172.4521496799907</v>
      </c>
      <c r="Q143" s="26">
        <v>1000</v>
      </c>
      <c r="R143" s="57">
        <f>Q143*P143</f>
        <v>2172452.149679991</v>
      </c>
      <c r="S143" s="26"/>
      <c r="T143" s="57">
        <f>R143-R142</f>
        <v>160922.38145777769</v>
      </c>
      <c r="U143" s="57">
        <v>0</v>
      </c>
      <c r="V143" s="57">
        <f>T143-U143</f>
        <v>160922.38145777769</v>
      </c>
      <c r="W143" s="76"/>
    </row>
    <row r="144" spans="2:74" x14ac:dyDescent="0.2">
      <c r="B144" s="22"/>
      <c r="L144" s="76"/>
      <c r="M144" s="68"/>
      <c r="W144" s="76"/>
    </row>
    <row r="146" spans="2:21" x14ac:dyDescent="0.2">
      <c r="B146" s="26" t="s">
        <v>26</v>
      </c>
      <c r="C146" s="84">
        <f>G143</f>
        <v>888677.79821245454</v>
      </c>
      <c r="D146" s="85">
        <f>(C146/100000)^(1/40)-1</f>
        <v>5.6132988889481483E-2</v>
      </c>
      <c r="J146" s="14"/>
      <c r="M146" s="26" t="s">
        <v>26</v>
      </c>
      <c r="N146" s="84">
        <f>R143</f>
        <v>2172452.149679991</v>
      </c>
      <c r="O146" s="85">
        <f>(N146/100000)^(1/40)-1</f>
        <v>8.0000000000000071E-2</v>
      </c>
      <c r="U146" s="14"/>
    </row>
    <row r="147" spans="2:21" x14ac:dyDescent="0.2">
      <c r="B147" s="13" t="s">
        <v>24</v>
      </c>
      <c r="C147" s="78">
        <f>J143</f>
        <v>20136.780627643733</v>
      </c>
      <c r="J147" s="18"/>
      <c r="M147" s="13" t="s">
        <v>24</v>
      </c>
      <c r="N147" s="78">
        <f>(N146-R25)*D5</f>
        <v>633963.11258710921</v>
      </c>
      <c r="U147" s="18"/>
    </row>
    <row r="148" spans="2:21" x14ac:dyDescent="0.2">
      <c r="B148" s="26" t="s">
        <v>66</v>
      </c>
      <c r="C148" s="83">
        <f>C146-C147</f>
        <v>868541.01758481085</v>
      </c>
      <c r="D148" s="26"/>
      <c r="J148" s="14"/>
      <c r="M148" s="26" t="s">
        <v>66</v>
      </c>
      <c r="N148" s="83">
        <f>N146-N147</f>
        <v>1538489.0370928817</v>
      </c>
      <c r="O148" s="26"/>
      <c r="U148" s="14"/>
    </row>
    <row r="149" spans="2:21" x14ac:dyDescent="0.2">
      <c r="B149" s="13" t="s">
        <v>67</v>
      </c>
      <c r="C149" s="21">
        <f>(C148-G25)/G25</f>
        <v>7.6854101758481086</v>
      </c>
      <c r="M149" s="13" t="s">
        <v>67</v>
      </c>
      <c r="N149" s="21">
        <f>(N148-R25)/R25</f>
        <v>14.384890370928817</v>
      </c>
    </row>
    <row r="150" spans="2:21" x14ac:dyDescent="0.2">
      <c r="B150" s="13" t="s">
        <v>43</v>
      </c>
      <c r="C150" s="21">
        <f>(1+C149)^(1/40)-1</f>
        <v>5.5528000000000022E-2</v>
      </c>
      <c r="M150" s="13" t="s">
        <v>43</v>
      </c>
      <c r="N150" s="21">
        <f>(1+N149)^(1/40)-1</f>
        <v>7.0723563040509196E-2</v>
      </c>
    </row>
    <row r="153" spans="2:21" x14ac:dyDescent="0.2">
      <c r="B153" s="100"/>
      <c r="C153" s="101" t="s">
        <v>36</v>
      </c>
      <c r="D153" s="101" t="s">
        <v>37</v>
      </c>
      <c r="E153" s="100" t="s">
        <v>38</v>
      </c>
      <c r="N153" s="68"/>
      <c r="O153" s="68"/>
    </row>
    <row r="154" spans="2:21" x14ac:dyDescent="0.2">
      <c r="B154" s="100"/>
      <c r="C154" s="100"/>
      <c r="D154" s="100"/>
      <c r="E154" s="100"/>
    </row>
    <row r="155" spans="2:21" x14ac:dyDescent="0.2">
      <c r="B155" s="101">
        <v>0</v>
      </c>
      <c r="C155" s="102">
        <f>G25</f>
        <v>100000</v>
      </c>
      <c r="D155" s="102">
        <f>R25</f>
        <v>100000</v>
      </c>
      <c r="E155" s="102">
        <f>D155-C155</f>
        <v>0</v>
      </c>
      <c r="M155" s="68"/>
      <c r="N155" s="14"/>
      <c r="O155" s="14"/>
      <c r="P155" s="14"/>
    </row>
    <row r="156" spans="2:21" x14ac:dyDescent="0.2">
      <c r="B156" s="101">
        <v>1</v>
      </c>
      <c r="C156" s="102">
        <f>G28</f>
        <v>105552.8</v>
      </c>
      <c r="D156" s="102">
        <f>R28</f>
        <v>108000</v>
      </c>
      <c r="E156" s="102">
        <f t="shared" ref="E156:E195" si="0">D156-C156</f>
        <v>2447.1999999999971</v>
      </c>
      <c r="M156" s="68"/>
      <c r="N156" s="14"/>
      <c r="O156" s="14"/>
      <c r="P156" s="14"/>
    </row>
    <row r="157" spans="2:21" x14ac:dyDescent="0.2">
      <c r="B157" s="101">
        <v>2</v>
      </c>
      <c r="C157" s="102">
        <f>G31</f>
        <v>111413.93587840001</v>
      </c>
      <c r="D157" s="102">
        <f>R31</f>
        <v>116640.00000000001</v>
      </c>
      <c r="E157" s="102">
        <f t="shared" si="0"/>
        <v>5226.0641216000076</v>
      </c>
      <c r="M157" s="68"/>
      <c r="N157" s="14"/>
      <c r="O157" s="14"/>
      <c r="P157" s="14"/>
    </row>
    <row r="158" spans="2:21" x14ac:dyDescent="0.2">
      <c r="B158" s="101">
        <v>3</v>
      </c>
      <c r="C158" s="102">
        <f>G34</f>
        <v>117600.52890985581</v>
      </c>
      <c r="D158" s="102">
        <f>R34</f>
        <v>125971.20000000003</v>
      </c>
      <c r="E158" s="102">
        <f t="shared" si="0"/>
        <v>8370.6710901442129</v>
      </c>
      <c r="M158" s="68"/>
      <c r="N158" s="14"/>
      <c r="O158" s="14"/>
      <c r="P158" s="14"/>
    </row>
    <row r="159" spans="2:21" x14ac:dyDescent="0.2">
      <c r="B159" s="101">
        <v>4</v>
      </c>
      <c r="C159" s="102">
        <f>G37</f>
        <v>124130.65107916229</v>
      </c>
      <c r="D159" s="102">
        <f>R37</f>
        <v>136048.89600000004</v>
      </c>
      <c r="E159" s="102">
        <f t="shared" si="0"/>
        <v>11918.244920837751</v>
      </c>
      <c r="M159" s="68"/>
      <c r="N159" s="14"/>
      <c r="O159" s="14"/>
      <c r="P159" s="14"/>
    </row>
    <row r="160" spans="2:21" x14ac:dyDescent="0.2">
      <c r="B160" s="101">
        <v>5</v>
      </c>
      <c r="C160" s="102">
        <f>G40</f>
        <v>131023.37787228603</v>
      </c>
      <c r="D160" s="102">
        <f>R40</f>
        <v>146932.80768000006</v>
      </c>
      <c r="E160" s="102">
        <f t="shared" si="0"/>
        <v>15909.429807714027</v>
      </c>
      <c r="M160" s="68"/>
      <c r="N160" s="14"/>
      <c r="O160" s="14"/>
      <c r="P160" s="14"/>
    </row>
    <row r="161" spans="2:16" x14ac:dyDescent="0.2">
      <c r="B161" s="101">
        <v>6</v>
      </c>
      <c r="C161" s="102">
        <f>G43</f>
        <v>138298.84399877835</v>
      </c>
      <c r="D161" s="102">
        <f>R43</f>
        <v>158687.43229440006</v>
      </c>
      <c r="E161" s="102">
        <f t="shared" si="0"/>
        <v>20388.58829562171</v>
      </c>
      <c r="M161" s="68"/>
      <c r="N161" s="14"/>
      <c r="O161" s="14"/>
      <c r="P161" s="14"/>
    </row>
    <row r="162" spans="2:16" x14ac:dyDescent="0.2">
      <c r="B162" s="101">
        <v>7</v>
      </c>
      <c r="C162" s="102">
        <f>G46</f>
        <v>145978.30220834253</v>
      </c>
      <c r="D162" s="102">
        <f>R46</f>
        <v>171382.42687795206</v>
      </c>
      <c r="E162" s="102">
        <f t="shared" si="0"/>
        <v>25404.124669609533</v>
      </c>
      <c r="M162" s="68"/>
      <c r="N162" s="14"/>
      <c r="O162" s="14"/>
      <c r="P162" s="14"/>
    </row>
    <row r="163" spans="2:16" x14ac:dyDescent="0.2">
      <c r="B163" s="101">
        <v>8</v>
      </c>
      <c r="C163" s="102">
        <f>G49</f>
        <v>154084.18537336739</v>
      </c>
      <c r="D163" s="102">
        <f>R49</f>
        <v>185093.02102818826</v>
      </c>
      <c r="E163" s="102">
        <f t="shared" si="0"/>
        <v>31008.835654820869</v>
      </c>
      <c r="M163" s="68"/>
      <c r="N163" s="14"/>
      <c r="O163" s="14"/>
      <c r="P163" s="14"/>
    </row>
    <row r="164" spans="2:16" x14ac:dyDescent="0.2">
      <c r="B164" s="101">
        <v>9</v>
      </c>
      <c r="C164" s="102">
        <f>G52</f>
        <v>162640.17201877976</v>
      </c>
      <c r="D164" s="102">
        <f>R52</f>
        <v>199900.46271044336</v>
      </c>
      <c r="E164" s="102">
        <f t="shared" si="0"/>
        <v>37260.290691663598</v>
      </c>
      <c r="M164" s="68"/>
      <c r="N164" s="14"/>
      <c r="O164" s="14"/>
      <c r="P164" s="14"/>
    </row>
    <row r="165" spans="2:16" x14ac:dyDescent="0.2">
      <c r="B165" s="101">
        <v>10</v>
      </c>
      <c r="C165" s="102">
        <f>G55</f>
        <v>171671.25549063858</v>
      </c>
      <c r="D165" s="102">
        <f>R55</f>
        <v>215892.49972727883</v>
      </c>
      <c r="E165" s="102">
        <f t="shared" si="0"/>
        <v>44221.244236640254</v>
      </c>
      <c r="M165" s="68"/>
      <c r="N165" s="14"/>
      <c r="O165" s="14"/>
      <c r="P165" s="14"/>
    </row>
    <row r="166" spans="2:16" x14ac:dyDescent="0.2">
      <c r="B166" s="101">
        <v>11</v>
      </c>
      <c r="C166" s="102">
        <f>G58</f>
        <v>181203.81696552277</v>
      </c>
      <c r="D166" s="102">
        <f>R58</f>
        <v>233163.89970546114</v>
      </c>
      <c r="E166" s="102">
        <f t="shared" si="0"/>
        <v>51960.082739938371</v>
      </c>
      <c r="M166" s="68"/>
      <c r="N166" s="14"/>
      <c r="O166" s="14"/>
      <c r="P166" s="14"/>
    </row>
    <row r="167" spans="2:16" x14ac:dyDescent="0.2">
      <c r="B167" s="101">
        <v>12</v>
      </c>
      <c r="C167" s="102">
        <f>G61</f>
        <v>191265.70251398432</v>
      </c>
      <c r="D167" s="102">
        <f>R61</f>
        <v>251817.01168189806</v>
      </c>
      <c r="E167" s="102">
        <f t="shared" si="0"/>
        <v>60551.309167913743</v>
      </c>
      <c r="M167" s="68"/>
      <c r="N167" s="14"/>
      <c r="O167" s="14"/>
      <c r="P167" s="14"/>
    </row>
    <row r="168" spans="2:16" x14ac:dyDescent="0.2">
      <c r="B168" s="101">
        <v>13</v>
      </c>
      <c r="C168" s="102">
        <f>G64</f>
        <v>201886.30444318082</v>
      </c>
      <c r="D168" s="102">
        <f>R64</f>
        <v>271962.37261644995</v>
      </c>
      <c r="E168" s="102">
        <f t="shared" si="0"/>
        <v>70076.06817326913</v>
      </c>
      <c r="M168" s="68"/>
      <c r="N168" s="14"/>
      <c r="O168" s="14"/>
      <c r="P168" s="14"/>
    </row>
    <row r="169" spans="2:16" x14ac:dyDescent="0.2">
      <c r="B169" s="101">
        <v>14</v>
      </c>
      <c r="C169" s="102">
        <f>G67</f>
        <v>213096.6471563018</v>
      </c>
      <c r="D169" s="102">
        <f>R67</f>
        <v>293719.36242576595</v>
      </c>
      <c r="E169" s="102">
        <f t="shared" si="0"/>
        <v>80622.715269464155</v>
      </c>
      <c r="M169" s="68"/>
      <c r="N169" s="14"/>
      <c r="O169" s="14"/>
      <c r="P169" s="14"/>
    </row>
    <row r="170" spans="2:16" x14ac:dyDescent="0.2">
      <c r="B170" s="101">
        <v>15</v>
      </c>
      <c r="C170" s="102">
        <f>G70</f>
        <v>224929.47777959693</v>
      </c>
      <c r="D170" s="102">
        <f>R70</f>
        <v>317216.9114198272</v>
      </c>
      <c r="E170" s="102">
        <f t="shared" si="0"/>
        <v>92287.433640230272</v>
      </c>
      <c r="M170" s="68"/>
      <c r="N170" s="14"/>
      <c r="O170" s="14"/>
      <c r="P170" s="14"/>
    </row>
    <row r="171" spans="2:16" x14ac:dyDescent="0.2">
      <c r="B171" s="101">
        <v>16</v>
      </c>
      <c r="C171" s="102">
        <f>G73</f>
        <v>237419.36182174238</v>
      </c>
      <c r="D171" s="102">
        <f>R73</f>
        <v>342594.26433341345</v>
      </c>
      <c r="E171" s="102">
        <f t="shared" si="0"/>
        <v>105174.90251167107</v>
      </c>
      <c r="M171" s="68"/>
      <c r="N171" s="14"/>
      <c r="O171" s="14"/>
      <c r="P171" s="14"/>
    </row>
    <row r="172" spans="2:16" x14ac:dyDescent="0.2">
      <c r="B172" s="101">
        <v>17</v>
      </c>
      <c r="C172" s="102">
        <f>G76</f>
        <v>250602.78414498011</v>
      </c>
      <c r="D172" s="102">
        <f>R76</f>
        <v>370001.80548008654</v>
      </c>
      <c r="E172" s="102">
        <f t="shared" si="0"/>
        <v>119399.02133510643</v>
      </c>
      <c r="M172" s="68"/>
      <c r="N172" s="14"/>
      <c r="O172" s="14"/>
      <c r="P172" s="14"/>
    </row>
    <row r="173" spans="2:16" x14ac:dyDescent="0.2">
      <c r="B173" s="101">
        <v>18</v>
      </c>
      <c r="C173" s="102">
        <f>G79</f>
        <v>264518.25554298254</v>
      </c>
      <c r="D173" s="102">
        <f>R79</f>
        <v>399601.94991849351</v>
      </c>
      <c r="E173" s="102">
        <f t="shared" si="0"/>
        <v>135083.69437551097</v>
      </c>
      <c r="M173" s="68"/>
      <c r="N173" s="14"/>
      <c r="O173" s="14"/>
      <c r="P173" s="14"/>
    </row>
    <row r="174" spans="2:16" x14ac:dyDescent="0.2">
      <c r="B174" s="101">
        <v>19</v>
      </c>
      <c r="C174" s="102">
        <f>G82</f>
        <v>279206.42523677327</v>
      </c>
      <c r="D174" s="102">
        <f>R82</f>
        <v>431570.10591197305</v>
      </c>
      <c r="E174" s="102">
        <f t="shared" si="0"/>
        <v>152363.68067519978</v>
      </c>
      <c r="M174" s="68"/>
      <c r="N174" s="14"/>
      <c r="O174" s="14"/>
      <c r="P174" s="14"/>
    </row>
    <row r="175" spans="2:16" x14ac:dyDescent="0.2">
      <c r="B175" s="101">
        <v>20</v>
      </c>
      <c r="C175" s="102">
        <f>G85</f>
        <v>294710.19961732085</v>
      </c>
      <c r="D175" s="102">
        <f>R85</f>
        <v>466095.71438493091</v>
      </c>
      <c r="E175" s="102">
        <f t="shared" si="0"/>
        <v>171385.51476761006</v>
      </c>
      <c r="M175" s="68"/>
      <c r="N175" s="14"/>
      <c r="O175" s="14"/>
      <c r="P175" s="14"/>
    </row>
    <row r="176" spans="2:16" x14ac:dyDescent="0.2">
      <c r="B176" s="101">
        <v>21</v>
      </c>
      <c r="C176" s="102">
        <f>G88</f>
        <v>311074.86758167145</v>
      </c>
      <c r="D176" s="102">
        <f>R88</f>
        <v>503383.37153572543</v>
      </c>
      <c r="E176" s="102">
        <f t="shared" si="0"/>
        <v>192308.50395405397</v>
      </c>
      <c r="M176" s="68"/>
      <c r="N176" s="14"/>
      <c r="O176" s="14"/>
      <c r="P176" s="14"/>
    </row>
    <row r="177" spans="2:16" x14ac:dyDescent="0.2">
      <c r="B177" s="101">
        <v>22</v>
      </c>
      <c r="C177" s="102">
        <f>G91</f>
        <v>328348.23282874649</v>
      </c>
      <c r="D177" s="102">
        <f>R91</f>
        <v>543654.04125858343</v>
      </c>
      <c r="E177" s="102">
        <f t="shared" si="0"/>
        <v>215305.80842983694</v>
      </c>
      <c r="M177" s="68"/>
      <c r="N177" s="14"/>
      <c r="O177" s="14"/>
      <c r="P177" s="14"/>
    </row>
    <row r="178" spans="2:16" x14ac:dyDescent="0.2">
      <c r="B178" s="101">
        <v>23</v>
      </c>
      <c r="C178" s="102">
        <f>G94</f>
        <v>346580.75350126118</v>
      </c>
      <c r="D178" s="102">
        <f>R94</f>
        <v>587146.36455927021</v>
      </c>
      <c r="E178" s="102">
        <f t="shared" si="0"/>
        <v>240565.61105800903</v>
      </c>
      <c r="M178" s="68"/>
      <c r="N178" s="14"/>
      <c r="O178" s="14"/>
      <c r="P178" s="14"/>
    </row>
    <row r="179" spans="2:16" x14ac:dyDescent="0.2">
      <c r="B179" s="101">
        <v>24</v>
      </c>
      <c r="C179" s="102">
        <f>G97</f>
        <v>365825.68958167924</v>
      </c>
      <c r="D179" s="102">
        <f>R97</f>
        <v>634118.07372401189</v>
      </c>
      <c r="E179" s="102">
        <f t="shared" si="0"/>
        <v>268292.38414233265</v>
      </c>
      <c r="M179" s="68"/>
      <c r="N179" s="14"/>
      <c r="O179" s="14"/>
      <c r="P179" s="14"/>
    </row>
    <row r="180" spans="2:16" x14ac:dyDescent="0.2">
      <c r="B180" s="101">
        <v>25</v>
      </c>
      <c r="C180" s="102">
        <f>G100</f>
        <v>386139.25847277074</v>
      </c>
      <c r="D180" s="102">
        <f>R100</f>
        <v>684847.51962193288</v>
      </c>
      <c r="E180" s="102">
        <f t="shared" si="0"/>
        <v>298708.26114916214</v>
      </c>
      <c r="M180" s="68"/>
      <c r="N180" s="14"/>
      <c r="O180" s="14"/>
      <c r="P180" s="14"/>
    </row>
    <row r="181" spans="2:16" x14ac:dyDescent="0.2">
      <c r="B181" s="101">
        <v>26</v>
      </c>
      <c r="C181" s="102">
        <f>G103</f>
        <v>407580.79921724676</v>
      </c>
      <c r="D181" s="102">
        <f>R103</f>
        <v>739635.3211916876</v>
      </c>
      <c r="E181" s="102">
        <f t="shared" si="0"/>
        <v>332054.52197444084</v>
      </c>
      <c r="M181" s="68"/>
      <c r="N181" s="14"/>
      <c r="O181" s="14"/>
      <c r="P181" s="14"/>
    </row>
    <row r="182" spans="2:16" x14ac:dyDescent="0.2">
      <c r="B182" s="101">
        <v>27</v>
      </c>
      <c r="C182" s="102">
        <f>G106</f>
        <v>430212.94583618204</v>
      </c>
      <c r="D182" s="102">
        <f>R106</f>
        <v>798806.14688702265</v>
      </c>
      <c r="E182" s="102">
        <f t="shared" si="0"/>
        <v>368593.20105084061</v>
      </c>
      <c r="M182" s="68"/>
      <c r="N182" s="14"/>
      <c r="O182" s="14"/>
      <c r="P182" s="14"/>
    </row>
    <row r="183" spans="2:16" x14ac:dyDescent="0.2">
      <c r="B183" s="101">
        <v>28</v>
      </c>
      <c r="C183" s="102">
        <f>G109</f>
        <v>454101.81029257359</v>
      </c>
      <c r="D183" s="102">
        <f>R109</f>
        <v>862710.63863798452</v>
      </c>
      <c r="E183" s="102">
        <f t="shared" si="0"/>
        <v>408608.82834541093</v>
      </c>
      <c r="M183" s="68"/>
      <c r="N183" s="14"/>
      <c r="O183" s="14"/>
      <c r="P183" s="14"/>
    </row>
    <row r="184" spans="2:16" x14ac:dyDescent="0.2">
      <c r="B184" s="101">
        <v>29</v>
      </c>
      <c r="C184" s="102">
        <f>G112</f>
        <v>479317.17561449966</v>
      </c>
      <c r="D184" s="102">
        <f>R112</f>
        <v>931727.48972902331</v>
      </c>
      <c r="E184" s="102">
        <f t="shared" si="0"/>
        <v>452410.31411452364</v>
      </c>
      <c r="M184" s="68"/>
      <c r="N184" s="14"/>
      <c r="O184" s="14"/>
      <c r="P184" s="14"/>
    </row>
    <row r="185" spans="2:16" x14ac:dyDescent="0.2">
      <c r="B185" s="101">
        <v>30</v>
      </c>
      <c r="C185" s="102">
        <f>G115</f>
        <v>505932.69974202162</v>
      </c>
      <c r="D185" s="102">
        <f>R115</f>
        <v>1006265.6889073453</v>
      </c>
      <c r="E185" s="102">
        <f t="shared" si="0"/>
        <v>500332.98916532367</v>
      </c>
      <c r="M185" s="68"/>
      <c r="N185" s="14"/>
      <c r="O185" s="14"/>
      <c r="P185" s="14"/>
    </row>
    <row r="186" spans="2:16" x14ac:dyDescent="0.2">
      <c r="B186" s="101">
        <v>31</v>
      </c>
      <c r="C186" s="102">
        <f>G118</f>
        <v>534026.13069329667</v>
      </c>
      <c r="D186" s="102">
        <f>R118</f>
        <v>1086766.944019933</v>
      </c>
      <c r="E186" s="102">
        <f t="shared" si="0"/>
        <v>552740.81332663633</v>
      </c>
      <c r="M186" s="68"/>
      <c r="N186" s="14"/>
      <c r="O186" s="14"/>
      <c r="P186" s="14"/>
    </row>
    <row r="187" spans="2:16" x14ac:dyDescent="0.2">
      <c r="B187" s="101">
        <v>32</v>
      </c>
      <c r="C187" s="102">
        <f>G121</f>
        <v>563679.53367843409</v>
      </c>
      <c r="D187" s="102">
        <f>R121</f>
        <v>1173708.2995415276</v>
      </c>
      <c r="E187" s="102">
        <f t="shared" si="0"/>
        <v>610028.76586309355</v>
      </c>
      <c r="M187" s="68"/>
      <c r="N187" s="14"/>
      <c r="O187" s="14"/>
      <c r="P187" s="14"/>
    </row>
    <row r="188" spans="2:16" x14ac:dyDescent="0.2">
      <c r="B188" s="101">
        <v>33</v>
      </c>
      <c r="C188" s="102">
        <f>G124</f>
        <v>594979.53082453017</v>
      </c>
      <c r="D188" s="102">
        <f>R124</f>
        <v>1267604.9635048499</v>
      </c>
      <c r="E188" s="102">
        <f t="shared" si="0"/>
        <v>672625.43268031976</v>
      </c>
      <c r="M188" s="68"/>
      <c r="N188" s="14"/>
      <c r="O188" s="14"/>
      <c r="P188" s="14"/>
    </row>
    <row r="189" spans="2:16" x14ac:dyDescent="0.2">
      <c r="B189" s="101">
        <v>34</v>
      </c>
      <c r="C189" s="102">
        <f>G127</f>
        <v>628017.55421215459</v>
      </c>
      <c r="D189" s="102">
        <f>R127</f>
        <v>1369013.3605852379</v>
      </c>
      <c r="E189" s="102">
        <f t="shared" si="0"/>
        <v>740995.80637308327</v>
      </c>
      <c r="M189" s="68"/>
      <c r="N189" s="14"/>
      <c r="O189" s="14"/>
      <c r="P189" s="14"/>
    </row>
    <row r="190" spans="2:16" x14ac:dyDescent="0.2">
      <c r="B190" s="101">
        <v>35</v>
      </c>
      <c r="C190" s="102">
        <f>G130</f>
        <v>662890.11296244711</v>
      </c>
      <c r="D190" s="102">
        <f>R130</f>
        <v>1478534.4294320571</v>
      </c>
      <c r="E190" s="102">
        <f t="shared" si="0"/>
        <v>815644.31646960997</v>
      </c>
      <c r="M190" s="68"/>
      <c r="N190" s="14"/>
      <c r="O190" s="14"/>
      <c r="P190" s="14"/>
    </row>
    <row r="191" spans="2:16" x14ac:dyDescent="0.2">
      <c r="B191" s="101">
        <v>36</v>
      </c>
      <c r="C191" s="102">
        <f>G133</f>
        <v>699699.07515502593</v>
      </c>
      <c r="D191" s="102">
        <f>R133</f>
        <v>1596817.1837866218</v>
      </c>
      <c r="E191" s="102">
        <f t="shared" si="0"/>
        <v>897118.10863159585</v>
      </c>
      <c r="M191" s="68"/>
      <c r="N191" s="14"/>
      <c r="O191" s="14"/>
      <c r="P191" s="14"/>
    </row>
    <row r="192" spans="2:16" x14ac:dyDescent="0.2">
      <c r="B192" s="101">
        <v>37</v>
      </c>
      <c r="C192" s="102">
        <f>G136</f>
        <v>738551.96540023433</v>
      </c>
      <c r="D192" s="102">
        <f>R136</f>
        <v>1724562.5584895518</v>
      </c>
      <c r="E192" s="102">
        <f t="shared" si="0"/>
        <v>986010.59308931744</v>
      </c>
      <c r="M192" s="68"/>
      <c r="N192" s="14"/>
      <c r="O192" s="14"/>
      <c r="P192" s="14"/>
    </row>
    <row r="193" spans="2:18" x14ac:dyDescent="0.2">
      <c r="B193" s="101">
        <v>38</v>
      </c>
      <c r="C193" s="102">
        <f>G139</f>
        <v>779562.27893497853</v>
      </c>
      <c r="D193" s="102">
        <f>R139</f>
        <v>1862527.5631687159</v>
      </c>
      <c r="E193" s="102">
        <f t="shared" si="0"/>
        <v>1082965.2842337373</v>
      </c>
      <c r="M193" s="68"/>
      <c r="N193" s="14"/>
      <c r="O193" s="14"/>
      <c r="P193" s="14"/>
    </row>
    <row r="194" spans="2:18" x14ac:dyDescent="0.2">
      <c r="B194" s="101">
        <v>39</v>
      </c>
      <c r="C194" s="102">
        <f>G142</f>
        <v>822849.81315967999</v>
      </c>
      <c r="D194" s="102">
        <f>R142</f>
        <v>2011529.7682222133</v>
      </c>
      <c r="E194" s="102">
        <f t="shared" si="0"/>
        <v>1188679.9550625333</v>
      </c>
      <c r="M194" s="68"/>
      <c r="N194" s="14"/>
      <c r="O194" s="14"/>
      <c r="P194" s="14"/>
    </row>
    <row r="195" spans="2:18" x14ac:dyDescent="0.2">
      <c r="B195" s="101">
        <v>40</v>
      </c>
      <c r="C195" s="103">
        <f>G143</f>
        <v>888677.79821245454</v>
      </c>
      <c r="D195" s="102">
        <f>N146</f>
        <v>2172452.149679991</v>
      </c>
      <c r="E195" s="102">
        <f t="shared" si="0"/>
        <v>1283774.3514675363</v>
      </c>
      <c r="M195" s="68"/>
      <c r="N195" s="18"/>
      <c r="O195" s="14"/>
      <c r="P195" s="14"/>
    </row>
    <row r="196" spans="2:18" x14ac:dyDescent="0.2">
      <c r="B196" s="101">
        <v>40</v>
      </c>
      <c r="C196" s="102">
        <f>C148</f>
        <v>868541.01758481085</v>
      </c>
      <c r="D196" s="103">
        <f>N148</f>
        <v>1538489.0370928817</v>
      </c>
      <c r="E196" s="102">
        <f>D196-C148</f>
        <v>669948.01950807089</v>
      </c>
      <c r="F196" s="14"/>
      <c r="M196" s="68"/>
      <c r="N196" s="14"/>
      <c r="O196" s="18"/>
      <c r="P196" s="14"/>
      <c r="Q196" s="14"/>
    </row>
    <row r="197" spans="2:18" x14ac:dyDescent="0.2">
      <c r="B197" s="100"/>
      <c r="C197" s="100"/>
      <c r="D197" s="100"/>
      <c r="E197" s="100"/>
    </row>
    <row r="198" spans="2:18" x14ac:dyDescent="0.2">
      <c r="B198" s="100"/>
      <c r="C198" s="100"/>
      <c r="D198" s="100"/>
      <c r="E198" s="100"/>
    </row>
    <row r="199" spans="2:18" x14ac:dyDescent="0.2">
      <c r="B199" s="100"/>
      <c r="C199" s="100"/>
      <c r="D199" s="100"/>
      <c r="E199" s="100"/>
    </row>
    <row r="200" spans="2:18" x14ac:dyDescent="0.2">
      <c r="B200" s="100"/>
      <c r="C200" s="100" t="s">
        <v>36</v>
      </c>
      <c r="D200" s="100" t="s">
        <v>37</v>
      </c>
      <c r="E200" s="100"/>
    </row>
    <row r="201" spans="2:18" x14ac:dyDescent="0.2">
      <c r="B201" s="100"/>
      <c r="C201" s="100"/>
      <c r="D201" s="100"/>
      <c r="E201" s="100"/>
      <c r="G201" s="14"/>
      <c r="R201" s="14"/>
    </row>
    <row r="202" spans="2:18" x14ac:dyDescent="0.2">
      <c r="B202" s="100">
        <v>0</v>
      </c>
      <c r="C202" s="100">
        <v>100000</v>
      </c>
      <c r="D202" s="100">
        <v>100000</v>
      </c>
      <c r="E202" s="101"/>
      <c r="F202" s="14"/>
      <c r="G202" s="18"/>
      <c r="P202" s="68"/>
      <c r="Q202" s="14"/>
      <c r="R202" s="18"/>
    </row>
    <row r="203" spans="2:18" x14ac:dyDescent="0.2">
      <c r="B203" s="100">
        <v>1</v>
      </c>
      <c r="C203" s="100">
        <v>103470.5</v>
      </c>
      <c r="D203" s="100">
        <v>105000</v>
      </c>
      <c r="E203" s="101"/>
      <c r="G203" s="14"/>
      <c r="P203" s="68"/>
      <c r="R203" s="14"/>
    </row>
    <row r="204" spans="2:18" x14ac:dyDescent="0.2">
      <c r="B204" s="100">
        <v>2</v>
      </c>
      <c r="C204" s="100">
        <v>107061.44370249999</v>
      </c>
      <c r="D204" s="100">
        <v>110250</v>
      </c>
      <c r="E204" s="100"/>
    </row>
    <row r="205" spans="2:18" x14ac:dyDescent="0.2">
      <c r="B205" s="100">
        <v>3</v>
      </c>
      <c r="C205" s="100">
        <v>110777.01110619526</v>
      </c>
      <c r="D205" s="100">
        <v>115762.5</v>
      </c>
      <c r="E205" s="100"/>
    </row>
    <row r="206" spans="2:18" x14ac:dyDescent="0.2">
      <c r="B206" s="100">
        <v>4</v>
      </c>
      <c r="C206" s="100">
        <v>114621.52727663577</v>
      </c>
      <c r="D206" s="100">
        <v>121550.62500000001</v>
      </c>
      <c r="E206" s="100"/>
    </row>
    <row r="207" spans="2:18" x14ac:dyDescent="0.2">
      <c r="B207" s="100">
        <v>5</v>
      </c>
      <c r="C207" s="100">
        <v>118599.46738077141</v>
      </c>
      <c r="D207" s="100">
        <v>127628.15625000001</v>
      </c>
      <c r="E207" s="100"/>
    </row>
    <row r="208" spans="2:18" x14ac:dyDescent="0.2">
      <c r="B208" s="100">
        <v>6</v>
      </c>
      <c r="C208" s="100">
        <v>122715.4618962211</v>
      </c>
      <c r="D208" s="100">
        <v>134009.56406250002</v>
      </c>
      <c r="E208" s="100"/>
    </row>
    <row r="209" spans="2:5" x14ac:dyDescent="0.2">
      <c r="B209" s="100">
        <v>7</v>
      </c>
      <c r="C209" s="100">
        <v>126974.30200132946</v>
      </c>
      <c r="D209" s="100">
        <v>140710.04226562506</v>
      </c>
      <c r="E209" s="100"/>
    </row>
    <row r="210" spans="2:5" x14ac:dyDescent="0.2">
      <c r="B210" s="100">
        <v>8</v>
      </c>
      <c r="C210" s="100">
        <v>131380.9451522856</v>
      </c>
      <c r="D210" s="100">
        <v>147745.54437890631</v>
      </c>
      <c r="E210" s="100"/>
    </row>
    <row r="211" spans="2:5" x14ac:dyDescent="0.2">
      <c r="B211" s="100">
        <v>9</v>
      </c>
      <c r="C211" s="100">
        <v>135940.52085379566</v>
      </c>
      <c r="D211" s="100">
        <v>155132.82159785164</v>
      </c>
      <c r="E211" s="100"/>
    </row>
    <row r="212" spans="2:5" x14ac:dyDescent="0.2">
      <c r="B212" s="100">
        <v>10</v>
      </c>
      <c r="C212" s="100">
        <v>140658.33663002666</v>
      </c>
      <c r="D212" s="100">
        <v>162889.46267774422</v>
      </c>
      <c r="E212" s="100"/>
    </row>
    <row r="213" spans="2:5" x14ac:dyDescent="0.2">
      <c r="B213" s="100">
        <v>11</v>
      </c>
      <c r="C213" s="100">
        <v>145539.88420277176</v>
      </c>
      <c r="D213" s="100">
        <v>171033.93581163144</v>
      </c>
      <c r="E213" s="100"/>
    </row>
    <row r="214" spans="2:5" x14ac:dyDescent="0.2">
      <c r="B214" s="100">
        <v>12</v>
      </c>
      <c r="C214" s="100">
        <v>150590.84588402894</v>
      </c>
      <c r="D214" s="100">
        <v>179585.63260221304</v>
      </c>
      <c r="E214" s="100"/>
    </row>
    <row r="215" spans="2:5" x14ac:dyDescent="0.2">
      <c r="B215" s="100">
        <v>13</v>
      </c>
      <c r="C215" s="100">
        <v>155817.10119043419</v>
      </c>
      <c r="D215" s="100">
        <v>188564.91423232367</v>
      </c>
      <c r="E215" s="100"/>
    </row>
    <row r="216" spans="2:5" x14ac:dyDescent="0.2">
      <c r="B216" s="100">
        <v>14</v>
      </c>
      <c r="C216" s="100">
        <v>161224.7336872482</v>
      </c>
      <c r="D216" s="100">
        <v>197993.15994393989</v>
      </c>
      <c r="E216" s="100"/>
    </row>
    <row r="217" spans="2:5" x14ac:dyDescent="0.2">
      <c r="B217" s="100">
        <v>15</v>
      </c>
      <c r="C217" s="100">
        <v>166820.03806986415</v>
      </c>
      <c r="D217" s="100">
        <v>207892.81794113689</v>
      </c>
      <c r="E217" s="100"/>
    </row>
    <row r="218" spans="2:5" x14ac:dyDescent="0.2">
      <c r="B218" s="100">
        <v>16</v>
      </c>
      <c r="C218" s="100">
        <v>172609.5274910788</v>
      </c>
      <c r="D218" s="100">
        <v>218287.45883819374</v>
      </c>
      <c r="E218" s="100"/>
    </row>
    <row r="219" spans="2:5" x14ac:dyDescent="0.2">
      <c r="B219" s="100">
        <v>17</v>
      </c>
      <c r="C219" s="100">
        <v>178599.94114265669</v>
      </c>
      <c r="D219" s="100">
        <v>229201.83178010344</v>
      </c>
      <c r="E219" s="100"/>
    </row>
    <row r="220" spans="2:5" x14ac:dyDescent="0.2">
      <c r="B220" s="100">
        <v>18</v>
      </c>
      <c r="C220" s="100">
        <v>184798.25210001261</v>
      </c>
      <c r="D220" s="100">
        <v>240661.92336910861</v>
      </c>
      <c r="E220" s="100"/>
    </row>
    <row r="221" spans="2:5" x14ac:dyDescent="0.2">
      <c r="B221" s="100">
        <v>19</v>
      </c>
      <c r="C221" s="100">
        <v>191211.67543914352</v>
      </c>
      <c r="D221" s="100">
        <v>252695.01953756408</v>
      </c>
      <c r="E221" s="100"/>
    </row>
    <row r="222" spans="2:5" x14ac:dyDescent="0.2">
      <c r="B222" s="100">
        <v>20</v>
      </c>
      <c r="C222" s="100">
        <v>197847.67663525901</v>
      </c>
      <c r="D222" s="100">
        <v>265329.77051444224</v>
      </c>
      <c r="E222" s="100"/>
    </row>
    <row r="223" spans="2:5" x14ac:dyDescent="0.2">
      <c r="B223" s="100">
        <v>21</v>
      </c>
      <c r="C223" s="100">
        <v>204713.9802528857</v>
      </c>
      <c r="D223" s="100">
        <v>278596.25904016441</v>
      </c>
      <c r="E223" s="100"/>
    </row>
    <row r="224" spans="2:5" x14ac:dyDescent="0.2">
      <c r="B224" s="100">
        <v>22</v>
      </c>
      <c r="C224" s="100">
        <v>211818.5789375621</v>
      </c>
      <c r="D224" s="100">
        <v>292526.07199217263</v>
      </c>
      <c r="E224" s="100"/>
    </row>
    <row r="225" spans="2:5" x14ac:dyDescent="0.2">
      <c r="B225" s="100">
        <v>23</v>
      </c>
      <c r="C225" s="100">
        <v>219169.7427195902</v>
      </c>
      <c r="D225" s="100">
        <v>307152.37559178128</v>
      </c>
      <c r="E225" s="100"/>
    </row>
    <row r="226" spans="2:5" x14ac:dyDescent="0.2">
      <c r="B226" s="100">
        <v>24</v>
      </c>
      <c r="C226" s="100">
        <v>226776.02864067358</v>
      </c>
      <c r="D226" s="100">
        <v>322509.99437137035</v>
      </c>
      <c r="E226" s="100"/>
    </row>
    <row r="227" spans="2:5" x14ac:dyDescent="0.2">
      <c r="B227" s="100">
        <v>25</v>
      </c>
      <c r="C227" s="100">
        <v>234646.29071464817</v>
      </c>
      <c r="D227" s="100">
        <v>338635.49408993882</v>
      </c>
      <c r="E227" s="100"/>
    </row>
    <row r="228" spans="2:5" x14ac:dyDescent="0.2">
      <c r="B228" s="100">
        <v>26</v>
      </c>
      <c r="C228" s="100">
        <v>242789.69023390004</v>
      </c>
      <c r="D228" s="100">
        <v>355567.26879443572</v>
      </c>
      <c r="E228" s="100"/>
    </row>
    <row r="229" spans="2:5" x14ac:dyDescent="0.2">
      <c r="B229" s="100">
        <v>27</v>
      </c>
      <c r="C229" s="100">
        <v>251215.70643346754</v>
      </c>
      <c r="D229" s="100">
        <v>373345.63223415759</v>
      </c>
      <c r="E229" s="100"/>
    </row>
    <row r="230" spans="2:5" x14ac:dyDescent="0.2">
      <c r="B230" s="100">
        <v>28</v>
      </c>
      <c r="C230" s="100">
        <v>259934.14752524102</v>
      </c>
      <c r="D230" s="100">
        <v>392012.91384586546</v>
      </c>
      <c r="E230" s="100"/>
    </row>
    <row r="231" spans="2:5" x14ac:dyDescent="0.2">
      <c r="B231" s="100">
        <v>29</v>
      </c>
      <c r="C231" s="100">
        <v>268955.1621151045</v>
      </c>
      <c r="D231" s="100">
        <v>411613.55953815876</v>
      </c>
      <c r="E231" s="100"/>
    </row>
    <row r="232" spans="2:5" x14ac:dyDescent="0.2">
      <c r="B232" s="100">
        <v>30</v>
      </c>
      <c r="C232" s="100">
        <v>278289.25101630919</v>
      </c>
      <c r="D232" s="100">
        <v>432194.23751506675</v>
      </c>
      <c r="E232" s="100"/>
    </row>
    <row r="233" spans="2:5" x14ac:dyDescent="0.2">
      <c r="B233" s="100">
        <v>31</v>
      </c>
      <c r="C233" s="100">
        <v>287947.27947283024</v>
      </c>
      <c r="D233" s="100">
        <v>453803.94939082011</v>
      </c>
      <c r="E233" s="100"/>
    </row>
    <row r="234" spans="2:5" x14ac:dyDescent="0.2">
      <c r="B234" s="100">
        <v>32</v>
      </c>
      <c r="C234" s="100">
        <v>297940.48980693484</v>
      </c>
      <c r="D234" s="100">
        <v>476494.1468603611</v>
      </c>
      <c r="E234" s="100"/>
    </row>
    <row r="235" spans="2:5" x14ac:dyDescent="0.2">
      <c r="B235" s="100">
        <v>33</v>
      </c>
      <c r="C235" s="100">
        <v>308280.51450568455</v>
      </c>
      <c r="D235" s="100">
        <v>500318.85420337919</v>
      </c>
      <c r="E235" s="100"/>
    </row>
    <row r="236" spans="2:5" x14ac:dyDescent="0.2">
      <c r="B236" s="100">
        <v>34</v>
      </c>
      <c r="C236" s="100">
        <v>318979.38976160437</v>
      </c>
      <c r="D236" s="100">
        <v>525334.79691354814</v>
      </c>
      <c r="E236" s="100"/>
    </row>
    <row r="237" spans="2:5" x14ac:dyDescent="0.2">
      <c r="B237" s="100">
        <v>35</v>
      </c>
      <c r="C237" s="100">
        <v>330049.56948328088</v>
      </c>
      <c r="D237" s="100">
        <v>551601.53675922565</v>
      </c>
      <c r="E237" s="100"/>
    </row>
    <row r="238" spans="2:5" x14ac:dyDescent="0.2">
      <c r="B238" s="100">
        <v>36</v>
      </c>
      <c r="C238" s="100">
        <v>341503.93979219813</v>
      </c>
      <c r="D238" s="100">
        <v>579181.61359718698</v>
      </c>
      <c r="E238" s="100"/>
    </row>
    <row r="239" spans="2:5" x14ac:dyDescent="0.2">
      <c r="B239" s="100">
        <v>37</v>
      </c>
      <c r="C239" s="100">
        <v>353355.83402268635</v>
      </c>
      <c r="D239" s="100">
        <v>608140.69427704636</v>
      </c>
      <c r="E239" s="100"/>
    </row>
    <row r="240" spans="2:5" x14ac:dyDescent="0.2">
      <c r="B240" s="100">
        <v>38</v>
      </c>
      <c r="C240" s="100">
        <v>365619.04824244365</v>
      </c>
      <c r="D240" s="100">
        <v>638547.7289908987</v>
      </c>
      <c r="E240" s="100"/>
    </row>
    <row r="241" spans="2:5" x14ac:dyDescent="0.2">
      <c r="B241" s="100">
        <v>39</v>
      </c>
      <c r="C241" s="100">
        <v>378307.85731169762</v>
      </c>
      <c r="D241" s="100">
        <v>670475.11544044374</v>
      </c>
      <c r="E241" s="100"/>
    </row>
    <row r="242" spans="2:5" x14ac:dyDescent="0.2">
      <c r="B242" s="100">
        <v>40</v>
      </c>
      <c r="C242" s="100">
        <v>397223.25017728255</v>
      </c>
      <c r="D242" s="100">
        <v>703998.87121246592</v>
      </c>
      <c r="E242" s="100"/>
    </row>
    <row r="243" spans="2:5" x14ac:dyDescent="0.2">
      <c r="B243" s="100">
        <v>40</v>
      </c>
      <c r="C243" s="100">
        <v>391437.0314997001</v>
      </c>
      <c r="D243" s="100">
        <v>519235.6165085726</v>
      </c>
      <c r="E243" s="100"/>
    </row>
    <row r="244" spans="2:5" x14ac:dyDescent="0.2">
      <c r="B244" s="100"/>
      <c r="C244" s="100"/>
      <c r="D244" s="100"/>
      <c r="E244" s="100"/>
    </row>
    <row r="245" spans="2:5" x14ac:dyDescent="0.2">
      <c r="B245" s="100"/>
      <c r="C245" s="100"/>
      <c r="D245" s="100"/>
      <c r="E245" s="100"/>
    </row>
    <row r="246" spans="2:5" x14ac:dyDescent="0.2">
      <c r="B246" s="100"/>
      <c r="C246" s="100"/>
      <c r="D246" s="100"/>
      <c r="E246" s="100"/>
    </row>
    <row r="247" spans="2:5" x14ac:dyDescent="0.2">
      <c r="B247" s="100"/>
      <c r="C247" s="100"/>
      <c r="D247" s="100"/>
      <c r="E247" s="100"/>
    </row>
    <row r="248" spans="2:5" x14ac:dyDescent="0.2">
      <c r="B248" s="100"/>
      <c r="C248" s="100"/>
      <c r="D248" s="100"/>
      <c r="E248" s="100"/>
    </row>
    <row r="249" spans="2:5" x14ac:dyDescent="0.2">
      <c r="B249" s="100"/>
      <c r="C249" s="100"/>
      <c r="D249" s="100"/>
      <c r="E249" s="100"/>
    </row>
    <row r="250" spans="2:5" x14ac:dyDescent="0.2">
      <c r="B250" s="100"/>
      <c r="C250" s="100"/>
      <c r="D250" s="100"/>
      <c r="E250" s="100"/>
    </row>
    <row r="251" spans="2:5" x14ac:dyDescent="0.2">
      <c r="B251" s="100"/>
      <c r="C251" s="100"/>
      <c r="D251" s="100"/>
      <c r="E251" s="100"/>
    </row>
    <row r="252" spans="2:5" x14ac:dyDescent="0.2">
      <c r="B252" s="100"/>
      <c r="C252" s="100"/>
      <c r="D252" s="100"/>
      <c r="E252" s="100"/>
    </row>
    <row r="253" spans="2:5" x14ac:dyDescent="0.2">
      <c r="B253" s="100"/>
      <c r="C253" s="100"/>
      <c r="D253" s="100"/>
      <c r="E253" s="100"/>
    </row>
    <row r="254" spans="2:5" x14ac:dyDescent="0.2">
      <c r="B254" s="100"/>
      <c r="C254" s="100"/>
      <c r="D254" s="100"/>
      <c r="E254" s="100"/>
    </row>
    <row r="255" spans="2:5" x14ac:dyDescent="0.2">
      <c r="B255" s="100"/>
      <c r="C255" s="100"/>
      <c r="D255" s="100"/>
      <c r="E255" s="100"/>
    </row>
    <row r="256" spans="2:5" x14ac:dyDescent="0.2">
      <c r="B256" s="100"/>
      <c r="C256" s="100"/>
      <c r="D256" s="100"/>
      <c r="E256" s="100"/>
    </row>
    <row r="257" spans="2:5" x14ac:dyDescent="0.2">
      <c r="B257" s="100"/>
      <c r="C257" s="100"/>
      <c r="D257" s="100"/>
      <c r="E257" s="100"/>
    </row>
    <row r="258" spans="2:5" x14ac:dyDescent="0.2">
      <c r="B258" s="100"/>
      <c r="C258" s="100"/>
      <c r="D258" s="100"/>
      <c r="E258" s="100"/>
    </row>
    <row r="259" spans="2:5" x14ac:dyDescent="0.2">
      <c r="B259" s="100"/>
      <c r="C259" s="100"/>
      <c r="D259" s="100"/>
      <c r="E259" s="100"/>
    </row>
    <row r="260" spans="2:5" x14ac:dyDescent="0.2">
      <c r="B260" s="100"/>
      <c r="C260" s="100"/>
      <c r="D260" s="100"/>
      <c r="E260" s="100"/>
    </row>
    <row r="261" spans="2:5" x14ac:dyDescent="0.2">
      <c r="B261" s="100"/>
      <c r="C261" s="100"/>
      <c r="D261" s="100"/>
      <c r="E261" s="100"/>
    </row>
    <row r="262" spans="2:5" x14ac:dyDescent="0.2">
      <c r="B262" s="100"/>
      <c r="C262" s="100"/>
      <c r="D262" s="100"/>
      <c r="E262" s="100"/>
    </row>
    <row r="263" spans="2:5" x14ac:dyDescent="0.2">
      <c r="B263" s="100"/>
      <c r="C263" s="100"/>
      <c r="D263" s="100"/>
      <c r="E263" s="100"/>
    </row>
    <row r="264" spans="2:5" x14ac:dyDescent="0.2">
      <c r="B264" s="100"/>
      <c r="C264" s="100"/>
      <c r="D264" s="100"/>
      <c r="E264" s="100"/>
    </row>
    <row r="265" spans="2:5" x14ac:dyDescent="0.2">
      <c r="B265" s="100"/>
      <c r="C265" s="100"/>
      <c r="D265" s="100"/>
      <c r="E265" s="100"/>
    </row>
    <row r="266" spans="2:5" x14ac:dyDescent="0.2">
      <c r="B266" s="100"/>
      <c r="C266" s="100"/>
      <c r="D266" s="100"/>
      <c r="E266" s="100"/>
    </row>
    <row r="267" spans="2:5" x14ac:dyDescent="0.2">
      <c r="B267" s="100"/>
      <c r="C267" s="100"/>
      <c r="D267" s="100"/>
      <c r="E267" s="100"/>
    </row>
    <row r="268" spans="2:5" x14ac:dyDescent="0.2">
      <c r="B268" s="100"/>
      <c r="C268" s="100"/>
      <c r="D268" s="100"/>
      <c r="E268" s="100"/>
    </row>
    <row r="269" spans="2:5" x14ac:dyDescent="0.2">
      <c r="B269" s="100"/>
      <c r="C269" s="100"/>
      <c r="D269" s="100"/>
      <c r="E269" s="100"/>
    </row>
    <row r="270" spans="2:5" x14ac:dyDescent="0.2">
      <c r="B270" s="100"/>
      <c r="C270" s="100"/>
      <c r="D270" s="100"/>
      <c r="E270" s="100"/>
    </row>
    <row r="271" spans="2:5" x14ac:dyDescent="0.2">
      <c r="B271" s="100"/>
      <c r="C271" s="100"/>
      <c r="D271" s="100"/>
      <c r="E271" s="100"/>
    </row>
    <row r="272" spans="2:5" x14ac:dyDescent="0.2">
      <c r="B272" s="100"/>
      <c r="C272" s="100"/>
      <c r="D272" s="100"/>
      <c r="E272" s="100"/>
    </row>
    <row r="273" spans="2:5" x14ac:dyDescent="0.2">
      <c r="B273" s="100"/>
      <c r="C273" s="100"/>
      <c r="D273" s="100"/>
      <c r="E273" s="100"/>
    </row>
    <row r="274" spans="2:5" x14ac:dyDescent="0.2">
      <c r="B274" s="100"/>
      <c r="C274" s="100"/>
      <c r="D274" s="100"/>
      <c r="E274" s="100"/>
    </row>
    <row r="275" spans="2:5" x14ac:dyDescent="0.2">
      <c r="B275" s="100"/>
      <c r="C275" s="100"/>
      <c r="D275" s="100"/>
      <c r="E275" s="100"/>
    </row>
    <row r="276" spans="2:5" x14ac:dyDescent="0.2">
      <c r="B276" s="100"/>
      <c r="C276" s="100"/>
      <c r="D276" s="100"/>
      <c r="E276" s="100"/>
    </row>
    <row r="277" spans="2:5" x14ac:dyDescent="0.2">
      <c r="B277" s="100"/>
      <c r="C277" s="100"/>
      <c r="D277" s="100"/>
      <c r="E277" s="100"/>
    </row>
    <row r="278" spans="2:5" x14ac:dyDescent="0.2">
      <c r="B278" s="100"/>
      <c r="C278" s="100"/>
      <c r="D278" s="100"/>
      <c r="E278" s="100"/>
    </row>
    <row r="279" spans="2:5" x14ac:dyDescent="0.2">
      <c r="B279" s="100"/>
      <c r="C279" s="100"/>
      <c r="D279" s="100"/>
      <c r="E279" s="100"/>
    </row>
    <row r="280" spans="2:5" x14ac:dyDescent="0.2">
      <c r="B280" s="100"/>
      <c r="C280" s="100"/>
      <c r="D280" s="100"/>
      <c r="E280" s="100"/>
    </row>
    <row r="281" spans="2:5" x14ac:dyDescent="0.2">
      <c r="B281" s="100"/>
      <c r="C281" s="100"/>
      <c r="D281" s="100"/>
      <c r="E281" s="100"/>
    </row>
  </sheetData>
  <mergeCells count="103">
    <mergeCell ref="M82:M83"/>
    <mergeCell ref="B94:B95"/>
    <mergeCell ref="M85:M86"/>
    <mergeCell ref="Q22:Q23"/>
    <mergeCell ref="R22:R23"/>
    <mergeCell ref="B25:B26"/>
    <mergeCell ref="B28:B29"/>
    <mergeCell ref="B31:B32"/>
    <mergeCell ref="M22:M23"/>
    <mergeCell ref="M34:M35"/>
    <mergeCell ref="M37:M38"/>
    <mergeCell ref="B34:B35"/>
    <mergeCell ref="B37:B38"/>
    <mergeCell ref="M55:M56"/>
    <mergeCell ref="B64:B65"/>
    <mergeCell ref="M64:M65"/>
    <mergeCell ref="B58:B59"/>
    <mergeCell ref="M58:M59"/>
    <mergeCell ref="B67:B68"/>
    <mergeCell ref="M67:M68"/>
    <mergeCell ref="B70:B71"/>
    <mergeCell ref="M70:M71"/>
    <mergeCell ref="B20:K21"/>
    <mergeCell ref="M20:V21"/>
    <mergeCell ref="C22:C23"/>
    <mergeCell ref="D22:D23"/>
    <mergeCell ref="E22:E23"/>
    <mergeCell ref="F22:F23"/>
    <mergeCell ref="G22:G23"/>
    <mergeCell ref="U22:U23"/>
    <mergeCell ref="V22:V23"/>
    <mergeCell ref="M127:M128"/>
    <mergeCell ref="B121:B122"/>
    <mergeCell ref="B124:B125"/>
    <mergeCell ref="M124:M125"/>
    <mergeCell ref="B40:B41"/>
    <mergeCell ref="M40:M41"/>
    <mergeCell ref="B43:B44"/>
    <mergeCell ref="M43:M44"/>
    <mergeCell ref="B49:B50"/>
    <mergeCell ref="M49:M50"/>
    <mergeCell ref="B46:B47"/>
    <mergeCell ref="M46:M47"/>
    <mergeCell ref="B76:B77"/>
    <mergeCell ref="M76:M77"/>
    <mergeCell ref="B79:B80"/>
    <mergeCell ref="M79:M80"/>
    <mergeCell ref="B73:B74"/>
    <mergeCell ref="M73:M74"/>
    <mergeCell ref="B52:B53"/>
    <mergeCell ref="M52:M53"/>
    <mergeCell ref="M94:M95"/>
    <mergeCell ref="B61:B62"/>
    <mergeCell ref="M61:M62"/>
    <mergeCell ref="B55:B56"/>
    <mergeCell ref="AK13:AL13"/>
    <mergeCell ref="M121:M122"/>
    <mergeCell ref="T22:T23"/>
    <mergeCell ref="B22:B23"/>
    <mergeCell ref="M24:R24"/>
    <mergeCell ref="B24:G24"/>
    <mergeCell ref="I22:I23"/>
    <mergeCell ref="J22:J23"/>
    <mergeCell ref="K22:K23"/>
    <mergeCell ref="N22:N23"/>
    <mergeCell ref="O22:O23"/>
    <mergeCell ref="P22:P23"/>
    <mergeCell ref="B103:B104"/>
    <mergeCell ref="M103:M104"/>
    <mergeCell ref="B106:B107"/>
    <mergeCell ref="M106:M107"/>
    <mergeCell ref="B100:B101"/>
    <mergeCell ref="M100:M101"/>
    <mergeCell ref="M109:M110"/>
    <mergeCell ref="B85:B86"/>
    <mergeCell ref="B109:B110"/>
    <mergeCell ref="M25:M26"/>
    <mergeCell ref="M28:M29"/>
    <mergeCell ref="M31:M32"/>
    <mergeCell ref="B142:B143"/>
    <mergeCell ref="M142:M143"/>
    <mergeCell ref="B136:B137"/>
    <mergeCell ref="M136:M137"/>
    <mergeCell ref="B88:B89"/>
    <mergeCell ref="M88:M89"/>
    <mergeCell ref="B82:B83"/>
    <mergeCell ref="B112:B113"/>
    <mergeCell ref="M112:M113"/>
    <mergeCell ref="B115:B116"/>
    <mergeCell ref="M115:M116"/>
    <mergeCell ref="B118:B119"/>
    <mergeCell ref="M118:M119"/>
    <mergeCell ref="B97:B98"/>
    <mergeCell ref="M97:M98"/>
    <mergeCell ref="B91:B92"/>
    <mergeCell ref="M91:M92"/>
    <mergeCell ref="B139:B140"/>
    <mergeCell ref="M139:M140"/>
    <mergeCell ref="B130:B131"/>
    <mergeCell ref="M130:M131"/>
    <mergeCell ref="B133:B134"/>
    <mergeCell ref="M133:M134"/>
    <mergeCell ref="B127:B1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140"/>
  <sheetViews>
    <sheetView showGridLines="0" tabSelected="1" zoomScale="65" zoomScaleNormal="82" workbookViewId="0">
      <selection activeCell="N17" sqref="N17"/>
    </sheetView>
  </sheetViews>
  <sheetFormatPr baseColWidth="10" defaultColWidth="10.83203125" defaultRowHeight="16" x14ac:dyDescent="0.2"/>
  <cols>
    <col min="1" max="1" width="2.83203125" style="1" customWidth="1"/>
    <col min="2" max="3" width="19.6640625" style="1" bestFit="1" customWidth="1"/>
    <col min="4" max="4" width="19" style="1" bestFit="1" customWidth="1"/>
    <col min="5" max="5" width="16" style="1" customWidth="1"/>
    <col min="6" max="6" width="10.83203125" style="1" customWidth="1"/>
    <col min="7" max="7" width="8.5" style="1" customWidth="1"/>
    <col min="8" max="8" width="16.6640625" style="1" bestFit="1" customWidth="1"/>
    <col min="9" max="9" width="12" style="5" bestFit="1" customWidth="1"/>
    <col min="10" max="10" width="15" style="5" customWidth="1"/>
    <col min="11" max="11" width="7" style="5" customWidth="1"/>
    <col min="12" max="13" width="16.6640625" style="1" customWidth="1"/>
    <col min="14" max="14" width="19" style="1" customWidth="1"/>
    <col min="15" max="15" width="18.6640625" style="1" bestFit="1" customWidth="1"/>
    <col min="16" max="16" width="14.6640625" style="1" customWidth="1"/>
    <col min="17" max="17" width="3.83203125" style="1" customWidth="1"/>
    <col min="18" max="18" width="10.83203125" style="1" customWidth="1"/>
    <col min="19" max="19" width="8.5" style="1" customWidth="1"/>
    <col min="20" max="20" width="16.6640625" style="1" bestFit="1" customWidth="1"/>
    <col min="21" max="21" width="12" style="5" bestFit="1" customWidth="1"/>
    <col min="22" max="22" width="15" style="5" customWidth="1"/>
    <col min="23" max="23" width="14" style="5" customWidth="1"/>
    <col min="24" max="25" width="16.6640625" style="1" customWidth="1"/>
    <col min="26" max="26" width="19" style="1" customWidth="1"/>
    <col min="27" max="27" width="18.6640625" style="1" bestFit="1" customWidth="1"/>
    <col min="28" max="28" width="3.83203125" style="1" customWidth="1"/>
    <col min="29" max="29" width="19.83203125" style="1" customWidth="1"/>
    <col min="30" max="30" width="20" style="1" customWidth="1"/>
    <col min="31" max="31" width="3.83203125" style="1" customWidth="1"/>
    <col min="32" max="33" width="10.83203125" style="1"/>
    <col min="34" max="34" width="5.33203125" style="1" customWidth="1"/>
    <col min="35" max="36" width="25.6640625" style="1" customWidth="1"/>
    <col min="37" max="37" width="23.6640625" style="1" customWidth="1"/>
    <col min="38" max="38" width="19.33203125" style="1" customWidth="1"/>
    <col min="39" max="39" width="5.33203125" style="1" customWidth="1"/>
    <col min="40" max="40" width="19" style="1" bestFit="1" customWidth="1"/>
    <col min="41" max="41" width="9" style="1" customWidth="1"/>
    <col min="42" max="16384" width="10.83203125" style="1"/>
  </cols>
  <sheetData>
    <row r="1" spans="2:38" x14ac:dyDescent="0.2">
      <c r="N1" s="2"/>
      <c r="O1" s="2"/>
      <c r="P1" s="2"/>
      <c r="Q1" s="2"/>
      <c r="Z1" s="12"/>
      <c r="AA1" s="12"/>
      <c r="AB1" s="12"/>
      <c r="AE1" s="12"/>
    </row>
    <row r="2" spans="2:38" x14ac:dyDescent="0.2">
      <c r="B2" s="97">
        <f>B18*3%</f>
        <v>6.8999999999999999E-3</v>
      </c>
      <c r="C2" s="97">
        <v>7.0000000000000001E-3</v>
      </c>
      <c r="D2" s="98" t="s">
        <v>14</v>
      </c>
      <c r="E2" s="36"/>
      <c r="F2" s="105" t="s">
        <v>32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"/>
      <c r="R2" s="105" t="s">
        <v>42</v>
      </c>
      <c r="S2" s="105"/>
      <c r="T2" s="105"/>
      <c r="U2" s="105"/>
      <c r="V2" s="105"/>
      <c r="W2" s="105"/>
      <c r="X2" s="105"/>
      <c r="Y2" s="105"/>
      <c r="Z2" s="105"/>
      <c r="AA2" s="105"/>
      <c r="AB2" s="3"/>
      <c r="AC2" s="105" t="s">
        <v>11</v>
      </c>
      <c r="AD2" s="105"/>
      <c r="AE2" s="3"/>
    </row>
    <row r="3" spans="2:38" x14ac:dyDescent="0.2">
      <c r="D3" s="98" t="s">
        <v>15</v>
      </c>
      <c r="E3" s="3"/>
      <c r="F3" s="106" t="s">
        <v>2</v>
      </c>
      <c r="G3" s="106" t="s">
        <v>5</v>
      </c>
      <c r="H3" s="106" t="s">
        <v>7</v>
      </c>
      <c r="I3" s="106" t="s">
        <v>0</v>
      </c>
      <c r="J3" s="106" t="s">
        <v>3</v>
      </c>
      <c r="K3" s="106" t="s">
        <v>4</v>
      </c>
      <c r="L3" s="106" t="s">
        <v>1</v>
      </c>
      <c r="M3" s="106" t="s">
        <v>6</v>
      </c>
      <c r="N3" s="106" t="s">
        <v>9</v>
      </c>
      <c r="O3" s="106" t="s">
        <v>8</v>
      </c>
      <c r="P3" s="108" t="s">
        <v>10</v>
      </c>
      <c r="Q3" s="79"/>
      <c r="R3" s="106" t="s">
        <v>2</v>
      </c>
      <c r="S3" s="106" t="s">
        <v>5</v>
      </c>
      <c r="T3" s="106" t="s">
        <v>7</v>
      </c>
      <c r="U3" s="106" t="s">
        <v>0</v>
      </c>
      <c r="V3" s="106" t="s">
        <v>60</v>
      </c>
      <c r="W3" s="106" t="s">
        <v>61</v>
      </c>
      <c r="X3" s="106" t="s">
        <v>3</v>
      </c>
      <c r="Y3" s="106" t="s">
        <v>17</v>
      </c>
      <c r="Z3" s="106" t="s">
        <v>1</v>
      </c>
      <c r="AA3" s="106" t="s">
        <v>6</v>
      </c>
      <c r="AB3" s="79"/>
      <c r="AC3" s="110" t="s">
        <v>9</v>
      </c>
      <c r="AD3" s="110" t="s">
        <v>10</v>
      </c>
      <c r="AE3" s="79"/>
      <c r="AK3" s="38"/>
    </row>
    <row r="4" spans="2:38" x14ac:dyDescent="0.2"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9"/>
      <c r="Q4" s="80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80"/>
      <c r="AC4" s="111"/>
      <c r="AD4" s="111"/>
      <c r="AE4" s="80"/>
      <c r="AK4" s="3"/>
    </row>
    <row r="5" spans="2:38" x14ac:dyDescent="0.2">
      <c r="E5" s="3"/>
      <c r="F5" s="86">
        <f>B14</f>
        <v>50</v>
      </c>
      <c r="G5" s="12">
        <v>0</v>
      </c>
      <c r="H5" s="87">
        <f>I5*F5</f>
        <v>100000</v>
      </c>
      <c r="I5" s="88">
        <f>B10</f>
        <v>2000</v>
      </c>
      <c r="J5" s="89">
        <v>0</v>
      </c>
      <c r="K5" s="86"/>
      <c r="L5" s="89">
        <v>0</v>
      </c>
      <c r="M5" s="89">
        <v>0</v>
      </c>
      <c r="N5" s="89">
        <f>H5</f>
        <v>100000</v>
      </c>
      <c r="O5" s="89">
        <v>0</v>
      </c>
      <c r="P5" s="86">
        <f t="shared" ref="P5:P45" si="0">IF(O5&gt;L5,O5-L5,0)</f>
        <v>0</v>
      </c>
      <c r="Q5" s="80"/>
      <c r="R5" s="86">
        <f>F5</f>
        <v>50</v>
      </c>
      <c r="S5" s="12">
        <v>0</v>
      </c>
      <c r="T5" s="87">
        <f>U5*R5</f>
        <v>100000</v>
      </c>
      <c r="U5" s="88">
        <f>I5</f>
        <v>2000</v>
      </c>
      <c r="V5" s="89"/>
      <c r="W5" s="86"/>
      <c r="X5" s="89">
        <v>0</v>
      </c>
      <c r="Y5" s="89"/>
      <c r="Z5" s="89">
        <v>0</v>
      </c>
      <c r="AA5" s="89">
        <v>0</v>
      </c>
      <c r="AB5" s="80"/>
      <c r="AC5" s="7">
        <f>T5</f>
        <v>100000</v>
      </c>
      <c r="AD5" s="7"/>
      <c r="AE5" s="80"/>
    </row>
    <row r="6" spans="2:38" x14ac:dyDescent="0.2">
      <c r="B6" s="91" t="s">
        <v>74</v>
      </c>
      <c r="F6" s="86">
        <f t="shared" ref="F6:F45" si="1">F5*(1+$C$21)</f>
        <v>54</v>
      </c>
      <c r="G6" s="12">
        <v>1</v>
      </c>
      <c r="H6" s="87">
        <f>F6*I6</f>
        <v>110268</v>
      </c>
      <c r="I6" s="88">
        <f>ROUNDDOWN(((M6+J5)/F6)+I5,0)</f>
        <v>2042</v>
      </c>
      <c r="J6" s="89">
        <f>((((M6+J5)/F6)+I5)-I6)*F6</f>
        <v>28.429999999993925</v>
      </c>
      <c r="K6" s="88"/>
      <c r="L6" s="89">
        <f t="shared" ref="L6:L45" si="2">IF($C$30="NEI",I5*$C$14,(F6*$C$31)*I5)</f>
        <v>3000</v>
      </c>
      <c r="M6" s="89">
        <f t="shared" ref="M6:M45" si="3">MIN(L6,IF(L6=0,0,(L6-O6)*(1-$B$7)+O6))</f>
        <v>2296.4299999999998</v>
      </c>
      <c r="N6" s="89">
        <f t="shared" ref="N6:N45" si="4">IF($C$14=0,N5+O5,N5+M5+P5)</f>
        <v>100000</v>
      </c>
      <c r="O6" s="89">
        <f t="shared" ref="O6:O45" si="5">N6*$C$2</f>
        <v>700</v>
      </c>
      <c r="P6" s="86">
        <f t="shared" si="0"/>
        <v>0</v>
      </c>
      <c r="Q6" s="81"/>
      <c r="R6" s="86">
        <f t="shared" ref="R6:R45" si="6">R5*(1+$C$21)</f>
        <v>54</v>
      </c>
      <c r="S6" s="12">
        <v>1</v>
      </c>
      <c r="T6" s="87">
        <f t="shared" ref="T6:T45" si="7">R6*U6</f>
        <v>110970</v>
      </c>
      <c r="U6" s="88">
        <f t="shared" ref="U6:U45" si="8">ROUNDDOWN(((AA6+X5+Y5)/R6)+U5,0)</f>
        <v>2055</v>
      </c>
      <c r="V6" s="89">
        <f t="shared" ref="V6:V45" si="9">U6-U5</f>
        <v>55</v>
      </c>
      <c r="W6" s="88">
        <f t="shared" ref="W6:W45" si="10">V6*R6</f>
        <v>2970</v>
      </c>
      <c r="X6" s="89">
        <f t="shared" ref="X6:X45" si="11">((((AA6+X5+Y5)/R6)+U5)-U6)*R6</f>
        <v>9.3000000000120053</v>
      </c>
      <c r="Y6" s="89">
        <f t="shared" ref="Y6:Y45" si="12">(X5*$C$23)*(1-$B$18)</f>
        <v>0</v>
      </c>
      <c r="Z6" s="89">
        <f t="shared" ref="Z6:Z45" si="13">IF($C$30="NEI",U5*$C$14,(R6*$C$31)*U5)</f>
        <v>3000</v>
      </c>
      <c r="AA6" s="89">
        <f t="shared" ref="AA6:AA45" si="14">Z6*(1-$B$2)</f>
        <v>2979.2999999999997</v>
      </c>
      <c r="AB6" s="81"/>
      <c r="AC6" s="7">
        <f>AC5+AD5</f>
        <v>100000</v>
      </c>
      <c r="AD6" s="7">
        <f>AC5*$B$2</f>
        <v>690</v>
      </c>
      <c r="AE6" s="81"/>
    </row>
    <row r="7" spans="2:38" x14ac:dyDescent="0.2">
      <c r="B7" s="93">
        <f>C18*B18</f>
        <v>0.30590000000000001</v>
      </c>
      <c r="F7" s="86">
        <f t="shared" si="1"/>
        <v>58.320000000000007</v>
      </c>
      <c r="G7" s="12">
        <v>2</v>
      </c>
      <c r="H7" s="87">
        <f t="shared" ref="H7:H44" si="15">F7*I7</f>
        <v>121422.24000000002</v>
      </c>
      <c r="I7" s="88">
        <f>ROUNDDOWN(((M7+J6)/F7)+I6,0)</f>
        <v>2082</v>
      </c>
      <c r="J7" s="89">
        <f>((((M7+J6)/F7)+I6)-I7)*F7</f>
        <v>40.70564555898644</v>
      </c>
      <c r="K7" s="86"/>
      <c r="L7" s="89">
        <f t="shared" si="2"/>
        <v>3063</v>
      </c>
      <c r="M7" s="89">
        <f t="shared" si="3"/>
        <v>2345.0756455589999</v>
      </c>
      <c r="N7" s="89">
        <f t="shared" si="4"/>
        <v>102296.43</v>
      </c>
      <c r="O7" s="89">
        <f t="shared" si="5"/>
        <v>716.07501000000002</v>
      </c>
      <c r="P7" s="86">
        <f t="shared" si="0"/>
        <v>0</v>
      </c>
      <c r="Q7" s="80"/>
      <c r="R7" s="86">
        <f t="shared" si="6"/>
        <v>58.320000000000007</v>
      </c>
      <c r="S7" s="12">
        <v>2</v>
      </c>
      <c r="T7" s="87">
        <f t="shared" si="7"/>
        <v>122880.24000000002</v>
      </c>
      <c r="U7" s="88">
        <f t="shared" si="8"/>
        <v>2107</v>
      </c>
      <c r="V7" s="89">
        <f t="shared" si="9"/>
        <v>52</v>
      </c>
      <c r="W7" s="86">
        <f t="shared" si="10"/>
        <v>3032.6400000000003</v>
      </c>
      <c r="X7" s="89">
        <f t="shared" si="11"/>
        <v>37.890750000012929</v>
      </c>
      <c r="Y7" s="89">
        <f t="shared" si="12"/>
        <v>8.9512500000115555E-2</v>
      </c>
      <c r="Z7" s="89">
        <f t="shared" si="13"/>
        <v>3082.5</v>
      </c>
      <c r="AA7" s="89">
        <f t="shared" si="14"/>
        <v>3061.2307500000002</v>
      </c>
      <c r="AB7" s="80"/>
      <c r="AC7" s="7">
        <f>AC6+AD6</f>
        <v>100690</v>
      </c>
      <c r="AD7" s="7">
        <f t="shared" ref="AD7:AD45" si="16">AC7*$B$2</f>
        <v>694.76099999999997</v>
      </c>
      <c r="AE7" s="80"/>
    </row>
    <row r="8" spans="2:38" x14ac:dyDescent="0.2">
      <c r="E8" s="9"/>
      <c r="F8" s="86">
        <f t="shared" si="1"/>
        <v>62.985600000000012</v>
      </c>
      <c r="G8" s="12">
        <v>3</v>
      </c>
      <c r="H8" s="87">
        <f t="shared" si="15"/>
        <v>133529.47200000004</v>
      </c>
      <c r="I8" s="88">
        <f t="shared" ref="I8:I45" si="17">ROUNDDOWN(((M8+J7)/F8)+I7,0)</f>
        <v>2120</v>
      </c>
      <c r="J8" s="89">
        <f t="shared" ref="J8:J45" si="18">((((M8+J7)/F8)+I7)-I8)*F8</f>
        <v>38.996001597814541</v>
      </c>
      <c r="K8" s="86"/>
      <c r="L8" s="89">
        <f t="shared" si="2"/>
        <v>3123</v>
      </c>
      <c r="M8" s="89">
        <f t="shared" si="3"/>
        <v>2391.7431560388354</v>
      </c>
      <c r="N8" s="89">
        <f t="shared" si="4"/>
        <v>104641.50564555899</v>
      </c>
      <c r="O8" s="89">
        <f t="shared" si="5"/>
        <v>732.49053951891301</v>
      </c>
      <c r="P8" s="86">
        <f t="shared" si="0"/>
        <v>0</v>
      </c>
      <c r="Q8" s="82"/>
      <c r="R8" s="86">
        <f t="shared" si="6"/>
        <v>62.985600000000012</v>
      </c>
      <c r="S8" s="12">
        <v>3</v>
      </c>
      <c r="T8" s="87">
        <f t="shared" si="7"/>
        <v>135859.93920000002</v>
      </c>
      <c r="U8" s="88">
        <f t="shared" si="8"/>
        <v>2157</v>
      </c>
      <c r="V8" s="89">
        <f t="shared" si="9"/>
        <v>50</v>
      </c>
      <c r="W8" s="86">
        <f t="shared" si="10"/>
        <v>3149.2800000000007</v>
      </c>
      <c r="X8" s="89">
        <f t="shared" si="11"/>
        <v>27.392812499998744</v>
      </c>
      <c r="Y8" s="89">
        <f t="shared" si="12"/>
        <v>0.36469846875012446</v>
      </c>
      <c r="Z8" s="89">
        <f t="shared" si="13"/>
        <v>3160.5</v>
      </c>
      <c r="AA8" s="89">
        <f t="shared" si="14"/>
        <v>3138.6925499999998</v>
      </c>
      <c r="AB8" s="82"/>
      <c r="AC8" s="7">
        <f>AC7+AD7</f>
        <v>101384.761</v>
      </c>
      <c r="AD8" s="7">
        <f t="shared" si="16"/>
        <v>699.55485090000002</v>
      </c>
      <c r="AE8" s="82"/>
    </row>
    <row r="9" spans="2:38" x14ac:dyDescent="0.2">
      <c r="B9" s="91" t="s">
        <v>12</v>
      </c>
      <c r="C9" s="91" t="s">
        <v>68</v>
      </c>
      <c r="F9" s="86">
        <f t="shared" si="1"/>
        <v>68.024448000000021</v>
      </c>
      <c r="G9" s="12">
        <v>4</v>
      </c>
      <c r="H9" s="87">
        <f t="shared" si="15"/>
        <v>146660.70988800004</v>
      </c>
      <c r="I9" s="88">
        <f t="shared" si="17"/>
        <v>2156</v>
      </c>
      <c r="J9" s="89">
        <f t="shared" si="18"/>
        <v>26.54416925667995</v>
      </c>
      <c r="K9" s="86"/>
      <c r="L9" s="89">
        <f t="shared" si="2"/>
        <v>3180</v>
      </c>
      <c r="M9" s="89">
        <f t="shared" si="3"/>
        <v>2436.4282956588613</v>
      </c>
      <c r="N9" s="89">
        <f t="shared" si="4"/>
        <v>107033.24880159783</v>
      </c>
      <c r="O9" s="89">
        <f t="shared" si="5"/>
        <v>749.23274161118479</v>
      </c>
      <c r="P9" s="86">
        <f t="shared" si="0"/>
        <v>0</v>
      </c>
      <c r="Q9" s="82"/>
      <c r="R9" s="86">
        <f t="shared" si="6"/>
        <v>68.024448000000021</v>
      </c>
      <c r="S9" s="12">
        <v>4</v>
      </c>
      <c r="T9" s="87">
        <f t="shared" si="7"/>
        <v>149925.88339200005</v>
      </c>
      <c r="U9" s="88">
        <f t="shared" si="8"/>
        <v>2204</v>
      </c>
      <c r="V9" s="89">
        <f t="shared" si="9"/>
        <v>47</v>
      </c>
      <c r="W9" s="86">
        <f t="shared" si="10"/>
        <v>3197.1490560000011</v>
      </c>
      <c r="X9" s="89">
        <f t="shared" si="11"/>
        <v>43.783504968732757</v>
      </c>
      <c r="Y9" s="89">
        <f t="shared" si="12"/>
        <v>0.26365582031248797</v>
      </c>
      <c r="Z9" s="89">
        <f t="shared" si="13"/>
        <v>3235.5</v>
      </c>
      <c r="AA9" s="89">
        <f t="shared" si="14"/>
        <v>3213.1750499999998</v>
      </c>
      <c r="AB9" s="82"/>
      <c r="AC9" s="7">
        <f>AC8+AD8</f>
        <v>102084.31585089999</v>
      </c>
      <c r="AD9" s="7">
        <f t="shared" si="16"/>
        <v>704.38177937120997</v>
      </c>
      <c r="AE9" s="82"/>
    </row>
    <row r="10" spans="2:38" x14ac:dyDescent="0.2">
      <c r="B10" s="90">
        <v>2000</v>
      </c>
      <c r="C10" s="96">
        <f>B10*B14</f>
        <v>100000</v>
      </c>
      <c r="F10" s="86">
        <f t="shared" si="1"/>
        <v>73.466403840000027</v>
      </c>
      <c r="G10" s="12">
        <v>5</v>
      </c>
      <c r="H10" s="87">
        <f t="shared" si="15"/>
        <v>160891.42440960006</v>
      </c>
      <c r="I10" s="88">
        <f t="shared" si="17"/>
        <v>2190</v>
      </c>
      <c r="J10" s="89">
        <f t="shared" si="18"/>
        <v>7.8132582650490123</v>
      </c>
      <c r="K10" s="86"/>
      <c r="L10" s="89">
        <f t="shared" si="2"/>
        <v>3234</v>
      </c>
      <c r="M10" s="89">
        <f t="shared" si="3"/>
        <v>2479.1268195683556</v>
      </c>
      <c r="N10" s="89">
        <f t="shared" si="4"/>
        <v>109469.67709725669</v>
      </c>
      <c r="O10" s="89">
        <f t="shared" si="5"/>
        <v>766.28773968079679</v>
      </c>
      <c r="P10" s="86">
        <f t="shared" si="0"/>
        <v>0</v>
      </c>
      <c r="Q10" s="82"/>
      <c r="R10" s="86">
        <f t="shared" si="6"/>
        <v>73.466403840000027</v>
      </c>
      <c r="S10" s="12">
        <v>5</v>
      </c>
      <c r="T10" s="87">
        <f t="shared" si="7"/>
        <v>165225.94223616007</v>
      </c>
      <c r="U10" s="88">
        <f t="shared" si="8"/>
        <v>2249</v>
      </c>
      <c r="V10" s="89">
        <f t="shared" si="9"/>
        <v>45</v>
      </c>
      <c r="W10" s="86">
        <f t="shared" si="10"/>
        <v>3305.9881728000014</v>
      </c>
      <c r="X10" s="89">
        <f t="shared" si="11"/>
        <v>21.247587989051073</v>
      </c>
      <c r="Y10" s="89">
        <f t="shared" si="12"/>
        <v>0.42141623532405281</v>
      </c>
      <c r="Z10" s="89">
        <f t="shared" si="13"/>
        <v>3306</v>
      </c>
      <c r="AA10" s="89">
        <f t="shared" si="14"/>
        <v>3283.1886</v>
      </c>
      <c r="AB10" s="82"/>
      <c r="AC10" s="7">
        <f t="shared" ref="AC10:AC45" si="19">AC9+AD9</f>
        <v>102788.6976302712</v>
      </c>
      <c r="AD10" s="7">
        <f t="shared" si="16"/>
        <v>709.24201364887131</v>
      </c>
      <c r="AE10" s="82"/>
    </row>
    <row r="11" spans="2:38" x14ac:dyDescent="0.2">
      <c r="F11" s="86">
        <f t="shared" si="1"/>
        <v>79.343716147200027</v>
      </c>
      <c r="G11" s="12">
        <v>6</v>
      </c>
      <c r="H11" s="87">
        <f t="shared" si="15"/>
        <v>176222.39356293125</v>
      </c>
      <c r="I11" s="88">
        <f t="shared" si="17"/>
        <v>2221</v>
      </c>
      <c r="J11" s="89">
        <f t="shared" si="18"/>
        <v>67.992531528930598</v>
      </c>
      <c r="K11" s="86"/>
      <c r="L11" s="89">
        <f t="shared" si="2"/>
        <v>3285</v>
      </c>
      <c r="M11" s="89">
        <f t="shared" si="3"/>
        <v>2519.8344738270971</v>
      </c>
      <c r="N11" s="89">
        <f t="shared" si="4"/>
        <v>111948.80391682504</v>
      </c>
      <c r="O11" s="89">
        <f t="shared" si="5"/>
        <v>783.64162741777534</v>
      </c>
      <c r="P11" s="86">
        <f t="shared" si="0"/>
        <v>0</v>
      </c>
      <c r="Q11" s="82"/>
      <c r="R11" s="86">
        <f t="shared" si="6"/>
        <v>79.343716147200027</v>
      </c>
      <c r="S11" s="12">
        <v>6</v>
      </c>
      <c r="T11" s="87">
        <f t="shared" si="7"/>
        <v>181776.45369323526</v>
      </c>
      <c r="U11" s="88">
        <f t="shared" si="8"/>
        <v>2291</v>
      </c>
      <c r="V11" s="89">
        <f t="shared" si="9"/>
        <v>42</v>
      </c>
      <c r="W11" s="86">
        <f t="shared" si="10"/>
        <v>3332.4360781824012</v>
      </c>
      <c r="X11" s="89">
        <f t="shared" si="11"/>
        <v>39.455776041957769</v>
      </c>
      <c r="Y11" s="89">
        <f t="shared" si="12"/>
        <v>0.20450803439461659</v>
      </c>
      <c r="Z11" s="89">
        <f t="shared" si="13"/>
        <v>3373.5</v>
      </c>
      <c r="AA11" s="89">
        <f t="shared" si="14"/>
        <v>3350.2228500000001</v>
      </c>
      <c r="AB11" s="82"/>
      <c r="AC11" s="7">
        <f t="shared" si="19"/>
        <v>103497.93964392006</v>
      </c>
      <c r="AD11" s="7">
        <f t="shared" si="16"/>
        <v>714.13578354304843</v>
      </c>
      <c r="AE11" s="82"/>
      <c r="AI11" s="12"/>
      <c r="AJ11" s="12"/>
      <c r="AK11" s="12"/>
      <c r="AL11" s="12"/>
    </row>
    <row r="12" spans="2:38" x14ac:dyDescent="0.2">
      <c r="F12" s="86">
        <f t="shared" si="1"/>
        <v>85.691213438976035</v>
      </c>
      <c r="G12" s="12">
        <v>7</v>
      </c>
      <c r="H12" s="87">
        <f t="shared" si="15"/>
        <v>192890.92145113504</v>
      </c>
      <c r="I12" s="88">
        <f t="shared" si="17"/>
        <v>2251</v>
      </c>
      <c r="J12" s="89">
        <f t="shared" si="18"/>
        <v>54.761973745537283</v>
      </c>
      <c r="K12" s="86"/>
      <c r="L12" s="89">
        <f t="shared" si="2"/>
        <v>3331.5</v>
      </c>
      <c r="M12" s="89">
        <f t="shared" si="3"/>
        <v>2557.5058453859028</v>
      </c>
      <c r="N12" s="89">
        <f t="shared" si="4"/>
        <v>114468.63839065214</v>
      </c>
      <c r="O12" s="89">
        <f t="shared" si="5"/>
        <v>801.28046873456492</v>
      </c>
      <c r="P12" s="86">
        <f t="shared" si="0"/>
        <v>0</v>
      </c>
      <c r="Q12" s="82"/>
      <c r="R12" s="86">
        <f t="shared" si="6"/>
        <v>85.691213438976035</v>
      </c>
      <c r="S12" s="12">
        <v>7</v>
      </c>
      <c r="T12" s="87">
        <f t="shared" si="7"/>
        <v>199746.21852625313</v>
      </c>
      <c r="U12" s="88">
        <f t="shared" si="8"/>
        <v>2331</v>
      </c>
      <c r="V12" s="89">
        <f t="shared" si="9"/>
        <v>40</v>
      </c>
      <c r="W12" s="86">
        <f t="shared" si="10"/>
        <v>3427.6485375590414</v>
      </c>
      <c r="X12" s="89">
        <f t="shared" si="11"/>
        <v>24.79989651732058</v>
      </c>
      <c r="Y12" s="89">
        <f t="shared" si="12"/>
        <v>0.37976184440384353</v>
      </c>
      <c r="Z12" s="89">
        <f t="shared" si="13"/>
        <v>3436.5</v>
      </c>
      <c r="AA12" s="89">
        <f t="shared" si="14"/>
        <v>3412.7881499999999</v>
      </c>
      <c r="AB12" s="82"/>
      <c r="AC12" s="7">
        <f t="shared" si="19"/>
        <v>104212.07542746312</v>
      </c>
      <c r="AD12" s="7">
        <f t="shared" si="16"/>
        <v>719.06332044949545</v>
      </c>
      <c r="AE12" s="82"/>
      <c r="AL12" s="12"/>
    </row>
    <row r="13" spans="2:38" x14ac:dyDescent="0.2">
      <c r="B13" s="91" t="s">
        <v>69</v>
      </c>
      <c r="C13" s="91" t="s">
        <v>70</v>
      </c>
      <c r="F13" s="86">
        <f t="shared" si="1"/>
        <v>92.546510514094123</v>
      </c>
      <c r="G13" s="12">
        <v>8</v>
      </c>
      <c r="H13" s="87">
        <f t="shared" si="15"/>
        <v>210913.49746162051</v>
      </c>
      <c r="I13" s="88">
        <f t="shared" si="17"/>
        <v>2279</v>
      </c>
      <c r="J13" s="89">
        <f t="shared" si="18"/>
        <v>57.676412003537038</v>
      </c>
      <c r="K13" s="86"/>
      <c r="L13" s="89">
        <f t="shared" si="2"/>
        <v>3376.5</v>
      </c>
      <c r="M13" s="89">
        <f t="shared" si="3"/>
        <v>2594.2167326526283</v>
      </c>
      <c r="N13" s="89">
        <f t="shared" si="4"/>
        <v>117026.14423603805</v>
      </c>
      <c r="O13" s="89">
        <f t="shared" si="5"/>
        <v>819.18300965226638</v>
      </c>
      <c r="P13" s="86">
        <f t="shared" si="0"/>
        <v>0</v>
      </c>
      <c r="Q13" s="82"/>
      <c r="R13" s="86">
        <f t="shared" si="6"/>
        <v>92.546510514094123</v>
      </c>
      <c r="S13" s="12">
        <v>8</v>
      </c>
      <c r="T13" s="87">
        <f t="shared" si="7"/>
        <v>219150.13689737488</v>
      </c>
      <c r="U13" s="88">
        <f t="shared" si="8"/>
        <v>2368</v>
      </c>
      <c r="V13" s="89">
        <f t="shared" si="9"/>
        <v>37</v>
      </c>
      <c r="W13" s="86">
        <f t="shared" si="10"/>
        <v>3424.2208890214824</v>
      </c>
      <c r="X13" s="89">
        <f t="shared" si="11"/>
        <v>73.332919340256296</v>
      </c>
      <c r="Y13" s="89">
        <f t="shared" si="12"/>
        <v>0.23869900397921062</v>
      </c>
      <c r="Z13" s="89">
        <f t="shared" si="13"/>
        <v>3496.5</v>
      </c>
      <c r="AA13" s="89">
        <f t="shared" si="14"/>
        <v>3472.3741500000001</v>
      </c>
      <c r="AB13" s="82"/>
      <c r="AC13" s="7">
        <f t="shared" si="19"/>
        <v>104931.13874791261</v>
      </c>
      <c r="AD13" s="7">
        <f t="shared" si="16"/>
        <v>724.02485736059703</v>
      </c>
      <c r="AE13" s="82"/>
      <c r="AL13" s="12"/>
    </row>
    <row r="14" spans="2:38" x14ac:dyDescent="0.2">
      <c r="B14" s="90">
        <v>50</v>
      </c>
      <c r="C14" s="96">
        <v>1.5</v>
      </c>
      <c r="F14" s="86">
        <f t="shared" si="1"/>
        <v>99.950231355221661</v>
      </c>
      <c r="G14" s="12">
        <v>9</v>
      </c>
      <c r="H14" s="87">
        <f t="shared" si="15"/>
        <v>230385.28327378593</v>
      </c>
      <c r="I14" s="88">
        <f t="shared" si="17"/>
        <v>2305</v>
      </c>
      <c r="J14" s="89">
        <f t="shared" si="18"/>
        <v>87.894325710008886</v>
      </c>
      <c r="K14" s="86"/>
      <c r="L14" s="89">
        <f t="shared" si="2"/>
        <v>3418.5</v>
      </c>
      <c r="M14" s="89">
        <f t="shared" si="3"/>
        <v>2628.9239289422571</v>
      </c>
      <c r="N14" s="89">
        <f t="shared" si="4"/>
        <v>119620.36096869067</v>
      </c>
      <c r="O14" s="89">
        <f t="shared" si="5"/>
        <v>837.34252678083476</v>
      </c>
      <c r="P14" s="86">
        <f t="shared" si="0"/>
        <v>0</v>
      </c>
      <c r="Q14" s="82"/>
      <c r="R14" s="86">
        <f t="shared" si="6"/>
        <v>99.950231355221661</v>
      </c>
      <c r="S14" s="12">
        <v>9</v>
      </c>
      <c r="T14" s="87">
        <f t="shared" si="7"/>
        <v>240280.35617795287</v>
      </c>
      <c r="U14" s="88">
        <f t="shared" si="8"/>
        <v>2404</v>
      </c>
      <c r="V14" s="89">
        <f t="shared" si="9"/>
        <v>36</v>
      </c>
      <c r="W14" s="86">
        <f t="shared" si="10"/>
        <v>3598.2083287879796</v>
      </c>
      <c r="X14" s="89">
        <f t="shared" si="11"/>
        <v>2.8544895562649182</v>
      </c>
      <c r="Y14" s="89">
        <f t="shared" si="12"/>
        <v>0.70582934864996694</v>
      </c>
      <c r="Z14" s="89">
        <f t="shared" si="13"/>
        <v>3552</v>
      </c>
      <c r="AA14" s="89">
        <f t="shared" si="14"/>
        <v>3527.4911999999999</v>
      </c>
      <c r="AB14" s="82"/>
      <c r="AC14" s="7">
        <f>AC13+AD13</f>
        <v>105655.16360527321</v>
      </c>
      <c r="AD14" s="7">
        <f t="shared" si="16"/>
        <v>729.0206288763851</v>
      </c>
      <c r="AE14" s="82"/>
      <c r="AJ14" s="12"/>
      <c r="AK14" s="12"/>
      <c r="AL14" s="12"/>
    </row>
    <row r="15" spans="2:38" x14ac:dyDescent="0.2">
      <c r="F15" s="86">
        <f t="shared" si="1"/>
        <v>107.94624986363939</v>
      </c>
      <c r="G15" s="12">
        <v>10</v>
      </c>
      <c r="H15" s="87">
        <f t="shared" si="15"/>
        <v>251514.76218227978</v>
      </c>
      <c r="I15" s="88">
        <f t="shared" si="17"/>
        <v>2330</v>
      </c>
      <c r="J15" s="89">
        <f t="shared" si="18"/>
        <v>50.861222870325804</v>
      </c>
      <c r="K15" s="86"/>
      <c r="L15" s="89">
        <f t="shared" si="2"/>
        <v>3457.5</v>
      </c>
      <c r="M15" s="89">
        <f t="shared" si="3"/>
        <v>2661.6231437513015</v>
      </c>
      <c r="N15" s="89">
        <f t="shared" si="4"/>
        <v>122249.28489763293</v>
      </c>
      <c r="O15" s="89">
        <f t="shared" si="5"/>
        <v>855.74499428343051</v>
      </c>
      <c r="P15" s="86">
        <f t="shared" si="0"/>
        <v>0</v>
      </c>
      <c r="Q15" s="82"/>
      <c r="R15" s="86">
        <f t="shared" si="6"/>
        <v>107.94624986363939</v>
      </c>
      <c r="S15" s="12">
        <v>10</v>
      </c>
      <c r="T15" s="87">
        <f t="shared" si="7"/>
        <v>263065.01091768919</v>
      </c>
      <c r="U15" s="88">
        <f t="shared" si="8"/>
        <v>2437</v>
      </c>
      <c r="V15" s="89">
        <f t="shared" si="9"/>
        <v>33</v>
      </c>
      <c r="W15" s="86">
        <f t="shared" si="10"/>
        <v>3562.2262455001</v>
      </c>
      <c r="X15" s="89">
        <f t="shared" si="11"/>
        <v>22.452673404818665</v>
      </c>
      <c r="Y15" s="89">
        <f t="shared" si="12"/>
        <v>2.7474461979049836E-2</v>
      </c>
      <c r="Z15" s="89">
        <f t="shared" si="13"/>
        <v>3606</v>
      </c>
      <c r="AA15" s="89">
        <f t="shared" si="14"/>
        <v>3581.1185999999998</v>
      </c>
      <c r="AB15" s="82"/>
      <c r="AC15" s="7">
        <f t="shared" si="19"/>
        <v>106384.18423414959</v>
      </c>
      <c r="AD15" s="7">
        <f t="shared" si="16"/>
        <v>734.05087121563224</v>
      </c>
      <c r="AE15" s="82"/>
      <c r="AK15" s="12"/>
      <c r="AL15" s="12"/>
    </row>
    <row r="16" spans="2:38" x14ac:dyDescent="0.2">
      <c r="F16" s="86">
        <f t="shared" si="1"/>
        <v>116.58194985273056</v>
      </c>
      <c r="G16" s="12">
        <v>11</v>
      </c>
      <c r="H16" s="87">
        <f t="shared" si="15"/>
        <v>274317.32800347504</v>
      </c>
      <c r="I16" s="88">
        <f t="shared" si="17"/>
        <v>2353</v>
      </c>
      <c r="J16" s="89">
        <f t="shared" si="18"/>
        <v>62.827603646545484</v>
      </c>
      <c r="K16" s="86"/>
      <c r="L16" s="89">
        <f t="shared" si="2"/>
        <v>3495</v>
      </c>
      <c r="M16" s="89">
        <f t="shared" si="3"/>
        <v>2693.351227389016</v>
      </c>
      <c r="N16" s="89">
        <f t="shared" si="4"/>
        <v>124910.90804138423</v>
      </c>
      <c r="O16" s="89">
        <f t="shared" si="5"/>
        <v>874.37635628968962</v>
      </c>
      <c r="P16" s="86">
        <f t="shared" si="0"/>
        <v>0</v>
      </c>
      <c r="Q16" s="82"/>
      <c r="R16" s="86">
        <f t="shared" si="6"/>
        <v>116.58194985273056</v>
      </c>
      <c r="S16" s="12">
        <v>11</v>
      </c>
      <c r="T16" s="87">
        <f t="shared" si="7"/>
        <v>287724.25223653903</v>
      </c>
      <c r="U16" s="88">
        <f t="shared" si="8"/>
        <v>2468</v>
      </c>
      <c r="V16" s="89">
        <f t="shared" si="9"/>
        <v>31</v>
      </c>
      <c r="W16" s="86">
        <f t="shared" si="10"/>
        <v>3614.0404454346472</v>
      </c>
      <c r="X16" s="89">
        <f t="shared" si="11"/>
        <v>38.716752432163098</v>
      </c>
      <c r="Y16" s="89">
        <f t="shared" si="12"/>
        <v>0.21610698152137964</v>
      </c>
      <c r="Z16" s="89">
        <f t="shared" si="13"/>
        <v>3655.5</v>
      </c>
      <c r="AA16" s="89">
        <f t="shared" si="14"/>
        <v>3630.2770500000001</v>
      </c>
      <c r="AB16" s="82"/>
      <c r="AC16" s="7">
        <f t="shared" si="19"/>
        <v>107118.23510536522</v>
      </c>
      <c r="AD16" s="7">
        <f t="shared" si="16"/>
        <v>739.11582222701998</v>
      </c>
      <c r="AE16" s="82"/>
      <c r="AK16" s="12"/>
      <c r="AL16" s="12"/>
    </row>
    <row r="17" spans="2:38" x14ac:dyDescent="0.2">
      <c r="B17" s="91" t="s">
        <v>72</v>
      </c>
      <c r="C17" s="91" t="s">
        <v>73</v>
      </c>
      <c r="F17" s="86">
        <f t="shared" si="1"/>
        <v>125.90850584094902</v>
      </c>
      <c r="G17" s="12">
        <v>12</v>
      </c>
      <c r="H17" s="87">
        <f t="shared" si="15"/>
        <v>299032.70137225394</v>
      </c>
      <c r="I17" s="88">
        <f t="shared" si="17"/>
        <v>2375</v>
      </c>
      <c r="J17" s="89">
        <f t="shared" si="18"/>
        <v>15.905425517912292</v>
      </c>
      <c r="K17" s="86"/>
      <c r="L17" s="89">
        <f t="shared" si="2"/>
        <v>3529.5</v>
      </c>
      <c r="M17" s="89">
        <f t="shared" si="3"/>
        <v>2723.0649503722238</v>
      </c>
      <c r="N17" s="89">
        <f t="shared" si="4"/>
        <v>127604.25926877325</v>
      </c>
      <c r="O17" s="89">
        <f t="shared" si="5"/>
        <v>893.22981488141284</v>
      </c>
      <c r="P17" s="86">
        <f t="shared" si="0"/>
        <v>0</v>
      </c>
      <c r="Q17" s="82"/>
      <c r="R17" s="86">
        <f t="shared" si="6"/>
        <v>125.90850584094902</v>
      </c>
      <c r="S17" s="12">
        <v>12</v>
      </c>
      <c r="T17" s="87">
        <f t="shared" si="7"/>
        <v>314393.5390848497</v>
      </c>
      <c r="U17" s="88">
        <f t="shared" si="8"/>
        <v>2497</v>
      </c>
      <c r="V17" s="89">
        <f t="shared" si="9"/>
        <v>29</v>
      </c>
      <c r="W17" s="86">
        <f t="shared" si="10"/>
        <v>3651.3466693875216</v>
      </c>
      <c r="X17" s="89">
        <f t="shared" si="11"/>
        <v>64.042390026156895</v>
      </c>
      <c r="Y17" s="89">
        <f t="shared" si="12"/>
        <v>0.37264874215956983</v>
      </c>
      <c r="Z17" s="89">
        <f t="shared" si="13"/>
        <v>3702</v>
      </c>
      <c r="AA17" s="89">
        <f t="shared" si="14"/>
        <v>3676.4562000000001</v>
      </c>
      <c r="AB17" s="82"/>
      <c r="AC17" s="7">
        <f t="shared" si="19"/>
        <v>107857.35092759224</v>
      </c>
      <c r="AD17" s="7">
        <f t="shared" si="16"/>
        <v>744.21572140038643</v>
      </c>
      <c r="AE17" s="82"/>
      <c r="AK17" s="12"/>
      <c r="AL17" s="12"/>
    </row>
    <row r="18" spans="2:38" x14ac:dyDescent="0.2">
      <c r="B18" s="92">
        <v>0.23</v>
      </c>
      <c r="C18" s="90">
        <v>1.33</v>
      </c>
      <c r="F18" s="86">
        <f t="shared" si="1"/>
        <v>135.98118630822495</v>
      </c>
      <c r="G18" s="12">
        <v>13</v>
      </c>
      <c r="H18" s="87">
        <f t="shared" si="15"/>
        <v>325674.94120819872</v>
      </c>
      <c r="I18" s="88">
        <f t="shared" si="17"/>
        <v>2395</v>
      </c>
      <c r="J18" s="89">
        <f t="shared" si="18"/>
        <v>48.082848703852292</v>
      </c>
      <c r="K18" s="86"/>
      <c r="L18" s="89">
        <f t="shared" si="2"/>
        <v>3562.5</v>
      </c>
      <c r="M18" s="89">
        <f t="shared" si="3"/>
        <v>2751.8011493504559</v>
      </c>
      <c r="N18" s="89">
        <f t="shared" si="4"/>
        <v>130327.32421914548</v>
      </c>
      <c r="O18" s="89">
        <f t="shared" si="5"/>
        <v>912.2912695340184</v>
      </c>
      <c r="P18" s="86">
        <f t="shared" si="0"/>
        <v>0</v>
      </c>
      <c r="Q18" s="82"/>
      <c r="R18" s="86">
        <f t="shared" si="6"/>
        <v>135.98118630822495</v>
      </c>
      <c r="S18" s="12">
        <v>13</v>
      </c>
      <c r="T18" s="87">
        <f t="shared" si="7"/>
        <v>343216.51424195978</v>
      </c>
      <c r="U18" s="88">
        <f t="shared" si="8"/>
        <v>2524</v>
      </c>
      <c r="V18" s="89">
        <f t="shared" si="9"/>
        <v>27</v>
      </c>
      <c r="W18" s="86">
        <f t="shared" si="10"/>
        <v>3671.4920303220738</v>
      </c>
      <c r="X18" s="89">
        <f t="shared" si="11"/>
        <v>112.57905844625006</v>
      </c>
      <c r="Y18" s="89">
        <f t="shared" si="12"/>
        <v>0.6164080040017601</v>
      </c>
      <c r="Z18" s="89">
        <f t="shared" si="13"/>
        <v>3745.5</v>
      </c>
      <c r="AA18" s="89">
        <f t="shared" si="14"/>
        <v>3719.6560500000001</v>
      </c>
      <c r="AB18" s="82"/>
      <c r="AC18" s="7">
        <f t="shared" si="19"/>
        <v>108601.56664899262</v>
      </c>
      <c r="AD18" s="7">
        <f t="shared" si="16"/>
        <v>749.35080987804906</v>
      </c>
      <c r="AE18" s="82"/>
    </row>
    <row r="19" spans="2:38" x14ac:dyDescent="0.2">
      <c r="B19" s="12"/>
      <c r="F19" s="86">
        <f t="shared" si="1"/>
        <v>146.85968121288295</v>
      </c>
      <c r="G19" s="12">
        <v>14</v>
      </c>
      <c r="H19" s="87">
        <f t="shared" si="15"/>
        <v>354519.27044789941</v>
      </c>
      <c r="I19" s="88">
        <f t="shared" si="17"/>
        <v>2414</v>
      </c>
      <c r="J19" s="89">
        <f t="shared" si="18"/>
        <v>36.265486810627316</v>
      </c>
      <c r="K19" s="86"/>
      <c r="L19" s="89">
        <f t="shared" si="2"/>
        <v>3592.5</v>
      </c>
      <c r="M19" s="89">
        <f t="shared" si="3"/>
        <v>2778.5165811515599</v>
      </c>
      <c r="N19" s="89">
        <f t="shared" si="4"/>
        <v>133079.12536849594</v>
      </c>
      <c r="O19" s="89">
        <f t="shared" si="5"/>
        <v>931.55387757947153</v>
      </c>
      <c r="P19" s="86">
        <f t="shared" si="0"/>
        <v>0</v>
      </c>
      <c r="Q19" s="82"/>
      <c r="R19" s="86">
        <f t="shared" si="6"/>
        <v>146.85968121288295</v>
      </c>
      <c r="S19" s="12">
        <v>14</v>
      </c>
      <c r="T19" s="87">
        <f t="shared" si="7"/>
        <v>374492.1870928515</v>
      </c>
      <c r="U19" s="88">
        <f t="shared" si="8"/>
        <v>2550</v>
      </c>
      <c r="V19" s="89">
        <f t="shared" si="9"/>
        <v>26</v>
      </c>
      <c r="W19" s="86">
        <f t="shared" si="10"/>
        <v>3818.3517115349568</v>
      </c>
      <c r="X19" s="89">
        <f t="shared" si="11"/>
        <v>54.72035491526578</v>
      </c>
      <c r="Y19" s="89">
        <f t="shared" si="12"/>
        <v>1.0835734375451569</v>
      </c>
      <c r="Z19" s="89">
        <f t="shared" si="13"/>
        <v>3786</v>
      </c>
      <c r="AA19" s="89">
        <f t="shared" si="14"/>
        <v>3759.8766000000001</v>
      </c>
      <c r="AB19" s="82"/>
      <c r="AC19" s="7">
        <f t="shared" si="19"/>
        <v>109350.91745887067</v>
      </c>
      <c r="AD19" s="7">
        <f t="shared" si="16"/>
        <v>754.52133046620759</v>
      </c>
      <c r="AE19" s="82"/>
    </row>
    <row r="20" spans="2:38" x14ac:dyDescent="0.2">
      <c r="F20" s="86">
        <f t="shared" si="1"/>
        <v>158.60845570991358</v>
      </c>
      <c r="G20" s="12">
        <v>15</v>
      </c>
      <c r="H20" s="87">
        <f t="shared" si="15"/>
        <v>385577.15583079995</v>
      </c>
      <c r="I20" s="88">
        <f t="shared" si="17"/>
        <v>2431</v>
      </c>
      <c r="J20" s="89">
        <f t="shared" si="18"/>
        <v>144.16980844888897</v>
      </c>
      <c r="K20" s="86"/>
      <c r="L20" s="89">
        <f t="shared" si="2"/>
        <v>3621</v>
      </c>
      <c r="M20" s="89">
        <f t="shared" si="3"/>
        <v>2804.24806870678</v>
      </c>
      <c r="N20" s="89">
        <f t="shared" si="4"/>
        <v>135857.64194964748</v>
      </c>
      <c r="O20" s="89">
        <f t="shared" si="5"/>
        <v>951.00349364753242</v>
      </c>
      <c r="P20" s="86">
        <f t="shared" si="0"/>
        <v>0</v>
      </c>
      <c r="Q20" s="82"/>
      <c r="R20" s="86">
        <f t="shared" si="6"/>
        <v>158.60845570991358</v>
      </c>
      <c r="S20" s="12">
        <v>15</v>
      </c>
      <c r="T20" s="87">
        <f t="shared" si="7"/>
        <v>408258.1649973176</v>
      </c>
      <c r="U20" s="88">
        <f t="shared" si="8"/>
        <v>2574</v>
      </c>
      <c r="V20" s="89">
        <f t="shared" si="9"/>
        <v>24</v>
      </c>
      <c r="W20" s="86">
        <f t="shared" si="10"/>
        <v>3806.602937037926</v>
      </c>
      <c r="X20" s="89">
        <f t="shared" si="11"/>
        <v>47.808491314871794</v>
      </c>
      <c r="Y20" s="89">
        <f t="shared" si="12"/>
        <v>0.52668341605943314</v>
      </c>
      <c r="Z20" s="89">
        <f t="shared" si="13"/>
        <v>3825</v>
      </c>
      <c r="AA20" s="89">
        <f t="shared" si="14"/>
        <v>3798.6075000000001</v>
      </c>
      <c r="AB20" s="82"/>
      <c r="AC20" s="7">
        <f t="shared" si="19"/>
        <v>110105.43878933687</v>
      </c>
      <c r="AD20" s="7">
        <f t="shared" si="16"/>
        <v>759.72752764642439</v>
      </c>
      <c r="AE20" s="82"/>
    </row>
    <row r="21" spans="2:38" x14ac:dyDescent="0.2">
      <c r="B21" s="91" t="s">
        <v>43</v>
      </c>
      <c r="C21" s="94">
        <v>0.08</v>
      </c>
      <c r="F21" s="86">
        <f t="shared" si="1"/>
        <v>171.29713216670669</v>
      </c>
      <c r="G21" s="12">
        <v>16</v>
      </c>
      <c r="H21" s="87">
        <f t="shared" si="15"/>
        <v>419335.37954409799</v>
      </c>
      <c r="I21" s="88">
        <f t="shared" si="17"/>
        <v>2448</v>
      </c>
      <c r="J21" s="89">
        <f t="shared" si="18"/>
        <v>60.070916711215013</v>
      </c>
      <c r="K21" s="86"/>
      <c r="L21" s="89">
        <f t="shared" si="2"/>
        <v>3646.5</v>
      </c>
      <c r="M21" s="89">
        <f t="shared" si="3"/>
        <v>2827.9523550963017</v>
      </c>
      <c r="N21" s="89">
        <f t="shared" si="4"/>
        <v>138661.89001835426</v>
      </c>
      <c r="O21" s="89">
        <f t="shared" si="5"/>
        <v>970.63323012847979</v>
      </c>
      <c r="P21" s="86">
        <f t="shared" si="0"/>
        <v>0</v>
      </c>
      <c r="Q21" s="82"/>
      <c r="R21" s="86">
        <f t="shared" si="6"/>
        <v>171.29713216670669</v>
      </c>
      <c r="S21" s="12">
        <v>16</v>
      </c>
      <c r="T21" s="87">
        <f t="shared" si="7"/>
        <v>444687.35510477057</v>
      </c>
      <c r="U21" s="88">
        <f t="shared" si="8"/>
        <v>2596</v>
      </c>
      <c r="V21" s="89">
        <f t="shared" si="9"/>
        <v>22</v>
      </c>
      <c r="W21" s="86">
        <f t="shared" si="10"/>
        <v>3768.536907667547</v>
      </c>
      <c r="X21" s="89">
        <f t="shared" si="11"/>
        <v>114.1573670633617</v>
      </c>
      <c r="Y21" s="89">
        <f t="shared" si="12"/>
        <v>0.46015672890564102</v>
      </c>
      <c r="Z21" s="89">
        <f t="shared" si="13"/>
        <v>3861</v>
      </c>
      <c r="AA21" s="89">
        <f t="shared" si="14"/>
        <v>3834.3591000000001</v>
      </c>
      <c r="AB21" s="82"/>
      <c r="AC21" s="7">
        <f t="shared" si="19"/>
        <v>110865.16631698329</v>
      </c>
      <c r="AD21" s="7">
        <f t="shared" si="16"/>
        <v>764.96964758718468</v>
      </c>
      <c r="AE21" s="82"/>
    </row>
    <row r="22" spans="2:38" x14ac:dyDescent="0.2">
      <c r="B22" s="91" t="s">
        <v>75</v>
      </c>
      <c r="C22" s="93">
        <f>(1+C21)^(1/12)-1</f>
        <v>6.4340301100034303E-3</v>
      </c>
      <c r="F22" s="86">
        <f t="shared" si="1"/>
        <v>185.00090274004324</v>
      </c>
      <c r="G22" s="12">
        <v>17</v>
      </c>
      <c r="H22" s="87">
        <f t="shared" si="15"/>
        <v>455657.22344872652</v>
      </c>
      <c r="I22" s="88">
        <f t="shared" si="17"/>
        <v>2463</v>
      </c>
      <c r="J22" s="89">
        <f t="shared" si="18"/>
        <v>136.76477508484058</v>
      </c>
      <c r="K22" s="86"/>
      <c r="L22" s="89">
        <f t="shared" si="2"/>
        <v>3672</v>
      </c>
      <c r="M22" s="89">
        <f t="shared" si="3"/>
        <v>2851.7073994742696</v>
      </c>
      <c r="N22" s="89">
        <f t="shared" si="4"/>
        <v>141489.84237345055</v>
      </c>
      <c r="O22" s="89">
        <f t="shared" si="5"/>
        <v>990.42889661415381</v>
      </c>
      <c r="P22" s="86">
        <f t="shared" si="0"/>
        <v>0</v>
      </c>
      <c r="Q22" s="82"/>
      <c r="R22" s="86">
        <f t="shared" si="6"/>
        <v>185.00090274004324</v>
      </c>
      <c r="S22" s="12">
        <v>17</v>
      </c>
      <c r="T22" s="87">
        <f t="shared" si="7"/>
        <v>484147.36247069319</v>
      </c>
      <c r="U22" s="88">
        <f t="shared" si="8"/>
        <v>2617</v>
      </c>
      <c r="V22" s="89">
        <f t="shared" si="9"/>
        <v>21</v>
      </c>
      <c r="W22" s="86">
        <f t="shared" si="10"/>
        <v>3885.0189575409081</v>
      </c>
      <c r="X22" s="89">
        <f t="shared" si="11"/>
        <v>96.729966251366648</v>
      </c>
      <c r="Y22" s="89">
        <f t="shared" si="12"/>
        <v>1.0987646579848565</v>
      </c>
      <c r="Z22" s="89">
        <f t="shared" si="13"/>
        <v>3894</v>
      </c>
      <c r="AA22" s="89">
        <f t="shared" si="14"/>
        <v>3867.1313999999998</v>
      </c>
      <c r="AB22" s="82"/>
      <c r="AC22" s="7">
        <f t="shared" si="19"/>
        <v>111630.13596457048</v>
      </c>
      <c r="AD22" s="7">
        <f t="shared" si="16"/>
        <v>770.2479381555363</v>
      </c>
      <c r="AE22" s="82"/>
    </row>
    <row r="23" spans="2:38" x14ac:dyDescent="0.2">
      <c r="B23" s="91" t="s">
        <v>71</v>
      </c>
      <c r="C23" s="95">
        <v>1.2500000000000001E-2</v>
      </c>
      <c r="F23" s="86">
        <f t="shared" si="1"/>
        <v>199.80097495924673</v>
      </c>
      <c r="G23" s="12">
        <v>18</v>
      </c>
      <c r="H23" s="87">
        <f t="shared" si="15"/>
        <v>495106.8159490134</v>
      </c>
      <c r="I23" s="88">
        <f t="shared" si="17"/>
        <v>2478</v>
      </c>
      <c r="J23" s="89">
        <f t="shared" si="18"/>
        <v>13.181161224862432</v>
      </c>
      <c r="K23" s="86"/>
      <c r="L23" s="89">
        <f t="shared" si="2"/>
        <v>3694.5</v>
      </c>
      <c r="M23" s="89">
        <f t="shared" si="3"/>
        <v>2873.4310105287636</v>
      </c>
      <c r="N23" s="89">
        <f t="shared" si="4"/>
        <v>144341.54977292483</v>
      </c>
      <c r="O23" s="89">
        <f t="shared" si="5"/>
        <v>1010.3908484104738</v>
      </c>
      <c r="P23" s="86">
        <f t="shared" si="0"/>
        <v>0</v>
      </c>
      <c r="Q23" s="82"/>
      <c r="R23" s="86">
        <f t="shared" si="6"/>
        <v>199.80097495924673</v>
      </c>
      <c r="S23" s="12">
        <v>18</v>
      </c>
      <c r="T23" s="87">
        <f t="shared" si="7"/>
        <v>526875.1709675336</v>
      </c>
      <c r="U23" s="88">
        <f t="shared" si="8"/>
        <v>2637</v>
      </c>
      <c r="V23" s="89">
        <f t="shared" si="9"/>
        <v>20</v>
      </c>
      <c r="W23" s="86">
        <f t="shared" si="10"/>
        <v>3996.0194991849348</v>
      </c>
      <c r="X23" s="89">
        <f t="shared" si="11"/>
        <v>0.22328172441034339</v>
      </c>
      <c r="Y23" s="89">
        <f t="shared" si="12"/>
        <v>0.93102592516940408</v>
      </c>
      <c r="Z23" s="89">
        <f t="shared" si="13"/>
        <v>3925.5</v>
      </c>
      <c r="AA23" s="89">
        <f t="shared" si="14"/>
        <v>3898.4140499999999</v>
      </c>
      <c r="AB23" s="82"/>
      <c r="AC23" s="7">
        <f t="shared" si="19"/>
        <v>112400.38390272601</v>
      </c>
      <c r="AD23" s="7">
        <f t="shared" si="16"/>
        <v>775.56264892880949</v>
      </c>
      <c r="AE23" s="82"/>
    </row>
    <row r="24" spans="2:38" x14ac:dyDescent="0.2">
      <c r="F24" s="86">
        <f t="shared" si="1"/>
        <v>215.78505295598649</v>
      </c>
      <c r="G24" s="12">
        <v>19</v>
      </c>
      <c r="H24" s="87">
        <f t="shared" si="15"/>
        <v>537520.56691336236</v>
      </c>
      <c r="I24" s="88">
        <f t="shared" si="17"/>
        <v>2491</v>
      </c>
      <c r="J24" s="89">
        <f t="shared" si="18"/>
        <v>103.1766111486034</v>
      </c>
      <c r="K24" s="86"/>
      <c r="L24" s="89">
        <f t="shared" si="2"/>
        <v>3717</v>
      </c>
      <c r="M24" s="89">
        <f t="shared" si="3"/>
        <v>2895.2011383516092</v>
      </c>
      <c r="N24" s="89">
        <f t="shared" si="4"/>
        <v>147214.98078345359</v>
      </c>
      <c r="O24" s="89">
        <f t="shared" si="5"/>
        <v>1030.5048654841751</v>
      </c>
      <c r="P24" s="86">
        <f t="shared" si="0"/>
        <v>0</v>
      </c>
      <c r="Q24" s="82"/>
      <c r="R24" s="86">
        <f t="shared" si="6"/>
        <v>215.78505295598649</v>
      </c>
      <c r="S24" s="12">
        <v>19</v>
      </c>
      <c r="T24" s="87">
        <f t="shared" si="7"/>
        <v>572909.31559814408</v>
      </c>
      <c r="U24" s="88">
        <f t="shared" si="8"/>
        <v>2655</v>
      </c>
      <c r="V24" s="89">
        <f t="shared" si="9"/>
        <v>18</v>
      </c>
      <c r="W24" s="86">
        <f t="shared" si="10"/>
        <v>3884.1309532077566</v>
      </c>
      <c r="X24" s="89">
        <f t="shared" si="11"/>
        <v>45.230404441807764</v>
      </c>
      <c r="Y24" s="89">
        <f t="shared" si="12"/>
        <v>2.1490865974495552E-3</v>
      </c>
      <c r="Z24" s="89">
        <f t="shared" si="13"/>
        <v>3955.5</v>
      </c>
      <c r="AA24" s="89">
        <f t="shared" si="14"/>
        <v>3928.20705</v>
      </c>
      <c r="AB24" s="82"/>
      <c r="AC24" s="7">
        <f t="shared" si="19"/>
        <v>113175.94655165482</v>
      </c>
      <c r="AD24" s="7">
        <f t="shared" si="16"/>
        <v>780.91403120641826</v>
      </c>
      <c r="AE24" s="82"/>
    </row>
    <row r="25" spans="2:38" x14ac:dyDescent="0.2">
      <c r="F25" s="86">
        <f t="shared" si="1"/>
        <v>233.04785719246541</v>
      </c>
      <c r="G25" s="12">
        <v>20</v>
      </c>
      <c r="H25" s="87">
        <f t="shared" si="15"/>
        <v>583318.78655274096</v>
      </c>
      <c r="I25" s="88">
        <f t="shared" si="17"/>
        <v>2503</v>
      </c>
      <c r="J25" s="89">
        <f t="shared" si="18"/>
        <v>221.53790738812862</v>
      </c>
      <c r="K25" s="86"/>
      <c r="L25" s="89">
        <f t="shared" si="2"/>
        <v>3736.5</v>
      </c>
      <c r="M25" s="89">
        <f t="shared" si="3"/>
        <v>2914.9355825491612</v>
      </c>
      <c r="N25" s="89">
        <f t="shared" si="4"/>
        <v>150110.1819218052</v>
      </c>
      <c r="O25" s="89">
        <f t="shared" si="5"/>
        <v>1050.7712734526365</v>
      </c>
      <c r="P25" s="86">
        <f t="shared" si="0"/>
        <v>0</v>
      </c>
      <c r="Q25" s="82"/>
      <c r="R25" s="86">
        <f t="shared" si="6"/>
        <v>233.04785719246541</v>
      </c>
      <c r="S25" s="12">
        <v>20</v>
      </c>
      <c r="T25" s="87">
        <f t="shared" si="7"/>
        <v>622703.87441826763</v>
      </c>
      <c r="U25" s="88">
        <f t="shared" si="8"/>
        <v>2672</v>
      </c>
      <c r="V25" s="89">
        <f t="shared" si="9"/>
        <v>17</v>
      </c>
      <c r="W25" s="86">
        <f t="shared" si="10"/>
        <v>3961.8135722719121</v>
      </c>
      <c r="X25" s="89">
        <f t="shared" si="11"/>
        <v>38.439731256458359</v>
      </c>
      <c r="Y25" s="89">
        <f t="shared" si="12"/>
        <v>0.43534264275239976</v>
      </c>
      <c r="Z25" s="89">
        <f t="shared" si="13"/>
        <v>3982.5</v>
      </c>
      <c r="AA25" s="89">
        <f t="shared" si="14"/>
        <v>3955.0207500000001</v>
      </c>
      <c r="AB25" s="82"/>
      <c r="AC25" s="7">
        <f t="shared" si="19"/>
        <v>113956.86058286123</v>
      </c>
      <c r="AD25" s="7">
        <f t="shared" si="16"/>
        <v>786.30233802174246</v>
      </c>
      <c r="AE25" s="82"/>
    </row>
    <row r="26" spans="2:38" x14ac:dyDescent="0.2">
      <c r="B26" s="39" t="s">
        <v>65</v>
      </c>
      <c r="C26" s="96">
        <f>H53-T52</f>
        <v>-32046.257248489186</v>
      </c>
      <c r="D26" s="96">
        <f>C26/H53</f>
        <v>-1.6741059036200594E-2</v>
      </c>
      <c r="F26" s="86">
        <f t="shared" si="1"/>
        <v>251.69168576786265</v>
      </c>
      <c r="G26" s="12">
        <v>21</v>
      </c>
      <c r="H26" s="87">
        <f t="shared" si="15"/>
        <v>633004.58970617456</v>
      </c>
      <c r="I26" s="88">
        <f t="shared" si="17"/>
        <v>2515</v>
      </c>
      <c r="J26" s="89">
        <f t="shared" si="18"/>
        <v>134.90881228585701</v>
      </c>
      <c r="K26" s="86"/>
      <c r="L26" s="89">
        <f t="shared" si="2"/>
        <v>3754.5</v>
      </c>
      <c r="M26" s="89">
        <f t="shared" si="3"/>
        <v>2933.6711341120736</v>
      </c>
      <c r="N26" s="89">
        <f t="shared" si="4"/>
        <v>153025.11750435436</v>
      </c>
      <c r="O26" s="89">
        <f t="shared" si="5"/>
        <v>1071.1758225304807</v>
      </c>
      <c r="P26" s="86">
        <f t="shared" si="0"/>
        <v>0</v>
      </c>
      <c r="Q26" s="82"/>
      <c r="R26" s="86">
        <f t="shared" si="6"/>
        <v>251.69168576786265</v>
      </c>
      <c r="S26" s="12">
        <v>21</v>
      </c>
      <c r="T26" s="87">
        <f t="shared" si="7"/>
        <v>676295.55965824693</v>
      </c>
      <c r="U26" s="88">
        <f t="shared" si="8"/>
        <v>2687</v>
      </c>
      <c r="V26" s="89">
        <f t="shared" si="9"/>
        <v>15</v>
      </c>
      <c r="W26" s="86">
        <f t="shared" si="10"/>
        <v>3775.3752865179399</v>
      </c>
      <c r="X26" s="89">
        <f t="shared" si="11"/>
        <v>243.84458738128185</v>
      </c>
      <c r="Y26" s="89">
        <f t="shared" si="12"/>
        <v>0.36998241334341175</v>
      </c>
      <c r="Z26" s="89">
        <f t="shared" si="13"/>
        <v>4008</v>
      </c>
      <c r="AA26" s="89">
        <f t="shared" si="14"/>
        <v>3980.3447999999999</v>
      </c>
      <c r="AB26" s="82"/>
      <c r="AC26" s="7">
        <f t="shared" si="19"/>
        <v>114743.16292088298</v>
      </c>
      <c r="AD26" s="7">
        <f t="shared" si="16"/>
        <v>791.72782415409256</v>
      </c>
      <c r="AE26" s="82"/>
    </row>
    <row r="27" spans="2:38" x14ac:dyDescent="0.2">
      <c r="B27" s="39" t="s">
        <v>51</v>
      </c>
      <c r="C27" s="96">
        <f>C26/40</f>
        <v>-801.15643121222968</v>
      </c>
      <c r="F27" s="86">
        <f t="shared" si="1"/>
        <v>271.82702062929167</v>
      </c>
      <c r="G27" s="12">
        <v>22</v>
      </c>
      <c r="H27" s="87">
        <f t="shared" si="15"/>
        <v>686635.05410959071</v>
      </c>
      <c r="I27" s="88">
        <f t="shared" si="17"/>
        <v>2526</v>
      </c>
      <c r="J27" s="89">
        <f t="shared" si="18"/>
        <v>97.258389475147993</v>
      </c>
      <c r="K27" s="86"/>
      <c r="L27" s="89">
        <f t="shared" si="2"/>
        <v>3772.5</v>
      </c>
      <c r="M27" s="89">
        <f t="shared" si="3"/>
        <v>2952.4468041115479</v>
      </c>
      <c r="N27" s="89">
        <f t="shared" si="4"/>
        <v>155958.78863846645</v>
      </c>
      <c r="O27" s="89">
        <f t="shared" si="5"/>
        <v>1091.7115204692652</v>
      </c>
      <c r="P27" s="86">
        <f t="shared" si="0"/>
        <v>0</v>
      </c>
      <c r="Q27" s="82"/>
      <c r="R27" s="86">
        <f t="shared" si="6"/>
        <v>271.82702062929167</v>
      </c>
      <c r="S27" s="12">
        <v>22</v>
      </c>
      <c r="T27" s="87">
        <f t="shared" si="7"/>
        <v>734476.60974034609</v>
      </c>
      <c r="U27" s="88">
        <f t="shared" si="8"/>
        <v>2702</v>
      </c>
      <c r="V27" s="89">
        <f t="shared" si="9"/>
        <v>15</v>
      </c>
      <c r="W27" s="86">
        <f t="shared" si="10"/>
        <v>4077.4053094393748</v>
      </c>
      <c r="X27" s="89">
        <f t="shared" si="11"/>
        <v>169.49881035525033</v>
      </c>
      <c r="Y27" s="89">
        <f t="shared" si="12"/>
        <v>2.3470041535448383</v>
      </c>
      <c r="Z27" s="89">
        <f t="shared" si="13"/>
        <v>4030.5</v>
      </c>
      <c r="AA27" s="89">
        <f t="shared" si="14"/>
        <v>4002.6895500000001</v>
      </c>
      <c r="AB27" s="82"/>
      <c r="AC27" s="7">
        <f t="shared" si="19"/>
        <v>115534.89074503708</v>
      </c>
      <c r="AD27" s="7">
        <f t="shared" si="16"/>
        <v>797.19074614075578</v>
      </c>
      <c r="AE27" s="82"/>
    </row>
    <row r="28" spans="2:38" x14ac:dyDescent="0.2">
      <c r="F28" s="86">
        <f t="shared" si="1"/>
        <v>293.57318227963503</v>
      </c>
      <c r="G28" s="12">
        <v>23</v>
      </c>
      <c r="H28" s="87">
        <f t="shared" si="15"/>
        <v>744501.59026115446</v>
      </c>
      <c r="I28" s="88">
        <f t="shared" si="17"/>
        <v>2536</v>
      </c>
      <c r="J28" s="89">
        <f t="shared" si="18"/>
        <v>131.74809513202257</v>
      </c>
      <c r="K28" s="86"/>
      <c r="L28" s="89">
        <f t="shared" si="2"/>
        <v>3789</v>
      </c>
      <c r="M28" s="89">
        <f t="shared" si="3"/>
        <v>2970.2215284531921</v>
      </c>
      <c r="N28" s="89">
        <f t="shared" si="4"/>
        <v>158911.23544257801</v>
      </c>
      <c r="O28" s="89">
        <f t="shared" si="5"/>
        <v>1112.3786480980461</v>
      </c>
      <c r="P28" s="86">
        <f t="shared" si="0"/>
        <v>0</v>
      </c>
      <c r="Q28" s="82"/>
      <c r="R28" s="86">
        <f t="shared" si="6"/>
        <v>293.57318227963503</v>
      </c>
      <c r="S28" s="12">
        <v>23</v>
      </c>
      <c r="T28" s="87">
        <f t="shared" si="7"/>
        <v>797344.76307148871</v>
      </c>
      <c r="U28" s="88">
        <f t="shared" si="8"/>
        <v>2716</v>
      </c>
      <c r="V28" s="89">
        <f t="shared" si="9"/>
        <v>14</v>
      </c>
      <c r="W28" s="86">
        <f t="shared" si="10"/>
        <v>4110.0245519148903</v>
      </c>
      <c r="X28" s="89">
        <f t="shared" si="11"/>
        <v>86.855562593941926</v>
      </c>
      <c r="Y28" s="89">
        <f t="shared" si="12"/>
        <v>1.6314260496692847</v>
      </c>
      <c r="Z28" s="89">
        <f t="shared" si="13"/>
        <v>4053</v>
      </c>
      <c r="AA28" s="89">
        <f t="shared" si="14"/>
        <v>4025.0342999999998</v>
      </c>
      <c r="AB28" s="82"/>
      <c r="AC28" s="7">
        <f t="shared" si="19"/>
        <v>116332.08149117783</v>
      </c>
      <c r="AD28" s="7">
        <f t="shared" si="16"/>
        <v>802.69136228912703</v>
      </c>
      <c r="AE28" s="82"/>
    </row>
    <row r="29" spans="2:38" x14ac:dyDescent="0.2">
      <c r="F29" s="86">
        <f t="shared" si="1"/>
        <v>317.05903686200588</v>
      </c>
      <c r="G29" s="12">
        <v>24</v>
      </c>
      <c r="H29" s="87">
        <f t="shared" si="15"/>
        <v>806915.24881380494</v>
      </c>
      <c r="I29" s="88">
        <f t="shared" si="17"/>
        <v>2545</v>
      </c>
      <c r="J29" s="89">
        <f t="shared" si="18"/>
        <v>265.20992718599803</v>
      </c>
      <c r="K29" s="86"/>
      <c r="L29" s="89">
        <f t="shared" si="2"/>
        <v>3804</v>
      </c>
      <c r="M29" s="89">
        <f t="shared" si="3"/>
        <v>2986.9931638120688</v>
      </c>
      <c r="N29" s="89">
        <f t="shared" si="4"/>
        <v>161881.45697103121</v>
      </c>
      <c r="O29" s="89">
        <f t="shared" si="5"/>
        <v>1133.1701987972185</v>
      </c>
      <c r="P29" s="86">
        <f t="shared" si="0"/>
        <v>0</v>
      </c>
      <c r="Q29" s="82"/>
      <c r="R29" s="86">
        <f t="shared" si="6"/>
        <v>317.05903686200588</v>
      </c>
      <c r="S29" s="12">
        <v>24</v>
      </c>
      <c r="T29" s="87">
        <f t="shared" si="7"/>
        <v>865254.111596414</v>
      </c>
      <c r="U29" s="88">
        <f t="shared" si="8"/>
        <v>2729</v>
      </c>
      <c r="V29" s="89">
        <f t="shared" si="9"/>
        <v>13</v>
      </c>
      <c r="W29" s="86">
        <f t="shared" si="10"/>
        <v>4121.7674792060761</v>
      </c>
      <c r="X29" s="89">
        <f t="shared" si="11"/>
        <v>12.608909437521842</v>
      </c>
      <c r="Y29" s="89">
        <f t="shared" si="12"/>
        <v>0.83598478996669112</v>
      </c>
      <c r="Z29" s="89">
        <f t="shared" si="13"/>
        <v>4074</v>
      </c>
      <c r="AA29" s="89">
        <f t="shared" si="14"/>
        <v>4045.8894</v>
      </c>
      <c r="AB29" s="82"/>
      <c r="AC29" s="7">
        <f t="shared" si="19"/>
        <v>117134.77285346696</v>
      </c>
      <c r="AD29" s="7">
        <f t="shared" si="16"/>
        <v>808.22993268892196</v>
      </c>
      <c r="AE29" s="82"/>
    </row>
    <row r="30" spans="2:38" x14ac:dyDescent="0.2">
      <c r="B30" s="91" t="s">
        <v>16</v>
      </c>
      <c r="C30" s="37" t="s">
        <v>15</v>
      </c>
      <c r="F30" s="86">
        <f t="shared" si="1"/>
        <v>342.42375981096637</v>
      </c>
      <c r="G30" s="12">
        <v>25</v>
      </c>
      <c r="H30" s="87">
        <f t="shared" si="15"/>
        <v>874550.28255720809</v>
      </c>
      <c r="I30" s="88">
        <f t="shared" si="17"/>
        <v>2554</v>
      </c>
      <c r="J30" s="89">
        <f t="shared" si="18"/>
        <v>186.15565116100169</v>
      </c>
      <c r="K30" s="86"/>
      <c r="L30" s="89">
        <f t="shared" si="2"/>
        <v>3817.5</v>
      </c>
      <c r="M30" s="89">
        <f t="shared" si="3"/>
        <v>3002.7595622737399</v>
      </c>
      <c r="N30" s="89">
        <f t="shared" si="4"/>
        <v>164868.45013484327</v>
      </c>
      <c r="O30" s="89">
        <f t="shared" si="5"/>
        <v>1154.079150943903</v>
      </c>
      <c r="P30" s="86">
        <f t="shared" si="0"/>
        <v>0</v>
      </c>
      <c r="Q30" s="82"/>
      <c r="R30" s="86">
        <f t="shared" si="6"/>
        <v>342.42375981096637</v>
      </c>
      <c r="S30" s="12">
        <v>25</v>
      </c>
      <c r="T30" s="87">
        <f t="shared" si="7"/>
        <v>938241.10188204783</v>
      </c>
      <c r="U30" s="88">
        <f t="shared" si="8"/>
        <v>2740</v>
      </c>
      <c r="V30" s="89">
        <f t="shared" si="9"/>
        <v>11</v>
      </c>
      <c r="W30" s="86">
        <f t="shared" si="10"/>
        <v>3766.6613579206301</v>
      </c>
      <c r="X30" s="89">
        <f t="shared" si="11"/>
        <v>312.0383863068559</v>
      </c>
      <c r="Y30" s="89">
        <f t="shared" si="12"/>
        <v>0.12136075333614774</v>
      </c>
      <c r="Z30" s="89">
        <f t="shared" si="13"/>
        <v>4093.5</v>
      </c>
      <c r="AA30" s="89">
        <f t="shared" si="14"/>
        <v>4065.2548499999998</v>
      </c>
      <c r="AB30" s="82"/>
      <c r="AC30" s="7">
        <f t="shared" si="19"/>
        <v>117943.00278615588</v>
      </c>
      <c r="AD30" s="7">
        <f t="shared" si="16"/>
        <v>813.8067192244755</v>
      </c>
      <c r="AE30" s="82"/>
    </row>
    <row r="31" spans="2:38" x14ac:dyDescent="0.2">
      <c r="B31" s="91" t="s">
        <v>13</v>
      </c>
      <c r="C31" s="49">
        <f>$C$14/F5</f>
        <v>0.03</v>
      </c>
      <c r="F31" s="86">
        <f t="shared" si="1"/>
        <v>369.81766059584373</v>
      </c>
      <c r="G31" s="12">
        <v>26</v>
      </c>
      <c r="H31" s="87">
        <f t="shared" si="15"/>
        <v>947472.84644655162</v>
      </c>
      <c r="I31" s="88">
        <f t="shared" si="17"/>
        <v>2562</v>
      </c>
      <c r="J31" s="89">
        <f t="shared" si="18"/>
        <v>246.1740877186993</v>
      </c>
      <c r="K31" s="86"/>
      <c r="L31" s="89">
        <f t="shared" si="2"/>
        <v>3831</v>
      </c>
      <c r="M31" s="89">
        <f t="shared" si="3"/>
        <v>3018.5597213244364</v>
      </c>
      <c r="N31" s="89">
        <f t="shared" si="4"/>
        <v>167871.20969711701</v>
      </c>
      <c r="O31" s="89">
        <f t="shared" si="5"/>
        <v>1175.0984678798191</v>
      </c>
      <c r="P31" s="86">
        <f t="shared" si="0"/>
        <v>0</v>
      </c>
      <c r="Q31" s="82"/>
      <c r="R31" s="86">
        <f t="shared" si="6"/>
        <v>369.81766059584373</v>
      </c>
      <c r="S31" s="12">
        <v>26</v>
      </c>
      <c r="T31" s="87">
        <f t="shared" si="7"/>
        <v>1017368.3842991662</v>
      </c>
      <c r="U31" s="88">
        <f t="shared" si="8"/>
        <v>2751</v>
      </c>
      <c r="V31" s="89">
        <f t="shared" si="9"/>
        <v>11</v>
      </c>
      <c r="W31" s="86">
        <f t="shared" si="10"/>
        <v>4067.9942665542812</v>
      </c>
      <c r="X31" s="89">
        <f t="shared" si="11"/>
        <v>325.80648050584682</v>
      </c>
      <c r="Y31" s="89">
        <f t="shared" si="12"/>
        <v>3.0033694682034882</v>
      </c>
      <c r="Z31" s="89">
        <f t="shared" si="13"/>
        <v>4110</v>
      </c>
      <c r="AA31" s="89">
        <f t="shared" si="14"/>
        <v>4081.6410000000001</v>
      </c>
      <c r="AB31" s="82"/>
      <c r="AC31" s="7">
        <f t="shared" si="19"/>
        <v>118756.80950538036</v>
      </c>
      <c r="AD31" s="7">
        <f t="shared" si="16"/>
        <v>819.42198558712448</v>
      </c>
      <c r="AE31" s="82"/>
    </row>
    <row r="32" spans="2:38" x14ac:dyDescent="0.2">
      <c r="F32" s="86">
        <f t="shared" si="1"/>
        <v>399.40307344351123</v>
      </c>
      <c r="G32" s="12">
        <v>27</v>
      </c>
      <c r="H32" s="87">
        <f t="shared" si="15"/>
        <v>1026465.8987498239</v>
      </c>
      <c r="I32" s="88">
        <f t="shared" si="17"/>
        <v>2570</v>
      </c>
      <c r="J32" s="89">
        <f t="shared" si="18"/>
        <v>84.30206342629306</v>
      </c>
      <c r="K32" s="86"/>
      <c r="L32" s="89">
        <f t="shared" si="2"/>
        <v>3843</v>
      </c>
      <c r="M32" s="89">
        <f t="shared" si="3"/>
        <v>3033.3525632557084</v>
      </c>
      <c r="N32" s="89">
        <f t="shared" si="4"/>
        <v>170889.76941844146</v>
      </c>
      <c r="O32" s="89">
        <f t="shared" si="5"/>
        <v>1196.2283859290903</v>
      </c>
      <c r="P32" s="86">
        <f t="shared" si="0"/>
        <v>0</v>
      </c>
      <c r="Q32" s="82"/>
      <c r="R32" s="86">
        <f t="shared" si="6"/>
        <v>399.40307344351123</v>
      </c>
      <c r="S32" s="12">
        <v>27</v>
      </c>
      <c r="T32" s="87">
        <f t="shared" si="7"/>
        <v>1103151.288850978</v>
      </c>
      <c r="U32" s="88">
        <f t="shared" si="8"/>
        <v>2762</v>
      </c>
      <c r="V32" s="89">
        <f t="shared" si="9"/>
        <v>11</v>
      </c>
      <c r="W32" s="86">
        <f t="shared" si="10"/>
        <v>4393.4338078786232</v>
      </c>
      <c r="X32" s="89">
        <f t="shared" si="11"/>
        <v>33.403192095500032</v>
      </c>
      <c r="Y32" s="89">
        <f t="shared" si="12"/>
        <v>3.1358873748687759</v>
      </c>
      <c r="Z32" s="89">
        <f t="shared" si="13"/>
        <v>4126.5</v>
      </c>
      <c r="AA32" s="89">
        <f t="shared" si="14"/>
        <v>4098.0271499999999</v>
      </c>
      <c r="AB32" s="82"/>
      <c r="AC32" s="7">
        <f t="shared" si="19"/>
        <v>119576.23149096748</v>
      </c>
      <c r="AD32" s="7">
        <f t="shared" si="16"/>
        <v>825.07599728767559</v>
      </c>
      <c r="AE32" s="82"/>
    </row>
    <row r="33" spans="2:38" x14ac:dyDescent="0.2">
      <c r="B33" s="70" t="s">
        <v>39</v>
      </c>
      <c r="C33" s="99"/>
      <c r="F33" s="86">
        <f t="shared" si="1"/>
        <v>431.35531931899214</v>
      </c>
      <c r="G33" s="12">
        <v>28</v>
      </c>
      <c r="H33" s="87">
        <f t="shared" si="15"/>
        <v>1111602.6578850427</v>
      </c>
      <c r="I33" s="88">
        <f t="shared" si="17"/>
        <v>2577</v>
      </c>
      <c r="J33" s="89">
        <f t="shared" si="18"/>
        <v>112.99190929284504</v>
      </c>
      <c r="K33" s="86"/>
      <c r="L33" s="89">
        <f t="shared" si="2"/>
        <v>3855</v>
      </c>
      <c r="M33" s="89">
        <f t="shared" si="3"/>
        <v>3048.177081099408</v>
      </c>
      <c r="N33" s="89">
        <f t="shared" si="4"/>
        <v>173923.12198169716</v>
      </c>
      <c r="O33" s="89">
        <f t="shared" si="5"/>
        <v>1217.4618538718801</v>
      </c>
      <c r="P33" s="86">
        <f t="shared" si="0"/>
        <v>0</v>
      </c>
      <c r="Q33" s="82"/>
      <c r="R33" s="86">
        <f t="shared" si="6"/>
        <v>431.35531931899214</v>
      </c>
      <c r="S33" s="12">
        <v>28</v>
      </c>
      <c r="T33" s="87">
        <f t="shared" si="7"/>
        <v>1195285.5898329273</v>
      </c>
      <c r="U33" s="88">
        <f t="shared" si="8"/>
        <v>2771</v>
      </c>
      <c r="V33" s="89">
        <f t="shared" si="9"/>
        <v>9</v>
      </c>
      <c r="W33" s="86">
        <f t="shared" si="10"/>
        <v>3882.1978738709295</v>
      </c>
      <c r="X33" s="89">
        <f t="shared" si="11"/>
        <v>268.75450559946802</v>
      </c>
      <c r="Y33" s="89">
        <f t="shared" si="12"/>
        <v>0.3215057239191878</v>
      </c>
      <c r="Z33" s="89">
        <f t="shared" si="13"/>
        <v>4143</v>
      </c>
      <c r="AA33" s="89">
        <f t="shared" si="14"/>
        <v>4114.4133000000002</v>
      </c>
      <c r="AB33" s="82"/>
      <c r="AC33" s="7">
        <f t="shared" si="19"/>
        <v>120401.30748825514</v>
      </c>
      <c r="AD33" s="7">
        <f t="shared" si="16"/>
        <v>830.76902166896048</v>
      </c>
      <c r="AE33" s="82"/>
    </row>
    <row r="34" spans="2:38" x14ac:dyDescent="0.2">
      <c r="B34" s="72" t="s">
        <v>30</v>
      </c>
      <c r="C34" s="72">
        <v>100000</v>
      </c>
      <c r="F34" s="86">
        <f t="shared" si="1"/>
        <v>465.86374486451155</v>
      </c>
      <c r="G34" s="12">
        <v>29</v>
      </c>
      <c r="H34" s="87">
        <f t="shared" si="15"/>
        <v>1203326.0529850333</v>
      </c>
      <c r="I34" s="88">
        <f t="shared" si="17"/>
        <v>2583</v>
      </c>
      <c r="J34" s="89">
        <f t="shared" si="18"/>
        <v>379.80163278902893</v>
      </c>
      <c r="K34" s="86"/>
      <c r="L34" s="89">
        <f t="shared" si="2"/>
        <v>3865.5</v>
      </c>
      <c r="M34" s="89">
        <f t="shared" si="3"/>
        <v>3061.9921926831662</v>
      </c>
      <c r="N34" s="89">
        <f t="shared" si="4"/>
        <v>176971.29906279658</v>
      </c>
      <c r="O34" s="89">
        <f t="shared" si="5"/>
        <v>1238.7990934395762</v>
      </c>
      <c r="P34" s="86">
        <f t="shared" si="0"/>
        <v>0</v>
      </c>
      <c r="Q34" s="82"/>
      <c r="R34" s="86">
        <f t="shared" si="6"/>
        <v>465.86374486451155</v>
      </c>
      <c r="S34" s="12">
        <v>29</v>
      </c>
      <c r="T34" s="87">
        <f t="shared" si="7"/>
        <v>1295101.2107233421</v>
      </c>
      <c r="U34" s="88">
        <f t="shared" si="8"/>
        <v>2780</v>
      </c>
      <c r="V34" s="89">
        <f t="shared" si="9"/>
        <v>9</v>
      </c>
      <c r="W34" s="86">
        <f t="shared" si="10"/>
        <v>4192.7737037806037</v>
      </c>
      <c r="X34" s="89">
        <f t="shared" si="11"/>
        <v>204.12245754269568</v>
      </c>
      <c r="Y34" s="89">
        <f t="shared" si="12"/>
        <v>2.5867621163948797</v>
      </c>
      <c r="Z34" s="89">
        <f t="shared" si="13"/>
        <v>4156.5</v>
      </c>
      <c r="AA34" s="89">
        <f t="shared" si="14"/>
        <v>4127.8201499999996</v>
      </c>
      <c r="AB34" s="82"/>
      <c r="AC34" s="7">
        <f t="shared" si="19"/>
        <v>121232.07650992411</v>
      </c>
      <c r="AD34" s="7">
        <f t="shared" si="16"/>
        <v>836.50132791847636</v>
      </c>
      <c r="AE34" s="82"/>
    </row>
    <row r="35" spans="2:38" x14ac:dyDescent="0.2">
      <c r="B35" s="73" t="s">
        <v>24</v>
      </c>
      <c r="C35" s="74">
        <f>23%*1.33</f>
        <v>0.30590000000000001</v>
      </c>
      <c r="F35" s="86">
        <f t="shared" si="1"/>
        <v>503.13284445367248</v>
      </c>
      <c r="G35" s="12">
        <v>30</v>
      </c>
      <c r="H35" s="87">
        <f t="shared" si="15"/>
        <v>1302610.9342905581</v>
      </c>
      <c r="I35" s="88">
        <f t="shared" si="17"/>
        <v>2589</v>
      </c>
      <c r="J35" s="89">
        <f t="shared" si="18"/>
        <v>435.80030263229355</v>
      </c>
      <c r="K35" s="86"/>
      <c r="L35" s="89">
        <f t="shared" si="2"/>
        <v>3874.5</v>
      </c>
      <c r="M35" s="89">
        <f t="shared" si="3"/>
        <v>3074.7957365653583</v>
      </c>
      <c r="N35" s="89">
        <f t="shared" si="4"/>
        <v>180033.29125547974</v>
      </c>
      <c r="O35" s="89">
        <f t="shared" si="5"/>
        <v>1260.2330387883583</v>
      </c>
      <c r="P35" s="86">
        <f t="shared" si="0"/>
        <v>0</v>
      </c>
      <c r="Q35" s="82"/>
      <c r="R35" s="86">
        <f t="shared" si="6"/>
        <v>503.13284445367248</v>
      </c>
      <c r="S35" s="12">
        <v>30</v>
      </c>
      <c r="T35" s="87">
        <f t="shared" si="7"/>
        <v>1402734.3703368388</v>
      </c>
      <c r="U35" s="88">
        <f t="shared" si="8"/>
        <v>2788</v>
      </c>
      <c r="V35" s="89">
        <f t="shared" si="9"/>
        <v>8</v>
      </c>
      <c r="W35" s="86">
        <f t="shared" si="10"/>
        <v>4025.0627556293798</v>
      </c>
      <c r="X35" s="89">
        <f t="shared" si="11"/>
        <v>322.87346402972605</v>
      </c>
      <c r="Y35" s="89">
        <f t="shared" si="12"/>
        <v>1.9646786538484462</v>
      </c>
      <c r="Z35" s="89">
        <f t="shared" si="13"/>
        <v>4170</v>
      </c>
      <c r="AA35" s="89">
        <f t="shared" si="14"/>
        <v>4141.2269999999999</v>
      </c>
      <c r="AB35" s="82"/>
      <c r="AC35" s="7">
        <f t="shared" si="19"/>
        <v>122068.57783784259</v>
      </c>
      <c r="AD35" s="7">
        <f t="shared" si="16"/>
        <v>842.27318708111386</v>
      </c>
      <c r="AE35" s="82"/>
      <c r="AK35" s="71"/>
    </row>
    <row r="36" spans="2:38" x14ac:dyDescent="0.2">
      <c r="B36" s="72" t="s">
        <v>31</v>
      </c>
      <c r="C36" s="75">
        <v>0.08</v>
      </c>
      <c r="F36" s="86">
        <f t="shared" si="1"/>
        <v>543.38347200996634</v>
      </c>
      <c r="G36" s="12">
        <v>31</v>
      </c>
      <c r="H36" s="87">
        <f t="shared" si="15"/>
        <v>1410080.1098658626</v>
      </c>
      <c r="I36" s="88">
        <f t="shared" si="17"/>
        <v>2595</v>
      </c>
      <c r="J36" s="89">
        <f t="shared" si="18"/>
        <v>263.12616724861596</v>
      </c>
      <c r="K36" s="86"/>
      <c r="L36" s="89">
        <f t="shared" si="2"/>
        <v>3883.5</v>
      </c>
      <c r="M36" s="89">
        <f t="shared" si="3"/>
        <v>3087.6266966760659</v>
      </c>
      <c r="N36" s="89">
        <f t="shared" si="4"/>
        <v>183108.08699204511</v>
      </c>
      <c r="O36" s="89">
        <f t="shared" si="5"/>
        <v>1281.7566089443158</v>
      </c>
      <c r="P36" s="86">
        <f t="shared" si="0"/>
        <v>0</v>
      </c>
      <c r="Q36" s="82"/>
      <c r="R36" s="86">
        <f t="shared" si="6"/>
        <v>543.38347200996634</v>
      </c>
      <c r="S36" s="12">
        <v>31</v>
      </c>
      <c r="T36" s="87">
        <f t="shared" si="7"/>
        <v>1519300.1877398659</v>
      </c>
      <c r="U36" s="88">
        <f t="shared" si="8"/>
        <v>2796</v>
      </c>
      <c r="V36" s="89">
        <f t="shared" si="9"/>
        <v>8</v>
      </c>
      <c r="W36" s="86">
        <f t="shared" si="10"/>
        <v>4347.0677760797307</v>
      </c>
      <c r="X36" s="89">
        <f t="shared" si="11"/>
        <v>130.91456660391614</v>
      </c>
      <c r="Y36" s="89">
        <f t="shared" si="12"/>
        <v>3.1076570912861139</v>
      </c>
      <c r="Z36" s="89">
        <f t="shared" si="13"/>
        <v>4182</v>
      </c>
      <c r="AA36" s="89">
        <f t="shared" si="14"/>
        <v>4153.1441999999997</v>
      </c>
      <c r="AB36" s="82"/>
      <c r="AC36" s="7">
        <f t="shared" si="19"/>
        <v>122910.8510249237</v>
      </c>
      <c r="AD36" s="7">
        <f t="shared" si="16"/>
        <v>848.08487207197356</v>
      </c>
      <c r="AE36" s="82"/>
      <c r="AK36" s="71"/>
    </row>
    <row r="37" spans="2:38" x14ac:dyDescent="0.2">
      <c r="E37" s="11"/>
      <c r="F37" s="86">
        <f t="shared" si="1"/>
        <v>586.85414977076368</v>
      </c>
      <c r="G37" s="12">
        <v>32</v>
      </c>
      <c r="H37" s="87">
        <f t="shared" si="15"/>
        <v>1525820.7894039855</v>
      </c>
      <c r="I37" s="88">
        <f t="shared" si="17"/>
        <v>2600</v>
      </c>
      <c r="J37" s="89">
        <f t="shared" si="18"/>
        <v>429.34055011638571</v>
      </c>
      <c r="K37" s="86"/>
      <c r="L37" s="89">
        <f t="shared" si="2"/>
        <v>3892.5</v>
      </c>
      <c r="M37" s="89">
        <f t="shared" si="3"/>
        <v>3100.4851317216589</v>
      </c>
      <c r="N37" s="89">
        <f t="shared" si="4"/>
        <v>186195.71368872118</v>
      </c>
      <c r="O37" s="89">
        <f t="shared" si="5"/>
        <v>1303.3699958210484</v>
      </c>
      <c r="P37" s="86">
        <f t="shared" si="0"/>
        <v>0</v>
      </c>
      <c r="Q37" s="82"/>
      <c r="R37" s="86">
        <f t="shared" si="6"/>
        <v>586.85414977076368</v>
      </c>
      <c r="S37" s="12">
        <v>32</v>
      </c>
      <c r="T37" s="87">
        <f t="shared" si="7"/>
        <v>1644952.1818074507</v>
      </c>
      <c r="U37" s="88">
        <f t="shared" si="8"/>
        <v>2803</v>
      </c>
      <c r="V37" s="89">
        <f t="shared" si="9"/>
        <v>7</v>
      </c>
      <c r="W37" s="86">
        <f t="shared" si="10"/>
        <v>4107.9790483953457</v>
      </c>
      <c r="X37" s="89">
        <f t="shared" si="11"/>
        <v>191.10457529979948</v>
      </c>
      <c r="Y37" s="89">
        <f t="shared" si="12"/>
        <v>1.2600527035626929</v>
      </c>
      <c r="Z37" s="89">
        <f t="shared" si="13"/>
        <v>4194</v>
      </c>
      <c r="AA37" s="89">
        <f t="shared" si="14"/>
        <v>4165.0613999999996</v>
      </c>
      <c r="AB37" s="82"/>
      <c r="AC37" s="7">
        <f t="shared" si="19"/>
        <v>123758.93589699568</v>
      </c>
      <c r="AD37" s="7">
        <f t="shared" si="16"/>
        <v>853.93665768927019</v>
      </c>
      <c r="AE37" s="82"/>
      <c r="AK37" s="71"/>
    </row>
    <row r="38" spans="2:38" x14ac:dyDescent="0.2">
      <c r="E38" s="4"/>
      <c r="F38" s="86">
        <f t="shared" si="1"/>
        <v>633.8024817524248</v>
      </c>
      <c r="G38" s="12">
        <v>33</v>
      </c>
      <c r="H38" s="87">
        <f t="shared" si="15"/>
        <v>1651055.4649650666</v>
      </c>
      <c r="I38" s="88">
        <f t="shared" si="17"/>
        <v>2605</v>
      </c>
      <c r="J38" s="89">
        <f t="shared" si="18"/>
        <v>372.65809188843701</v>
      </c>
      <c r="K38" s="86"/>
      <c r="L38" s="89">
        <f t="shared" si="2"/>
        <v>3900</v>
      </c>
      <c r="M38" s="89">
        <f t="shared" si="3"/>
        <v>3112.3299505342138</v>
      </c>
      <c r="N38" s="89">
        <f t="shared" si="4"/>
        <v>189296.19882044283</v>
      </c>
      <c r="O38" s="89">
        <f t="shared" si="5"/>
        <v>1325.0733917430998</v>
      </c>
      <c r="P38" s="86">
        <f t="shared" si="0"/>
        <v>0</v>
      </c>
      <c r="Q38" s="82"/>
      <c r="R38" s="86">
        <f t="shared" si="6"/>
        <v>633.8024817524248</v>
      </c>
      <c r="S38" s="12">
        <v>33</v>
      </c>
      <c r="T38" s="87">
        <f t="shared" si="7"/>
        <v>1780351.1712425612</v>
      </c>
      <c r="U38" s="88">
        <f t="shared" si="8"/>
        <v>2809</v>
      </c>
      <c r="V38" s="89">
        <f t="shared" si="9"/>
        <v>6</v>
      </c>
      <c r="W38" s="86">
        <f t="shared" si="10"/>
        <v>3802.814890514549</v>
      </c>
      <c r="X38" s="89">
        <f t="shared" si="11"/>
        <v>565.03868748880632</v>
      </c>
      <c r="Y38" s="89">
        <f t="shared" si="12"/>
        <v>1.8393815372605702</v>
      </c>
      <c r="Z38" s="89">
        <f t="shared" si="13"/>
        <v>4204.5</v>
      </c>
      <c r="AA38" s="89">
        <f t="shared" si="14"/>
        <v>4175.4889499999999</v>
      </c>
      <c r="AB38" s="82"/>
      <c r="AC38" s="7">
        <f t="shared" si="19"/>
        <v>124612.87255468495</v>
      </c>
      <c r="AD38" s="7">
        <f t="shared" si="16"/>
        <v>859.82882062732608</v>
      </c>
      <c r="AE38" s="82"/>
      <c r="AK38" s="71"/>
    </row>
    <row r="39" spans="2:38" x14ac:dyDescent="0.2">
      <c r="F39" s="86">
        <f t="shared" si="1"/>
        <v>684.50668029261885</v>
      </c>
      <c r="G39" s="12">
        <v>34</v>
      </c>
      <c r="H39" s="87">
        <f t="shared" si="15"/>
        <v>1786562.4355637352</v>
      </c>
      <c r="I39" s="88">
        <f t="shared" si="17"/>
        <v>2610</v>
      </c>
      <c r="J39" s="89">
        <f t="shared" si="18"/>
        <v>74.32482308276056</v>
      </c>
      <c r="K39" s="86"/>
      <c r="L39" s="89">
        <f t="shared" si="2"/>
        <v>3907.5</v>
      </c>
      <c r="M39" s="89">
        <f t="shared" si="3"/>
        <v>3124.2001326572931</v>
      </c>
      <c r="N39" s="89">
        <f t="shared" si="4"/>
        <v>192408.52877097705</v>
      </c>
      <c r="O39" s="89">
        <f t="shared" si="5"/>
        <v>1346.8597013968395</v>
      </c>
      <c r="P39" s="86">
        <f t="shared" si="0"/>
        <v>0</v>
      </c>
      <c r="Q39" s="82"/>
      <c r="R39" s="86">
        <f t="shared" si="6"/>
        <v>684.50668029261885</v>
      </c>
      <c r="S39" s="12">
        <v>34</v>
      </c>
      <c r="T39" s="87">
        <f t="shared" si="7"/>
        <v>1926886.3050237221</v>
      </c>
      <c r="U39" s="88">
        <f t="shared" si="8"/>
        <v>2815</v>
      </c>
      <c r="V39" s="89">
        <f t="shared" si="9"/>
        <v>6</v>
      </c>
      <c r="W39" s="86">
        <f t="shared" si="10"/>
        <v>4107.0400817557129</v>
      </c>
      <c r="X39" s="89">
        <f t="shared" si="11"/>
        <v>644.26483727031768</v>
      </c>
      <c r="Y39" s="89">
        <f t="shared" si="12"/>
        <v>5.4384973670797612</v>
      </c>
      <c r="Z39" s="89">
        <f t="shared" si="13"/>
        <v>4213.5</v>
      </c>
      <c r="AA39" s="89">
        <f t="shared" si="14"/>
        <v>4184.4268499999998</v>
      </c>
      <c r="AB39" s="82"/>
      <c r="AC39" s="7">
        <f t="shared" si="19"/>
        <v>125472.70137531227</v>
      </c>
      <c r="AD39" s="7">
        <f t="shared" si="16"/>
        <v>865.76163948965473</v>
      </c>
      <c r="AE39" s="82"/>
    </row>
    <row r="40" spans="2:38" x14ac:dyDescent="0.2">
      <c r="E40" s="11"/>
      <c r="F40" s="86">
        <f t="shared" si="1"/>
        <v>739.26721471602843</v>
      </c>
      <c r="G40" s="12">
        <v>35</v>
      </c>
      <c r="H40" s="87">
        <f t="shared" si="15"/>
        <v>1932444.4992676983</v>
      </c>
      <c r="I40" s="88">
        <f t="shared" si="17"/>
        <v>2614</v>
      </c>
      <c r="J40" s="89">
        <f t="shared" si="18"/>
        <v>253.35169661989417</v>
      </c>
      <c r="K40" s="86"/>
      <c r="L40" s="89">
        <f t="shared" si="2"/>
        <v>3915</v>
      </c>
      <c r="M40" s="89">
        <f t="shared" si="3"/>
        <v>3136.0957324013525</v>
      </c>
      <c r="N40" s="89">
        <f t="shared" si="4"/>
        <v>195532.72890363433</v>
      </c>
      <c r="O40" s="89">
        <f t="shared" si="5"/>
        <v>1368.7291023254404</v>
      </c>
      <c r="P40" s="86">
        <f t="shared" si="0"/>
        <v>0</v>
      </c>
      <c r="Q40" s="82"/>
      <c r="R40" s="86">
        <f t="shared" si="6"/>
        <v>739.26721471602843</v>
      </c>
      <c r="S40" s="12">
        <v>35</v>
      </c>
      <c r="T40" s="87">
        <f t="shared" si="7"/>
        <v>2085472.8127139162</v>
      </c>
      <c r="U40" s="88">
        <f t="shared" si="8"/>
        <v>2821</v>
      </c>
      <c r="V40" s="89">
        <f t="shared" si="9"/>
        <v>6</v>
      </c>
      <c r="W40" s="86">
        <f t="shared" si="10"/>
        <v>4435.6032882961708</v>
      </c>
      <c r="X40" s="89">
        <f t="shared" si="11"/>
        <v>407.46479634127047</v>
      </c>
      <c r="Y40" s="89">
        <f t="shared" si="12"/>
        <v>6.2010490587268077</v>
      </c>
      <c r="Z40" s="89">
        <f t="shared" si="13"/>
        <v>4222.5</v>
      </c>
      <c r="AA40" s="89">
        <f t="shared" si="14"/>
        <v>4193.3647499999997</v>
      </c>
      <c r="AB40" s="82"/>
      <c r="AC40" s="7">
        <f t="shared" si="19"/>
        <v>126338.46301480194</v>
      </c>
      <c r="AD40" s="7">
        <f t="shared" si="16"/>
        <v>871.73539480213333</v>
      </c>
      <c r="AE40" s="82"/>
    </row>
    <row r="41" spans="2:38" x14ac:dyDescent="0.2">
      <c r="F41" s="86">
        <f t="shared" si="1"/>
        <v>798.40859189331081</v>
      </c>
      <c r="G41" s="12">
        <v>36</v>
      </c>
      <c r="H41" s="87">
        <f t="shared" si="15"/>
        <v>2090233.6935766877</v>
      </c>
      <c r="I41" s="88">
        <f t="shared" si="17"/>
        <v>2618</v>
      </c>
      <c r="J41" s="89">
        <f t="shared" si="18"/>
        <v>206.6929832396435</v>
      </c>
      <c r="K41" s="86"/>
      <c r="L41" s="89">
        <f t="shared" si="2"/>
        <v>3921</v>
      </c>
      <c r="M41" s="89">
        <f t="shared" si="3"/>
        <v>3146.9756541931429</v>
      </c>
      <c r="N41" s="89">
        <f t="shared" si="4"/>
        <v>198668.82463603569</v>
      </c>
      <c r="O41" s="89">
        <f t="shared" si="5"/>
        <v>1390.6817724522498</v>
      </c>
      <c r="P41" s="86">
        <f t="shared" si="0"/>
        <v>0</v>
      </c>
      <c r="Q41" s="82"/>
      <c r="R41" s="86">
        <f t="shared" si="6"/>
        <v>798.40859189331081</v>
      </c>
      <c r="S41" s="12">
        <v>36</v>
      </c>
      <c r="T41" s="87">
        <f t="shared" si="7"/>
        <v>2256302.6806904962</v>
      </c>
      <c r="U41" s="88">
        <f t="shared" si="8"/>
        <v>2826</v>
      </c>
      <c r="V41" s="89">
        <f t="shared" si="9"/>
        <v>5</v>
      </c>
      <c r="W41" s="86">
        <f t="shared" si="10"/>
        <v>3992.0429594665538</v>
      </c>
      <c r="X41" s="89">
        <f t="shared" si="11"/>
        <v>623.92553593359673</v>
      </c>
      <c r="Y41" s="89">
        <f t="shared" si="12"/>
        <v>3.9218486647847284</v>
      </c>
      <c r="Z41" s="89">
        <f t="shared" si="13"/>
        <v>4231.5</v>
      </c>
      <c r="AA41" s="89">
        <f t="shared" si="14"/>
        <v>4202.3026499999996</v>
      </c>
      <c r="AB41" s="82"/>
      <c r="AC41" s="7">
        <f t="shared" si="19"/>
        <v>127210.19840960407</v>
      </c>
      <c r="AD41" s="7">
        <f t="shared" si="16"/>
        <v>877.750369026268</v>
      </c>
      <c r="AE41" s="82"/>
    </row>
    <row r="42" spans="2:38" x14ac:dyDescent="0.2">
      <c r="B42" s="13"/>
      <c r="F42" s="86">
        <f t="shared" si="1"/>
        <v>862.28127924477576</v>
      </c>
      <c r="G42" s="12">
        <v>37</v>
      </c>
      <c r="H42" s="87">
        <f t="shared" si="15"/>
        <v>2260039.2329005571</v>
      </c>
      <c r="I42" s="88">
        <f t="shared" si="17"/>
        <v>2621</v>
      </c>
      <c r="J42" s="89">
        <f t="shared" si="18"/>
        <v>777.72801866661678</v>
      </c>
      <c r="K42" s="86"/>
      <c r="L42" s="89">
        <f t="shared" si="2"/>
        <v>3927</v>
      </c>
      <c r="M42" s="89">
        <f t="shared" si="3"/>
        <v>3157.8788731614668</v>
      </c>
      <c r="N42" s="89">
        <f t="shared" si="4"/>
        <v>201815.80029022883</v>
      </c>
      <c r="O42" s="89">
        <f t="shared" si="5"/>
        <v>1412.7106020316019</v>
      </c>
      <c r="P42" s="86">
        <f t="shared" si="0"/>
        <v>0</v>
      </c>
      <c r="Q42" s="82"/>
      <c r="R42" s="86">
        <f t="shared" si="6"/>
        <v>862.28127924477576</v>
      </c>
      <c r="S42" s="12">
        <v>37</v>
      </c>
      <c r="T42" s="87">
        <f t="shared" si="7"/>
        <v>2441118.3015419603</v>
      </c>
      <c r="U42" s="88">
        <f t="shared" si="8"/>
        <v>2831</v>
      </c>
      <c r="V42" s="89">
        <f t="shared" si="9"/>
        <v>5</v>
      </c>
      <c r="W42" s="86">
        <f t="shared" si="10"/>
        <v>4311.4063962238788</v>
      </c>
      <c r="X42" s="89">
        <f t="shared" si="11"/>
        <v>526.1918883745966</v>
      </c>
      <c r="Y42" s="89">
        <f t="shared" si="12"/>
        <v>6.0052832833608694</v>
      </c>
      <c r="Z42" s="89">
        <f t="shared" si="13"/>
        <v>4239</v>
      </c>
      <c r="AA42" s="89">
        <f t="shared" si="14"/>
        <v>4209.7509</v>
      </c>
      <c r="AB42" s="82"/>
      <c r="AC42" s="7">
        <f t="shared" si="19"/>
        <v>128087.94877863034</v>
      </c>
      <c r="AD42" s="7">
        <f t="shared" si="16"/>
        <v>883.80684657254926</v>
      </c>
      <c r="AE42" s="82"/>
    </row>
    <row r="43" spans="2:38" x14ac:dyDescent="0.2">
      <c r="F43" s="86">
        <f t="shared" si="1"/>
        <v>931.26378158435784</v>
      </c>
      <c r="G43" s="12">
        <v>38</v>
      </c>
      <c r="H43" s="87">
        <f t="shared" si="15"/>
        <v>2444567.4266589396</v>
      </c>
      <c r="I43" s="88">
        <f t="shared" si="17"/>
        <v>2625</v>
      </c>
      <c r="J43" s="89">
        <f t="shared" si="18"/>
        <v>220.43718152156728</v>
      </c>
      <c r="K43" s="86"/>
      <c r="L43" s="89">
        <f t="shared" si="2"/>
        <v>3931.5</v>
      </c>
      <c r="M43" s="89">
        <f t="shared" si="3"/>
        <v>3167.7642891925675</v>
      </c>
      <c r="N43" s="89">
        <f t="shared" si="4"/>
        <v>204973.6791633903</v>
      </c>
      <c r="O43" s="89">
        <f t="shared" si="5"/>
        <v>1434.8157541437322</v>
      </c>
      <c r="P43" s="86">
        <f t="shared" si="0"/>
        <v>0</v>
      </c>
      <c r="Q43" s="82"/>
      <c r="R43" s="86">
        <f t="shared" si="6"/>
        <v>931.26378158435784</v>
      </c>
      <c r="S43" s="12">
        <v>38</v>
      </c>
      <c r="T43" s="87">
        <f t="shared" si="7"/>
        <v>2641064.0845732386</v>
      </c>
      <c r="U43" s="88">
        <f t="shared" si="8"/>
        <v>2836</v>
      </c>
      <c r="V43" s="89">
        <f t="shared" si="9"/>
        <v>5</v>
      </c>
      <c r="W43" s="86">
        <f t="shared" si="10"/>
        <v>4656.3189079217891</v>
      </c>
      <c r="X43" s="89">
        <f t="shared" si="11"/>
        <v>93.077413736204818</v>
      </c>
      <c r="Y43" s="89">
        <f t="shared" si="12"/>
        <v>5.0645969256054926</v>
      </c>
      <c r="Z43" s="89">
        <f t="shared" si="13"/>
        <v>4246.5</v>
      </c>
      <c r="AA43" s="89">
        <f t="shared" si="14"/>
        <v>4217.1991500000004</v>
      </c>
      <c r="AB43" s="82"/>
      <c r="AC43" s="7">
        <f t="shared" si="19"/>
        <v>128971.75562520289</v>
      </c>
      <c r="AD43" s="7">
        <f t="shared" si="16"/>
        <v>889.9051138138999</v>
      </c>
      <c r="AE43" s="82"/>
      <c r="AK43" s="71"/>
      <c r="AL43" s="71"/>
    </row>
    <row r="44" spans="2:38" x14ac:dyDescent="0.2">
      <c r="F44" s="86">
        <f t="shared" si="1"/>
        <v>1005.7648841111065</v>
      </c>
      <c r="G44" s="12">
        <v>39</v>
      </c>
      <c r="H44" s="87">
        <f t="shared" si="15"/>
        <v>2643150.1154439878</v>
      </c>
      <c r="I44" s="88">
        <f t="shared" si="17"/>
        <v>2628</v>
      </c>
      <c r="J44" s="89">
        <f t="shared" si="18"/>
        <v>381.85455205329009</v>
      </c>
      <c r="K44" s="86"/>
      <c r="L44" s="89">
        <f t="shared" si="2"/>
        <v>3937.5</v>
      </c>
      <c r="M44" s="89">
        <f t="shared" si="3"/>
        <v>3178.7120228650156</v>
      </c>
      <c r="N44" s="89">
        <f t="shared" si="4"/>
        <v>208141.44345258287</v>
      </c>
      <c r="O44" s="89">
        <f t="shared" si="5"/>
        <v>1456.9901041680801</v>
      </c>
      <c r="P44" s="86">
        <f t="shared" si="0"/>
        <v>0</v>
      </c>
      <c r="Q44" s="82"/>
      <c r="R44" s="86">
        <f t="shared" si="6"/>
        <v>1005.7648841111065</v>
      </c>
      <c r="S44" s="12">
        <v>39</v>
      </c>
      <c r="T44" s="87">
        <f t="shared" si="7"/>
        <v>2856372.2708755424</v>
      </c>
      <c r="U44" s="88">
        <f t="shared" si="8"/>
        <v>2840</v>
      </c>
      <c r="V44" s="89">
        <f t="shared" si="9"/>
        <v>4</v>
      </c>
      <c r="W44" s="86">
        <f t="shared" si="10"/>
        <v>4023.0595364444262</v>
      </c>
      <c r="X44" s="89">
        <f t="shared" si="11"/>
        <v>299.72987421739725</v>
      </c>
      <c r="Y44" s="89">
        <f t="shared" si="12"/>
        <v>0.89587010721097138</v>
      </c>
      <c r="Z44" s="89">
        <f t="shared" si="13"/>
        <v>4254</v>
      </c>
      <c r="AA44" s="89">
        <f t="shared" si="14"/>
        <v>4224.6473999999998</v>
      </c>
      <c r="AB44" s="82"/>
      <c r="AC44" s="7">
        <f t="shared" si="19"/>
        <v>129861.66073901679</v>
      </c>
      <c r="AD44" s="7">
        <f t="shared" si="16"/>
        <v>896.0454590992158</v>
      </c>
      <c r="AE44" s="82"/>
    </row>
    <row r="45" spans="2:38" x14ac:dyDescent="0.2">
      <c r="F45" s="86">
        <f t="shared" si="1"/>
        <v>1086.2260748399951</v>
      </c>
      <c r="G45" s="12">
        <v>40</v>
      </c>
      <c r="H45" s="87">
        <f>F45*I45</f>
        <v>2857860.802904027</v>
      </c>
      <c r="I45" s="88">
        <f t="shared" si="17"/>
        <v>2631</v>
      </c>
      <c r="J45" s="89">
        <f t="shared" si="18"/>
        <v>311.81837645294917</v>
      </c>
      <c r="K45" s="86"/>
      <c r="L45" s="89">
        <f t="shared" si="2"/>
        <v>3942</v>
      </c>
      <c r="M45" s="89">
        <f t="shared" si="3"/>
        <v>3188.6420489195762</v>
      </c>
      <c r="N45" s="89">
        <f t="shared" si="4"/>
        <v>211320.15547544789</v>
      </c>
      <c r="O45" s="89">
        <f t="shared" si="5"/>
        <v>1479.2410883281352</v>
      </c>
      <c r="P45" s="86">
        <f t="shared" si="0"/>
        <v>0</v>
      </c>
      <c r="Q45" s="82"/>
      <c r="R45" s="86">
        <f t="shared" si="6"/>
        <v>1086.2260748399951</v>
      </c>
      <c r="S45" s="12">
        <v>40</v>
      </c>
      <c r="T45" s="87">
        <f t="shared" si="7"/>
        <v>3089226.9568449464</v>
      </c>
      <c r="U45" s="88">
        <f t="shared" si="8"/>
        <v>2844</v>
      </c>
      <c r="V45" s="89">
        <f t="shared" si="9"/>
        <v>4</v>
      </c>
      <c r="W45" s="86">
        <f t="shared" si="10"/>
        <v>4344.9042993599805</v>
      </c>
      <c r="X45" s="89">
        <f t="shared" si="11"/>
        <v>186.32744496478117</v>
      </c>
      <c r="Y45" s="89">
        <f t="shared" si="12"/>
        <v>2.8849000393424489</v>
      </c>
      <c r="Z45" s="89">
        <f t="shared" si="13"/>
        <v>4260</v>
      </c>
      <c r="AA45" s="89">
        <f t="shared" si="14"/>
        <v>4230.6059999999998</v>
      </c>
      <c r="AB45" s="82"/>
      <c r="AC45" s="7">
        <f t="shared" si="19"/>
        <v>130757.70619811601</v>
      </c>
      <c r="AD45" s="7">
        <f t="shared" si="16"/>
        <v>902.22817276700039</v>
      </c>
      <c r="AE45" s="82"/>
    </row>
    <row r="46" spans="2:38" x14ac:dyDescent="0.2">
      <c r="H46" s="40"/>
      <c r="Q46" s="80"/>
      <c r="T46" s="40"/>
      <c r="AB46" s="80"/>
      <c r="AE46" s="80"/>
    </row>
    <row r="47" spans="2:38" x14ac:dyDescent="0.2">
      <c r="N47" s="6"/>
      <c r="O47" s="6"/>
      <c r="P47" s="6">
        <f>SUM(P5:P45)</f>
        <v>0</v>
      </c>
      <c r="Q47" s="6"/>
      <c r="T47" s="1">
        <f>T45*(1-B7)</f>
        <v>2144232.4307460771</v>
      </c>
      <c r="W47" s="5">
        <f>SUM(W5:W45)</f>
        <v>153598.08456861202</v>
      </c>
      <c r="Y47" s="1">
        <f>SUM(Y6:Y46)</f>
        <v>61.375513615806128</v>
      </c>
      <c r="Z47" s="6">
        <f>SUM(Z5:Z45)</f>
        <v>154794</v>
      </c>
      <c r="AA47" s="6">
        <f>SUM(AA5:AA45)</f>
        <v>153725.92139999999</v>
      </c>
      <c r="AB47" s="6"/>
      <c r="AD47" s="7">
        <f>SUM(AD5:AD45)</f>
        <v>31659.934370883027</v>
      </c>
      <c r="AE47" s="6"/>
    </row>
    <row r="48" spans="2:38" x14ac:dyDescent="0.2">
      <c r="AD48" s="7"/>
    </row>
    <row r="49" spans="6:20" x14ac:dyDescent="0.2">
      <c r="F49" s="1" t="s">
        <v>26</v>
      </c>
      <c r="H49" s="8">
        <f>H45</f>
        <v>2857860.802904027</v>
      </c>
      <c r="T49" s="8"/>
    </row>
    <row r="50" spans="6:20" x14ac:dyDescent="0.2">
      <c r="H50" s="10">
        <f>H45*(1-B7)</f>
        <v>1983641.1832956851</v>
      </c>
      <c r="T50" s="10">
        <f>T45-AD47-T5-W47</f>
        <v>2803968.9379054517</v>
      </c>
    </row>
    <row r="51" spans="6:20" x14ac:dyDescent="0.2">
      <c r="H51" s="7">
        <f>H45-P47-H5-O65</f>
        <v>2757860.802904027</v>
      </c>
      <c r="T51" s="7">
        <f>T50*B7</f>
        <v>857734.09810527775</v>
      </c>
    </row>
    <row r="52" spans="6:20" x14ac:dyDescent="0.2">
      <c r="H52" s="6">
        <f>H51*B7</f>
        <v>843629.61960834183</v>
      </c>
      <c r="T52" s="6">
        <f>(T50-T51)+(Y47*(1-B7))</f>
        <v>1946277.4405441745</v>
      </c>
    </row>
    <row r="53" spans="6:20" x14ac:dyDescent="0.2">
      <c r="H53" s="10">
        <f>H51-H52</f>
        <v>1914231.1832956853</v>
      </c>
      <c r="T53" s="10"/>
    </row>
    <row r="65" spans="14:27" x14ac:dyDescent="0.2">
      <c r="N65" s="6"/>
      <c r="O65" s="6"/>
      <c r="Z65" s="6"/>
      <c r="AA65" s="6"/>
    </row>
    <row r="67" spans="14:27" x14ac:dyDescent="0.2">
      <c r="N67" s="8"/>
      <c r="Z67" s="8"/>
    </row>
    <row r="68" spans="14:27" x14ac:dyDescent="0.2">
      <c r="N68" s="6"/>
      <c r="O68" s="8"/>
      <c r="Z68" s="6"/>
      <c r="AA68" s="8"/>
    </row>
    <row r="70" spans="14:27" x14ac:dyDescent="0.2">
      <c r="O70" s="67"/>
      <c r="AA70" s="67"/>
    </row>
    <row r="93" spans="2:20" x14ac:dyDescent="0.2">
      <c r="C93" s="43" t="s">
        <v>48</v>
      </c>
      <c r="D93" s="42">
        <v>1</v>
      </c>
    </row>
    <row r="95" spans="2:20" x14ac:dyDescent="0.2">
      <c r="B95" s="44"/>
      <c r="C95" s="44" t="s">
        <v>44</v>
      </c>
      <c r="D95" s="44" t="s">
        <v>45</v>
      </c>
      <c r="E95" s="44" t="s">
        <v>46</v>
      </c>
      <c r="F95" s="44" t="s">
        <v>47</v>
      </c>
      <c r="G95" s="44" t="s">
        <v>49</v>
      </c>
      <c r="H95" s="44" t="s">
        <v>50</v>
      </c>
      <c r="R95" s="44"/>
      <c r="S95" s="44"/>
      <c r="T95" s="44"/>
    </row>
    <row r="96" spans="2:20" x14ac:dyDescent="0.2">
      <c r="B96" s="44">
        <f t="shared" ref="B96:B136" si="20">G5</f>
        <v>0</v>
      </c>
      <c r="C96" s="45">
        <f t="shared" ref="C96:C136" si="21">IF($D$93=1,H5,NA())</f>
        <v>100000</v>
      </c>
      <c r="D96" s="45">
        <f t="shared" ref="D96:D136" si="22">IF($D$93=1,T5,NA())</f>
        <v>100000</v>
      </c>
      <c r="E96" s="46" t="e">
        <f t="shared" ref="E96:E136" si="23">IF($D$93=2,I5,NA())</f>
        <v>#N/A</v>
      </c>
      <c r="F96" s="46" t="e">
        <f t="shared" ref="F96:F136" si="24">IF($D$93=2,U5,NA())</f>
        <v>#N/A</v>
      </c>
      <c r="G96" s="47" t="e">
        <f t="shared" ref="G96:G137" si="25">IF($D$93=3,M5,NA())</f>
        <v>#N/A</v>
      </c>
      <c r="H96" s="48" t="e">
        <f t="shared" ref="H96:H137" si="26">IF($D$93=3,AA5,NA())</f>
        <v>#N/A</v>
      </c>
      <c r="R96" s="46"/>
      <c r="S96" s="47"/>
      <c r="T96" s="48"/>
    </row>
    <row r="97" spans="2:20" x14ac:dyDescent="0.2">
      <c r="B97" s="44">
        <f t="shared" si="20"/>
        <v>1</v>
      </c>
      <c r="C97" s="45">
        <f t="shared" si="21"/>
        <v>110268</v>
      </c>
      <c r="D97" s="45">
        <f t="shared" si="22"/>
        <v>110970</v>
      </c>
      <c r="E97" s="46" t="e">
        <f t="shared" si="23"/>
        <v>#N/A</v>
      </c>
      <c r="F97" s="46" t="e">
        <f t="shared" si="24"/>
        <v>#N/A</v>
      </c>
      <c r="G97" s="47" t="e">
        <f t="shared" si="25"/>
        <v>#N/A</v>
      </c>
      <c r="H97" s="48" t="e">
        <f t="shared" si="26"/>
        <v>#N/A</v>
      </c>
      <c r="R97" s="46"/>
      <c r="S97" s="47"/>
      <c r="T97" s="48"/>
    </row>
    <row r="98" spans="2:20" x14ac:dyDescent="0.2">
      <c r="B98" s="44">
        <f t="shared" si="20"/>
        <v>2</v>
      </c>
      <c r="C98" s="45">
        <f t="shared" si="21"/>
        <v>121422.24000000002</v>
      </c>
      <c r="D98" s="45">
        <f t="shared" si="22"/>
        <v>122880.24000000002</v>
      </c>
      <c r="E98" s="46" t="e">
        <f t="shared" si="23"/>
        <v>#N/A</v>
      </c>
      <c r="F98" s="46" t="e">
        <f t="shared" si="24"/>
        <v>#N/A</v>
      </c>
      <c r="G98" s="47" t="e">
        <f t="shared" si="25"/>
        <v>#N/A</v>
      </c>
      <c r="H98" s="48" t="e">
        <f t="shared" si="26"/>
        <v>#N/A</v>
      </c>
      <c r="R98" s="46"/>
      <c r="S98" s="47"/>
      <c r="T98" s="48"/>
    </row>
    <row r="99" spans="2:20" x14ac:dyDescent="0.2">
      <c r="B99" s="44">
        <f t="shared" si="20"/>
        <v>3</v>
      </c>
      <c r="C99" s="45">
        <f t="shared" si="21"/>
        <v>133529.47200000004</v>
      </c>
      <c r="D99" s="45">
        <f t="shared" si="22"/>
        <v>135859.93920000002</v>
      </c>
      <c r="E99" s="46" t="e">
        <f t="shared" si="23"/>
        <v>#N/A</v>
      </c>
      <c r="F99" s="46" t="e">
        <f t="shared" si="24"/>
        <v>#N/A</v>
      </c>
      <c r="G99" s="47" t="e">
        <f t="shared" si="25"/>
        <v>#N/A</v>
      </c>
      <c r="H99" s="48" t="e">
        <f t="shared" si="26"/>
        <v>#N/A</v>
      </c>
      <c r="R99" s="46"/>
      <c r="S99" s="47"/>
      <c r="T99" s="48"/>
    </row>
    <row r="100" spans="2:20" x14ac:dyDescent="0.2">
      <c r="B100" s="44">
        <f t="shared" si="20"/>
        <v>4</v>
      </c>
      <c r="C100" s="45">
        <f t="shared" si="21"/>
        <v>146660.70988800004</v>
      </c>
      <c r="D100" s="45">
        <f t="shared" si="22"/>
        <v>149925.88339200005</v>
      </c>
      <c r="E100" s="46" t="e">
        <f t="shared" si="23"/>
        <v>#N/A</v>
      </c>
      <c r="F100" s="46" t="e">
        <f t="shared" si="24"/>
        <v>#N/A</v>
      </c>
      <c r="G100" s="47" t="e">
        <f t="shared" si="25"/>
        <v>#N/A</v>
      </c>
      <c r="H100" s="48" t="e">
        <f t="shared" si="26"/>
        <v>#N/A</v>
      </c>
      <c r="R100" s="46"/>
      <c r="S100" s="47"/>
      <c r="T100" s="48"/>
    </row>
    <row r="101" spans="2:20" x14ac:dyDescent="0.2">
      <c r="B101" s="44">
        <f t="shared" si="20"/>
        <v>5</v>
      </c>
      <c r="C101" s="45">
        <f t="shared" si="21"/>
        <v>160891.42440960006</v>
      </c>
      <c r="D101" s="45">
        <f t="shared" si="22"/>
        <v>165225.94223616007</v>
      </c>
      <c r="E101" s="46" t="e">
        <f t="shared" si="23"/>
        <v>#N/A</v>
      </c>
      <c r="F101" s="46" t="e">
        <f t="shared" si="24"/>
        <v>#N/A</v>
      </c>
      <c r="G101" s="47" t="e">
        <f t="shared" si="25"/>
        <v>#N/A</v>
      </c>
      <c r="H101" s="48" t="e">
        <f t="shared" si="26"/>
        <v>#N/A</v>
      </c>
      <c r="R101" s="46"/>
      <c r="S101" s="47"/>
      <c r="T101" s="48"/>
    </row>
    <row r="102" spans="2:20" x14ac:dyDescent="0.2">
      <c r="B102" s="44">
        <f t="shared" si="20"/>
        <v>6</v>
      </c>
      <c r="C102" s="45">
        <f t="shared" si="21"/>
        <v>176222.39356293125</v>
      </c>
      <c r="D102" s="45">
        <f t="shared" si="22"/>
        <v>181776.45369323526</v>
      </c>
      <c r="E102" s="46" t="e">
        <f t="shared" si="23"/>
        <v>#N/A</v>
      </c>
      <c r="F102" s="46" t="e">
        <f t="shared" si="24"/>
        <v>#N/A</v>
      </c>
      <c r="G102" s="47" t="e">
        <f t="shared" si="25"/>
        <v>#N/A</v>
      </c>
      <c r="H102" s="48" t="e">
        <f t="shared" si="26"/>
        <v>#N/A</v>
      </c>
      <c r="R102" s="46"/>
      <c r="S102" s="47"/>
      <c r="T102" s="48"/>
    </row>
    <row r="103" spans="2:20" x14ac:dyDescent="0.2">
      <c r="B103" s="44">
        <f t="shared" si="20"/>
        <v>7</v>
      </c>
      <c r="C103" s="45">
        <f t="shared" si="21"/>
        <v>192890.92145113504</v>
      </c>
      <c r="D103" s="45">
        <f t="shared" si="22"/>
        <v>199746.21852625313</v>
      </c>
      <c r="E103" s="46" t="e">
        <f t="shared" si="23"/>
        <v>#N/A</v>
      </c>
      <c r="F103" s="46" t="e">
        <f t="shared" si="24"/>
        <v>#N/A</v>
      </c>
      <c r="G103" s="47" t="e">
        <f t="shared" si="25"/>
        <v>#N/A</v>
      </c>
      <c r="H103" s="48" t="e">
        <f t="shared" si="26"/>
        <v>#N/A</v>
      </c>
      <c r="R103" s="46"/>
      <c r="S103" s="47"/>
      <c r="T103" s="48"/>
    </row>
    <row r="104" spans="2:20" x14ac:dyDescent="0.2">
      <c r="B104" s="44">
        <f t="shared" si="20"/>
        <v>8</v>
      </c>
      <c r="C104" s="45">
        <f t="shared" si="21"/>
        <v>210913.49746162051</v>
      </c>
      <c r="D104" s="45">
        <f t="shared" si="22"/>
        <v>219150.13689737488</v>
      </c>
      <c r="E104" s="46" t="e">
        <f t="shared" si="23"/>
        <v>#N/A</v>
      </c>
      <c r="F104" s="46" t="e">
        <f t="shared" si="24"/>
        <v>#N/A</v>
      </c>
      <c r="G104" s="47" t="e">
        <f t="shared" si="25"/>
        <v>#N/A</v>
      </c>
      <c r="H104" s="48" t="e">
        <f t="shared" si="26"/>
        <v>#N/A</v>
      </c>
      <c r="R104" s="46"/>
      <c r="S104" s="47"/>
      <c r="T104" s="48"/>
    </row>
    <row r="105" spans="2:20" x14ac:dyDescent="0.2">
      <c r="B105" s="44">
        <f t="shared" si="20"/>
        <v>9</v>
      </c>
      <c r="C105" s="45">
        <f t="shared" si="21"/>
        <v>230385.28327378593</v>
      </c>
      <c r="D105" s="45">
        <f t="shared" si="22"/>
        <v>240280.35617795287</v>
      </c>
      <c r="E105" s="46" t="e">
        <f t="shared" si="23"/>
        <v>#N/A</v>
      </c>
      <c r="F105" s="46" t="e">
        <f t="shared" si="24"/>
        <v>#N/A</v>
      </c>
      <c r="G105" s="47" t="e">
        <f t="shared" si="25"/>
        <v>#N/A</v>
      </c>
      <c r="H105" s="48" t="e">
        <f t="shared" si="26"/>
        <v>#N/A</v>
      </c>
      <c r="R105" s="46"/>
      <c r="S105" s="47"/>
      <c r="T105" s="48"/>
    </row>
    <row r="106" spans="2:20" x14ac:dyDescent="0.2">
      <c r="B106" s="44">
        <f t="shared" si="20"/>
        <v>10</v>
      </c>
      <c r="C106" s="45">
        <f t="shared" si="21"/>
        <v>251514.76218227978</v>
      </c>
      <c r="D106" s="45">
        <f t="shared" si="22"/>
        <v>263065.01091768919</v>
      </c>
      <c r="E106" s="46" t="e">
        <f t="shared" si="23"/>
        <v>#N/A</v>
      </c>
      <c r="F106" s="46" t="e">
        <f t="shared" si="24"/>
        <v>#N/A</v>
      </c>
      <c r="G106" s="47" t="e">
        <f t="shared" si="25"/>
        <v>#N/A</v>
      </c>
      <c r="H106" s="48" t="e">
        <f t="shared" si="26"/>
        <v>#N/A</v>
      </c>
      <c r="R106" s="46"/>
      <c r="S106" s="47"/>
      <c r="T106" s="48"/>
    </row>
    <row r="107" spans="2:20" x14ac:dyDescent="0.2">
      <c r="B107" s="44">
        <f t="shared" si="20"/>
        <v>11</v>
      </c>
      <c r="C107" s="45">
        <f t="shared" si="21"/>
        <v>274317.32800347504</v>
      </c>
      <c r="D107" s="45">
        <f t="shared" si="22"/>
        <v>287724.25223653903</v>
      </c>
      <c r="E107" s="46" t="e">
        <f t="shared" si="23"/>
        <v>#N/A</v>
      </c>
      <c r="F107" s="46" t="e">
        <f t="shared" si="24"/>
        <v>#N/A</v>
      </c>
      <c r="G107" s="47" t="e">
        <f t="shared" si="25"/>
        <v>#N/A</v>
      </c>
      <c r="H107" s="48" t="e">
        <f t="shared" si="26"/>
        <v>#N/A</v>
      </c>
      <c r="R107" s="46"/>
      <c r="S107" s="47"/>
      <c r="T107" s="48"/>
    </row>
    <row r="108" spans="2:20" x14ac:dyDescent="0.2">
      <c r="B108" s="44">
        <f t="shared" si="20"/>
        <v>12</v>
      </c>
      <c r="C108" s="45">
        <f t="shared" si="21"/>
        <v>299032.70137225394</v>
      </c>
      <c r="D108" s="45">
        <f t="shared" si="22"/>
        <v>314393.5390848497</v>
      </c>
      <c r="E108" s="46" t="e">
        <f t="shared" si="23"/>
        <v>#N/A</v>
      </c>
      <c r="F108" s="46" t="e">
        <f t="shared" si="24"/>
        <v>#N/A</v>
      </c>
      <c r="G108" s="47" t="e">
        <f t="shared" si="25"/>
        <v>#N/A</v>
      </c>
      <c r="H108" s="48" t="e">
        <f t="shared" si="26"/>
        <v>#N/A</v>
      </c>
      <c r="R108" s="46"/>
      <c r="S108" s="47"/>
      <c r="T108" s="48"/>
    </row>
    <row r="109" spans="2:20" x14ac:dyDescent="0.2">
      <c r="B109" s="44">
        <f t="shared" si="20"/>
        <v>13</v>
      </c>
      <c r="C109" s="45">
        <f t="shared" si="21"/>
        <v>325674.94120819872</v>
      </c>
      <c r="D109" s="45">
        <f t="shared" si="22"/>
        <v>343216.51424195978</v>
      </c>
      <c r="E109" s="46" t="e">
        <f t="shared" si="23"/>
        <v>#N/A</v>
      </c>
      <c r="F109" s="46" t="e">
        <f t="shared" si="24"/>
        <v>#N/A</v>
      </c>
      <c r="G109" s="47" t="e">
        <f t="shared" si="25"/>
        <v>#N/A</v>
      </c>
      <c r="H109" s="48" t="e">
        <f t="shared" si="26"/>
        <v>#N/A</v>
      </c>
      <c r="R109" s="46"/>
      <c r="S109" s="47"/>
      <c r="T109" s="48"/>
    </row>
    <row r="110" spans="2:20" x14ac:dyDescent="0.2">
      <c r="B110" s="44">
        <f t="shared" si="20"/>
        <v>14</v>
      </c>
      <c r="C110" s="45">
        <f t="shared" si="21"/>
        <v>354519.27044789941</v>
      </c>
      <c r="D110" s="45">
        <f t="shared" si="22"/>
        <v>374492.1870928515</v>
      </c>
      <c r="E110" s="46" t="e">
        <f t="shared" si="23"/>
        <v>#N/A</v>
      </c>
      <c r="F110" s="46" t="e">
        <f t="shared" si="24"/>
        <v>#N/A</v>
      </c>
      <c r="G110" s="47" t="e">
        <f t="shared" si="25"/>
        <v>#N/A</v>
      </c>
      <c r="H110" s="48" t="e">
        <f t="shared" si="26"/>
        <v>#N/A</v>
      </c>
      <c r="R110" s="46"/>
      <c r="S110" s="47"/>
      <c r="T110" s="48"/>
    </row>
    <row r="111" spans="2:20" x14ac:dyDescent="0.2">
      <c r="B111" s="44">
        <f t="shared" si="20"/>
        <v>15</v>
      </c>
      <c r="C111" s="45">
        <f t="shared" si="21"/>
        <v>385577.15583079995</v>
      </c>
      <c r="D111" s="45">
        <f t="shared" si="22"/>
        <v>408258.1649973176</v>
      </c>
      <c r="E111" s="46" t="e">
        <f t="shared" si="23"/>
        <v>#N/A</v>
      </c>
      <c r="F111" s="46" t="e">
        <f t="shared" si="24"/>
        <v>#N/A</v>
      </c>
      <c r="G111" s="47" t="e">
        <f t="shared" si="25"/>
        <v>#N/A</v>
      </c>
      <c r="H111" s="48" t="e">
        <f t="shared" si="26"/>
        <v>#N/A</v>
      </c>
      <c r="R111" s="46"/>
      <c r="S111" s="47"/>
      <c r="T111" s="48"/>
    </row>
    <row r="112" spans="2:20" x14ac:dyDescent="0.2">
      <c r="B112" s="44">
        <f t="shared" si="20"/>
        <v>16</v>
      </c>
      <c r="C112" s="45">
        <f t="shared" si="21"/>
        <v>419335.37954409799</v>
      </c>
      <c r="D112" s="45">
        <f t="shared" si="22"/>
        <v>444687.35510477057</v>
      </c>
      <c r="E112" s="46" t="e">
        <f t="shared" si="23"/>
        <v>#N/A</v>
      </c>
      <c r="F112" s="46" t="e">
        <f t="shared" si="24"/>
        <v>#N/A</v>
      </c>
      <c r="G112" s="47" t="e">
        <f t="shared" si="25"/>
        <v>#N/A</v>
      </c>
      <c r="H112" s="48" t="e">
        <f t="shared" si="26"/>
        <v>#N/A</v>
      </c>
      <c r="R112" s="46"/>
      <c r="S112" s="47"/>
      <c r="T112" s="48"/>
    </row>
    <row r="113" spans="2:20" x14ac:dyDescent="0.2">
      <c r="B113" s="44">
        <f t="shared" si="20"/>
        <v>17</v>
      </c>
      <c r="C113" s="45">
        <f t="shared" si="21"/>
        <v>455657.22344872652</v>
      </c>
      <c r="D113" s="45">
        <f t="shared" si="22"/>
        <v>484147.36247069319</v>
      </c>
      <c r="E113" s="46" t="e">
        <f t="shared" si="23"/>
        <v>#N/A</v>
      </c>
      <c r="F113" s="46" t="e">
        <f t="shared" si="24"/>
        <v>#N/A</v>
      </c>
      <c r="G113" s="47" t="e">
        <f t="shared" si="25"/>
        <v>#N/A</v>
      </c>
      <c r="H113" s="48" t="e">
        <f t="shared" si="26"/>
        <v>#N/A</v>
      </c>
      <c r="R113" s="46"/>
      <c r="S113" s="47"/>
      <c r="T113" s="48"/>
    </row>
    <row r="114" spans="2:20" x14ac:dyDescent="0.2">
      <c r="B114" s="44">
        <f t="shared" si="20"/>
        <v>18</v>
      </c>
      <c r="C114" s="45">
        <f t="shared" si="21"/>
        <v>495106.8159490134</v>
      </c>
      <c r="D114" s="45">
        <f t="shared" si="22"/>
        <v>526875.1709675336</v>
      </c>
      <c r="E114" s="46" t="e">
        <f t="shared" si="23"/>
        <v>#N/A</v>
      </c>
      <c r="F114" s="46" t="e">
        <f t="shared" si="24"/>
        <v>#N/A</v>
      </c>
      <c r="G114" s="47" t="e">
        <f t="shared" si="25"/>
        <v>#N/A</v>
      </c>
      <c r="H114" s="48" t="e">
        <f t="shared" si="26"/>
        <v>#N/A</v>
      </c>
      <c r="R114" s="46"/>
      <c r="S114" s="47"/>
      <c r="T114" s="48"/>
    </row>
    <row r="115" spans="2:20" x14ac:dyDescent="0.2">
      <c r="B115" s="44">
        <f t="shared" si="20"/>
        <v>19</v>
      </c>
      <c r="C115" s="45">
        <f t="shared" si="21"/>
        <v>537520.56691336236</v>
      </c>
      <c r="D115" s="45">
        <f t="shared" si="22"/>
        <v>572909.31559814408</v>
      </c>
      <c r="E115" s="46" t="e">
        <f t="shared" si="23"/>
        <v>#N/A</v>
      </c>
      <c r="F115" s="46" t="e">
        <f t="shared" si="24"/>
        <v>#N/A</v>
      </c>
      <c r="G115" s="47" t="e">
        <f t="shared" si="25"/>
        <v>#N/A</v>
      </c>
      <c r="H115" s="48" t="e">
        <f t="shared" si="26"/>
        <v>#N/A</v>
      </c>
      <c r="R115" s="46"/>
      <c r="S115" s="47"/>
      <c r="T115" s="48"/>
    </row>
    <row r="116" spans="2:20" x14ac:dyDescent="0.2">
      <c r="B116" s="44">
        <f t="shared" si="20"/>
        <v>20</v>
      </c>
      <c r="C116" s="45">
        <f t="shared" si="21"/>
        <v>583318.78655274096</v>
      </c>
      <c r="D116" s="45">
        <f t="shared" si="22"/>
        <v>622703.87441826763</v>
      </c>
      <c r="E116" s="46" t="e">
        <f t="shared" si="23"/>
        <v>#N/A</v>
      </c>
      <c r="F116" s="46" t="e">
        <f t="shared" si="24"/>
        <v>#N/A</v>
      </c>
      <c r="G116" s="47" t="e">
        <f t="shared" si="25"/>
        <v>#N/A</v>
      </c>
      <c r="H116" s="48" t="e">
        <f t="shared" si="26"/>
        <v>#N/A</v>
      </c>
      <c r="R116" s="46"/>
      <c r="S116" s="47"/>
      <c r="T116" s="48"/>
    </row>
    <row r="117" spans="2:20" x14ac:dyDescent="0.2">
      <c r="B117" s="44">
        <f t="shared" si="20"/>
        <v>21</v>
      </c>
      <c r="C117" s="45">
        <f t="shared" si="21"/>
        <v>633004.58970617456</v>
      </c>
      <c r="D117" s="45">
        <f t="shared" si="22"/>
        <v>676295.55965824693</v>
      </c>
      <c r="E117" s="46" t="e">
        <f t="shared" si="23"/>
        <v>#N/A</v>
      </c>
      <c r="F117" s="46" t="e">
        <f t="shared" si="24"/>
        <v>#N/A</v>
      </c>
      <c r="G117" s="47" t="e">
        <f t="shared" si="25"/>
        <v>#N/A</v>
      </c>
      <c r="H117" s="48" t="e">
        <f t="shared" si="26"/>
        <v>#N/A</v>
      </c>
      <c r="R117" s="46"/>
      <c r="S117" s="47"/>
      <c r="T117" s="48"/>
    </row>
    <row r="118" spans="2:20" x14ac:dyDescent="0.2">
      <c r="B118" s="44">
        <f t="shared" si="20"/>
        <v>22</v>
      </c>
      <c r="C118" s="45">
        <f t="shared" si="21"/>
        <v>686635.05410959071</v>
      </c>
      <c r="D118" s="45">
        <f t="shared" si="22"/>
        <v>734476.60974034609</v>
      </c>
      <c r="E118" s="46" t="e">
        <f t="shared" si="23"/>
        <v>#N/A</v>
      </c>
      <c r="F118" s="46" t="e">
        <f t="shared" si="24"/>
        <v>#N/A</v>
      </c>
      <c r="G118" s="47" t="e">
        <f t="shared" si="25"/>
        <v>#N/A</v>
      </c>
      <c r="H118" s="48" t="e">
        <f t="shared" si="26"/>
        <v>#N/A</v>
      </c>
      <c r="R118" s="46"/>
      <c r="S118" s="47"/>
      <c r="T118" s="48"/>
    </row>
    <row r="119" spans="2:20" x14ac:dyDescent="0.2">
      <c r="B119" s="44">
        <f t="shared" si="20"/>
        <v>23</v>
      </c>
      <c r="C119" s="45">
        <f t="shared" si="21"/>
        <v>744501.59026115446</v>
      </c>
      <c r="D119" s="45">
        <f t="shared" si="22"/>
        <v>797344.76307148871</v>
      </c>
      <c r="E119" s="46" t="e">
        <f t="shared" si="23"/>
        <v>#N/A</v>
      </c>
      <c r="F119" s="46" t="e">
        <f t="shared" si="24"/>
        <v>#N/A</v>
      </c>
      <c r="G119" s="47" t="e">
        <f t="shared" si="25"/>
        <v>#N/A</v>
      </c>
      <c r="H119" s="48" t="e">
        <f t="shared" si="26"/>
        <v>#N/A</v>
      </c>
      <c r="R119" s="46"/>
      <c r="S119" s="47"/>
      <c r="T119" s="48"/>
    </row>
    <row r="120" spans="2:20" x14ac:dyDescent="0.2">
      <c r="B120" s="44">
        <f t="shared" si="20"/>
        <v>24</v>
      </c>
      <c r="C120" s="45">
        <f t="shared" si="21"/>
        <v>806915.24881380494</v>
      </c>
      <c r="D120" s="45">
        <f t="shared" si="22"/>
        <v>865254.111596414</v>
      </c>
      <c r="E120" s="46" t="e">
        <f t="shared" si="23"/>
        <v>#N/A</v>
      </c>
      <c r="F120" s="46" t="e">
        <f t="shared" si="24"/>
        <v>#N/A</v>
      </c>
      <c r="G120" s="47" t="e">
        <f t="shared" si="25"/>
        <v>#N/A</v>
      </c>
      <c r="H120" s="48" t="e">
        <f t="shared" si="26"/>
        <v>#N/A</v>
      </c>
      <c r="R120" s="46"/>
      <c r="S120" s="47"/>
      <c r="T120" s="48"/>
    </row>
    <row r="121" spans="2:20" x14ac:dyDescent="0.2">
      <c r="B121" s="44">
        <f t="shared" si="20"/>
        <v>25</v>
      </c>
      <c r="C121" s="45">
        <f t="shared" si="21"/>
        <v>874550.28255720809</v>
      </c>
      <c r="D121" s="45">
        <f t="shared" si="22"/>
        <v>938241.10188204783</v>
      </c>
      <c r="E121" s="46" t="e">
        <f t="shared" si="23"/>
        <v>#N/A</v>
      </c>
      <c r="F121" s="46" t="e">
        <f t="shared" si="24"/>
        <v>#N/A</v>
      </c>
      <c r="G121" s="47" t="e">
        <f t="shared" si="25"/>
        <v>#N/A</v>
      </c>
      <c r="H121" s="48" t="e">
        <f t="shared" si="26"/>
        <v>#N/A</v>
      </c>
      <c r="R121" s="46"/>
      <c r="S121" s="47"/>
      <c r="T121" s="48"/>
    </row>
    <row r="122" spans="2:20" x14ac:dyDescent="0.2">
      <c r="B122" s="44">
        <f t="shared" si="20"/>
        <v>26</v>
      </c>
      <c r="C122" s="45">
        <f t="shared" si="21"/>
        <v>947472.84644655162</v>
      </c>
      <c r="D122" s="45">
        <f t="shared" si="22"/>
        <v>1017368.3842991662</v>
      </c>
      <c r="E122" s="46" t="e">
        <f t="shared" si="23"/>
        <v>#N/A</v>
      </c>
      <c r="F122" s="46" t="e">
        <f t="shared" si="24"/>
        <v>#N/A</v>
      </c>
      <c r="G122" s="47" t="e">
        <f t="shared" si="25"/>
        <v>#N/A</v>
      </c>
      <c r="H122" s="48" t="e">
        <f t="shared" si="26"/>
        <v>#N/A</v>
      </c>
      <c r="R122" s="46"/>
      <c r="S122" s="47"/>
      <c r="T122" s="48"/>
    </row>
    <row r="123" spans="2:20" x14ac:dyDescent="0.2">
      <c r="B123" s="44">
        <f t="shared" si="20"/>
        <v>27</v>
      </c>
      <c r="C123" s="45">
        <f t="shared" si="21"/>
        <v>1026465.8987498239</v>
      </c>
      <c r="D123" s="45">
        <f t="shared" si="22"/>
        <v>1103151.288850978</v>
      </c>
      <c r="E123" s="46" t="e">
        <f t="shared" si="23"/>
        <v>#N/A</v>
      </c>
      <c r="F123" s="46" t="e">
        <f t="shared" si="24"/>
        <v>#N/A</v>
      </c>
      <c r="G123" s="47" t="e">
        <f t="shared" si="25"/>
        <v>#N/A</v>
      </c>
      <c r="H123" s="48" t="e">
        <f t="shared" si="26"/>
        <v>#N/A</v>
      </c>
      <c r="R123" s="46"/>
      <c r="S123" s="47"/>
      <c r="T123" s="48"/>
    </row>
    <row r="124" spans="2:20" x14ac:dyDescent="0.2">
      <c r="B124" s="44">
        <f t="shared" si="20"/>
        <v>28</v>
      </c>
      <c r="C124" s="45">
        <f t="shared" si="21"/>
        <v>1111602.6578850427</v>
      </c>
      <c r="D124" s="45">
        <f t="shared" si="22"/>
        <v>1195285.5898329273</v>
      </c>
      <c r="E124" s="46" t="e">
        <f t="shared" si="23"/>
        <v>#N/A</v>
      </c>
      <c r="F124" s="46" t="e">
        <f t="shared" si="24"/>
        <v>#N/A</v>
      </c>
      <c r="G124" s="47" t="e">
        <f t="shared" si="25"/>
        <v>#N/A</v>
      </c>
      <c r="H124" s="48" t="e">
        <f t="shared" si="26"/>
        <v>#N/A</v>
      </c>
      <c r="R124" s="46"/>
      <c r="S124" s="47"/>
      <c r="T124" s="48"/>
    </row>
    <row r="125" spans="2:20" x14ac:dyDescent="0.2">
      <c r="B125" s="44">
        <f t="shared" si="20"/>
        <v>29</v>
      </c>
      <c r="C125" s="45">
        <f t="shared" si="21"/>
        <v>1203326.0529850333</v>
      </c>
      <c r="D125" s="45">
        <f>IF($D$93=1,T34,NA())</f>
        <v>1295101.2107233421</v>
      </c>
      <c r="E125" s="46" t="e">
        <f t="shared" si="23"/>
        <v>#N/A</v>
      </c>
      <c r="F125" s="46" t="e">
        <f t="shared" si="24"/>
        <v>#N/A</v>
      </c>
      <c r="G125" s="47" t="e">
        <f t="shared" si="25"/>
        <v>#N/A</v>
      </c>
      <c r="H125" s="48" t="e">
        <f t="shared" si="26"/>
        <v>#N/A</v>
      </c>
      <c r="R125" s="46"/>
      <c r="S125" s="47"/>
      <c r="T125" s="48"/>
    </row>
    <row r="126" spans="2:20" x14ac:dyDescent="0.2">
      <c r="B126" s="44">
        <f t="shared" si="20"/>
        <v>30</v>
      </c>
      <c r="C126" s="45">
        <f t="shared" si="21"/>
        <v>1302610.9342905581</v>
      </c>
      <c r="D126" s="45">
        <f t="shared" si="22"/>
        <v>1402734.3703368388</v>
      </c>
      <c r="E126" s="46" t="e">
        <f t="shared" si="23"/>
        <v>#N/A</v>
      </c>
      <c r="F126" s="46" t="e">
        <f t="shared" si="24"/>
        <v>#N/A</v>
      </c>
      <c r="G126" s="47" t="e">
        <f t="shared" si="25"/>
        <v>#N/A</v>
      </c>
      <c r="H126" s="48" t="e">
        <f t="shared" si="26"/>
        <v>#N/A</v>
      </c>
      <c r="R126" s="46"/>
      <c r="S126" s="47"/>
      <c r="T126" s="48"/>
    </row>
    <row r="127" spans="2:20" x14ac:dyDescent="0.2">
      <c r="B127" s="44">
        <f t="shared" si="20"/>
        <v>31</v>
      </c>
      <c r="C127" s="45">
        <f t="shared" si="21"/>
        <v>1410080.1098658626</v>
      </c>
      <c r="D127" s="45">
        <f t="shared" si="22"/>
        <v>1519300.1877398659</v>
      </c>
      <c r="E127" s="46" t="e">
        <f t="shared" si="23"/>
        <v>#N/A</v>
      </c>
      <c r="F127" s="46" t="e">
        <f t="shared" si="24"/>
        <v>#N/A</v>
      </c>
      <c r="G127" s="47" t="e">
        <f t="shared" si="25"/>
        <v>#N/A</v>
      </c>
      <c r="H127" s="48" t="e">
        <f t="shared" si="26"/>
        <v>#N/A</v>
      </c>
      <c r="R127" s="46"/>
      <c r="S127" s="47"/>
      <c r="T127" s="48"/>
    </row>
    <row r="128" spans="2:20" x14ac:dyDescent="0.2">
      <c r="B128" s="44">
        <f t="shared" si="20"/>
        <v>32</v>
      </c>
      <c r="C128" s="45">
        <f t="shared" si="21"/>
        <v>1525820.7894039855</v>
      </c>
      <c r="D128" s="45">
        <f t="shared" si="22"/>
        <v>1644952.1818074507</v>
      </c>
      <c r="E128" s="46" t="e">
        <f t="shared" si="23"/>
        <v>#N/A</v>
      </c>
      <c r="F128" s="46" t="e">
        <f t="shared" si="24"/>
        <v>#N/A</v>
      </c>
      <c r="G128" s="47" t="e">
        <f t="shared" si="25"/>
        <v>#N/A</v>
      </c>
      <c r="H128" s="48" t="e">
        <f t="shared" si="26"/>
        <v>#N/A</v>
      </c>
      <c r="R128" s="46"/>
      <c r="S128" s="47"/>
      <c r="T128" s="48"/>
    </row>
    <row r="129" spans="2:20" x14ac:dyDescent="0.2">
      <c r="B129" s="44">
        <f t="shared" si="20"/>
        <v>33</v>
      </c>
      <c r="C129" s="45">
        <f t="shared" si="21"/>
        <v>1651055.4649650666</v>
      </c>
      <c r="D129" s="45">
        <f t="shared" si="22"/>
        <v>1780351.1712425612</v>
      </c>
      <c r="E129" s="46" t="e">
        <f t="shared" si="23"/>
        <v>#N/A</v>
      </c>
      <c r="F129" s="46" t="e">
        <f t="shared" si="24"/>
        <v>#N/A</v>
      </c>
      <c r="G129" s="47" t="e">
        <f t="shared" si="25"/>
        <v>#N/A</v>
      </c>
      <c r="H129" s="48" t="e">
        <f t="shared" si="26"/>
        <v>#N/A</v>
      </c>
      <c r="R129" s="46"/>
      <c r="S129" s="47"/>
      <c r="T129" s="48"/>
    </row>
    <row r="130" spans="2:20" x14ac:dyDescent="0.2">
      <c r="B130" s="44">
        <f t="shared" si="20"/>
        <v>34</v>
      </c>
      <c r="C130" s="45">
        <f t="shared" si="21"/>
        <v>1786562.4355637352</v>
      </c>
      <c r="D130" s="45">
        <f t="shared" si="22"/>
        <v>1926886.3050237221</v>
      </c>
      <c r="E130" s="46" t="e">
        <f t="shared" si="23"/>
        <v>#N/A</v>
      </c>
      <c r="F130" s="46" t="e">
        <f t="shared" si="24"/>
        <v>#N/A</v>
      </c>
      <c r="G130" s="47" t="e">
        <f t="shared" si="25"/>
        <v>#N/A</v>
      </c>
      <c r="H130" s="48" t="e">
        <f t="shared" si="26"/>
        <v>#N/A</v>
      </c>
      <c r="R130" s="46"/>
      <c r="S130" s="47"/>
      <c r="T130" s="48"/>
    </row>
    <row r="131" spans="2:20" x14ac:dyDescent="0.2">
      <c r="B131" s="44">
        <f t="shared" si="20"/>
        <v>35</v>
      </c>
      <c r="C131" s="45">
        <f t="shared" si="21"/>
        <v>1932444.4992676983</v>
      </c>
      <c r="D131" s="45">
        <f t="shared" si="22"/>
        <v>2085472.8127139162</v>
      </c>
      <c r="E131" s="46" t="e">
        <f t="shared" si="23"/>
        <v>#N/A</v>
      </c>
      <c r="F131" s="46" t="e">
        <f t="shared" si="24"/>
        <v>#N/A</v>
      </c>
      <c r="G131" s="47" t="e">
        <f t="shared" si="25"/>
        <v>#N/A</v>
      </c>
      <c r="H131" s="48" t="e">
        <f t="shared" si="26"/>
        <v>#N/A</v>
      </c>
      <c r="R131" s="46"/>
      <c r="S131" s="47"/>
      <c r="T131" s="48"/>
    </row>
    <row r="132" spans="2:20" x14ac:dyDescent="0.2">
      <c r="B132" s="44">
        <f t="shared" si="20"/>
        <v>36</v>
      </c>
      <c r="C132" s="45">
        <f t="shared" si="21"/>
        <v>2090233.6935766877</v>
      </c>
      <c r="D132" s="45">
        <f t="shared" si="22"/>
        <v>2256302.6806904962</v>
      </c>
      <c r="E132" s="46" t="e">
        <f t="shared" si="23"/>
        <v>#N/A</v>
      </c>
      <c r="F132" s="46" t="e">
        <f t="shared" si="24"/>
        <v>#N/A</v>
      </c>
      <c r="G132" s="47" t="e">
        <f t="shared" si="25"/>
        <v>#N/A</v>
      </c>
      <c r="H132" s="48" t="e">
        <f t="shared" si="26"/>
        <v>#N/A</v>
      </c>
      <c r="R132" s="46"/>
      <c r="S132" s="47"/>
      <c r="T132" s="48"/>
    </row>
    <row r="133" spans="2:20" x14ac:dyDescent="0.2">
      <c r="B133" s="44">
        <f t="shared" si="20"/>
        <v>37</v>
      </c>
      <c r="C133" s="45">
        <f t="shared" si="21"/>
        <v>2260039.2329005571</v>
      </c>
      <c r="D133" s="45">
        <f t="shared" si="22"/>
        <v>2441118.3015419603</v>
      </c>
      <c r="E133" s="46" t="e">
        <f t="shared" si="23"/>
        <v>#N/A</v>
      </c>
      <c r="F133" s="46" t="e">
        <f t="shared" si="24"/>
        <v>#N/A</v>
      </c>
      <c r="G133" s="47" t="e">
        <f t="shared" si="25"/>
        <v>#N/A</v>
      </c>
      <c r="H133" s="48" t="e">
        <f t="shared" si="26"/>
        <v>#N/A</v>
      </c>
      <c r="R133" s="46"/>
      <c r="S133" s="47"/>
      <c r="T133" s="48"/>
    </row>
    <row r="134" spans="2:20" x14ac:dyDescent="0.2">
      <c r="B134" s="44">
        <f t="shared" si="20"/>
        <v>38</v>
      </c>
      <c r="C134" s="45">
        <f t="shared" si="21"/>
        <v>2444567.4266589396</v>
      </c>
      <c r="D134" s="45">
        <f t="shared" si="22"/>
        <v>2641064.0845732386</v>
      </c>
      <c r="E134" s="46" t="e">
        <f t="shared" si="23"/>
        <v>#N/A</v>
      </c>
      <c r="F134" s="46" t="e">
        <f t="shared" si="24"/>
        <v>#N/A</v>
      </c>
      <c r="G134" s="47" t="e">
        <f t="shared" si="25"/>
        <v>#N/A</v>
      </c>
      <c r="H134" s="48" t="e">
        <f t="shared" si="26"/>
        <v>#N/A</v>
      </c>
      <c r="R134" s="46"/>
      <c r="S134" s="47"/>
      <c r="T134" s="48"/>
    </row>
    <row r="135" spans="2:20" x14ac:dyDescent="0.2">
      <c r="B135" s="44">
        <f t="shared" si="20"/>
        <v>39</v>
      </c>
      <c r="C135" s="45">
        <f t="shared" si="21"/>
        <v>2643150.1154439878</v>
      </c>
      <c r="D135" s="45">
        <f t="shared" si="22"/>
        <v>2856372.2708755424</v>
      </c>
      <c r="E135" s="46" t="e">
        <f t="shared" si="23"/>
        <v>#N/A</v>
      </c>
      <c r="F135" s="46" t="e">
        <f t="shared" si="24"/>
        <v>#N/A</v>
      </c>
      <c r="G135" s="47" t="e">
        <f t="shared" si="25"/>
        <v>#N/A</v>
      </c>
      <c r="H135" s="48" t="e">
        <f t="shared" si="26"/>
        <v>#N/A</v>
      </c>
      <c r="R135" s="46"/>
      <c r="S135" s="47"/>
      <c r="T135" s="48"/>
    </row>
    <row r="136" spans="2:20" x14ac:dyDescent="0.2">
      <c r="B136" s="44">
        <f t="shared" si="20"/>
        <v>40</v>
      </c>
      <c r="C136" s="45">
        <f t="shared" si="21"/>
        <v>2857860.802904027</v>
      </c>
      <c r="D136" s="45">
        <f t="shared" si="22"/>
        <v>3089226.9568449464</v>
      </c>
      <c r="E136" s="46" t="e">
        <f t="shared" si="23"/>
        <v>#N/A</v>
      </c>
      <c r="F136" s="46" t="e">
        <f t="shared" si="24"/>
        <v>#N/A</v>
      </c>
      <c r="G136" s="47" t="e">
        <f t="shared" si="25"/>
        <v>#N/A</v>
      </c>
      <c r="H136" s="48" t="e">
        <f t="shared" si="26"/>
        <v>#N/A</v>
      </c>
      <c r="R136" s="46"/>
      <c r="S136" s="47"/>
      <c r="T136" s="48"/>
    </row>
    <row r="137" spans="2:20" x14ac:dyDescent="0.2">
      <c r="B137" s="44">
        <v>40</v>
      </c>
      <c r="C137" s="45">
        <f>IF($D$93=1,H53,NA())</f>
        <v>1914231.1832956853</v>
      </c>
      <c r="D137" s="45">
        <f>IF($D$93=1,T52,NA())</f>
        <v>1946277.4405441745</v>
      </c>
      <c r="E137" s="46" t="e">
        <f>E136</f>
        <v>#N/A</v>
      </c>
      <c r="F137" s="46" t="e">
        <f>F136</f>
        <v>#N/A</v>
      </c>
      <c r="G137" s="47" t="e">
        <f t="shared" si="25"/>
        <v>#N/A</v>
      </c>
      <c r="H137" s="48" t="e">
        <f t="shared" si="26"/>
        <v>#N/A</v>
      </c>
      <c r="R137" s="46"/>
      <c r="S137" s="47"/>
      <c r="T137" s="48"/>
    </row>
    <row r="138" spans="2:20" x14ac:dyDescent="0.2">
      <c r="C138" s="8"/>
    </row>
    <row r="139" spans="2:20" x14ac:dyDescent="0.2">
      <c r="C139" s="8"/>
    </row>
    <row r="140" spans="2:20" x14ac:dyDescent="0.2">
      <c r="C140" s="8"/>
    </row>
  </sheetData>
  <mergeCells count="26">
    <mergeCell ref="AA3:AA4"/>
    <mergeCell ref="AC3:AC4"/>
    <mergeCell ref="AD3:AD4"/>
    <mergeCell ref="S3:S4"/>
    <mergeCell ref="T3:T4"/>
    <mergeCell ref="U3:U4"/>
    <mergeCell ref="X3:X4"/>
    <mergeCell ref="Y3:Y4"/>
    <mergeCell ref="V3:V4"/>
    <mergeCell ref="W3:W4"/>
    <mergeCell ref="R2:AA2"/>
    <mergeCell ref="AC2:AD2"/>
    <mergeCell ref="F2:P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R4"/>
    <mergeCell ref="Z3:Z4"/>
  </mergeCells>
  <dataValidations count="1">
    <dataValidation type="list" allowBlank="1" showInputMessage="1" showErrorMessage="1" sqref="C30">
      <formula1>$D$2:$D$3</formula1>
    </dataValidation>
  </dataValidation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Option Button 3">
              <controlPr defaultSize="0" autoFill="0" autoLine="0" autoPict="0">
                <anchor moveWithCells="1">
                  <from>
                    <xdr:col>11</xdr:col>
                    <xdr:colOff>38100</xdr:colOff>
                    <xdr:row>57</xdr:row>
                    <xdr:rowOff>25400</xdr:rowOff>
                  </from>
                  <to>
                    <xdr:col>12</xdr:col>
                    <xdr:colOff>38100</xdr:colOff>
                    <xdr:row>58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11</xdr:col>
                    <xdr:colOff>38100</xdr:colOff>
                    <xdr:row>58</xdr:row>
                    <xdr:rowOff>63500</xdr:rowOff>
                  </from>
                  <to>
                    <xdr:col>12</xdr:col>
                    <xdr:colOff>495300</xdr:colOff>
                    <xdr:row>59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11</xdr:col>
                    <xdr:colOff>38100</xdr:colOff>
                    <xdr:row>59</xdr:row>
                    <xdr:rowOff>88900</xdr:rowOff>
                  </from>
                  <to>
                    <xdr:col>12</xdr:col>
                    <xdr:colOff>165100</xdr:colOff>
                    <xdr:row>60</xdr:row>
                    <xdr:rowOff>177800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35" workbookViewId="0">
      <selection activeCell="N143" sqref="N143"/>
    </sheetView>
  </sheetViews>
  <sheetFormatPr baseColWidth="10" defaultColWidth="11.5" defaultRowHeight="16" x14ac:dyDescent="0.2"/>
  <cols>
    <col min="1" max="1" width="8.83203125" style="52" customWidth="1"/>
    <col min="2" max="2" width="13" style="13" bestFit="1" customWidth="1"/>
    <col min="3" max="3" width="18.33203125" style="13" bestFit="1" customWidth="1"/>
    <col min="4" max="4" width="15.1640625" style="13" bestFit="1" customWidth="1"/>
    <col min="5" max="5" width="14.83203125" style="13" customWidth="1"/>
    <col min="6" max="6" width="11.83203125" style="13" customWidth="1"/>
    <col min="7" max="7" width="18.33203125" style="13" bestFit="1" customWidth="1"/>
    <col min="8" max="8" width="2.83203125" style="13" customWidth="1"/>
    <col min="9" max="9" width="17.6640625" style="13" bestFit="1" customWidth="1"/>
    <col min="10" max="10" width="14.83203125" style="13" bestFit="1" customWidth="1"/>
    <col min="11" max="11" width="18" style="13" customWidth="1"/>
    <col min="12" max="12" width="8.5" style="13" bestFit="1" customWidth="1"/>
    <col min="13" max="13" width="15" style="13" bestFit="1" customWidth="1"/>
    <col min="14" max="14" width="18.6640625" style="13" bestFit="1" customWidth="1"/>
    <col min="15" max="15" width="15.33203125" style="13" bestFit="1" customWidth="1"/>
    <col min="16" max="16" width="18" style="13" bestFit="1" customWidth="1"/>
    <col min="17" max="17" width="11.83203125" style="13" customWidth="1"/>
    <col min="18" max="18" width="18.6640625" style="13" bestFit="1" customWidth="1"/>
    <col min="19" max="19" width="2.83203125" style="13" customWidth="1"/>
    <col min="20" max="20" width="17.6640625" style="13" bestFit="1" customWidth="1"/>
    <col min="21" max="21" width="11.33203125" style="13" bestFit="1" customWidth="1"/>
    <col min="22" max="22" width="18" style="13" bestFit="1" customWidth="1"/>
    <col min="23" max="29" width="11.5" style="13"/>
    <col min="30" max="30" width="14.83203125" style="13" bestFit="1" customWidth="1"/>
    <col min="31" max="16384" width="11.5" style="13"/>
  </cols>
  <sheetData>
    <row r="1" spans="2:13" x14ac:dyDescent="0.2">
      <c r="E1" s="60">
        <v>-0.1</v>
      </c>
    </row>
    <row r="2" spans="2:13" x14ac:dyDescent="0.2">
      <c r="C2" s="35" t="s">
        <v>39</v>
      </c>
      <c r="J2" s="35" t="s">
        <v>40</v>
      </c>
      <c r="L2" s="13" t="s">
        <v>55</v>
      </c>
      <c r="M2" s="13" t="s">
        <v>54</v>
      </c>
    </row>
    <row r="3" spans="2:13" x14ac:dyDescent="0.2">
      <c r="B3" s="29" t="s">
        <v>30</v>
      </c>
      <c r="C3" s="31">
        <v>100000</v>
      </c>
      <c r="I3" s="29" t="s">
        <v>33</v>
      </c>
      <c r="J3" s="30">
        <f>N154-C154</f>
        <v>2643.8787795599492</v>
      </c>
      <c r="L3" s="62">
        <v>0.05</v>
      </c>
      <c r="M3" s="18">
        <v>127798.59</v>
      </c>
    </row>
    <row r="4" spans="2:13" x14ac:dyDescent="0.2">
      <c r="B4" s="29" t="s">
        <v>24</v>
      </c>
      <c r="C4" s="32">
        <f>23%*1.33</f>
        <v>0.30590000000000001</v>
      </c>
      <c r="I4" s="29" t="s">
        <v>34</v>
      </c>
      <c r="J4" s="30">
        <f>J3/40</f>
        <v>66.096969488998724</v>
      </c>
      <c r="L4" s="62">
        <v>0.06</v>
      </c>
      <c r="M4" s="18">
        <v>223068.34</v>
      </c>
    </row>
    <row r="5" spans="2:13" x14ac:dyDescent="0.2">
      <c r="B5" s="29" t="s">
        <v>31</v>
      </c>
      <c r="C5" s="33">
        <f>(A31+A34+A37+A40+A43+A46+A49+A52+A55+A58+A61+A64+A67+A70+A73+A76+A79+A82+A85+A88+A91+A94+A97+A100+A103+A106+A109+A112+A115+A118+A121+A124+A127+A130+A133+A136+A139+A142+A145+A148)</f>
        <v>0.59781009746598912</v>
      </c>
      <c r="L5" s="62">
        <v>7.0000000000000007E-2</v>
      </c>
      <c r="M5" s="18">
        <v>402885.82</v>
      </c>
    </row>
    <row r="6" spans="2:13" x14ac:dyDescent="0.2">
      <c r="L6" s="63">
        <v>0.08</v>
      </c>
      <c r="M6" s="61">
        <v>669948.02</v>
      </c>
    </row>
    <row r="7" spans="2:13" x14ac:dyDescent="0.2">
      <c r="C7" s="35" t="s">
        <v>41</v>
      </c>
      <c r="J7" s="35" t="s">
        <v>52</v>
      </c>
      <c r="L7" s="62">
        <v>0.09</v>
      </c>
      <c r="M7" s="18">
        <v>1081830.27</v>
      </c>
    </row>
    <row r="8" spans="2:13" x14ac:dyDescent="0.2">
      <c r="B8" s="29" t="s">
        <v>37</v>
      </c>
      <c r="C8" s="34">
        <f>N153</f>
        <v>22099.516134088695</v>
      </c>
      <c r="I8" s="29" t="s">
        <v>37</v>
      </c>
      <c r="J8" s="34">
        <f>C8/(1.02)^40</f>
        <v>10008.659037360259</v>
      </c>
      <c r="L8" s="62">
        <v>0.1</v>
      </c>
      <c r="M8" s="18">
        <v>1707264.26</v>
      </c>
    </row>
    <row r="9" spans="2:13" x14ac:dyDescent="0.2">
      <c r="B9" s="29" t="s">
        <v>36</v>
      </c>
      <c r="C9" s="30">
        <f>SUM(J32:J149)</f>
        <v>20934.320170009425</v>
      </c>
      <c r="I9" s="29" t="s">
        <v>36</v>
      </c>
      <c r="J9" s="55">
        <f>NPV(2%,J32,J35,J38,J41,J44,J47,J50,J53,J56,J59,J62,J65,J68,J71,J74,J77,J80,J83,J86,J89,J92,J95,J98,J101,J104,J107,J110,J113,J116,J119,J122,J125,J128,J131,J134,J137,J140,J143,J146,J149)</f>
        <v>19248.309215189991</v>
      </c>
      <c r="L9" s="62">
        <v>0.11</v>
      </c>
      <c r="M9" s="18">
        <v>2644909.6</v>
      </c>
    </row>
    <row r="10" spans="2:13" x14ac:dyDescent="0.2">
      <c r="B10" s="53"/>
      <c r="C10" s="54"/>
      <c r="I10" s="29" t="s">
        <v>53</v>
      </c>
      <c r="J10" s="34">
        <f>J8-J9</f>
        <v>-9239.6501778297315</v>
      </c>
    </row>
    <row r="11" spans="2:13" x14ac:dyDescent="0.2">
      <c r="B11" s="53"/>
      <c r="C11" s="54"/>
      <c r="E11" s="53"/>
      <c r="F11" s="54"/>
      <c r="L11" s="114" t="s">
        <v>56</v>
      </c>
      <c r="M11" s="114"/>
    </row>
    <row r="12" spans="2:13" x14ac:dyDescent="0.2">
      <c r="B12" s="53"/>
      <c r="C12" s="54"/>
      <c r="E12" s="53"/>
      <c r="F12" s="54"/>
      <c r="L12" s="60">
        <v>0.08</v>
      </c>
      <c r="M12" s="61">
        <v>669948.02</v>
      </c>
    </row>
    <row r="13" spans="2:13" x14ac:dyDescent="0.2">
      <c r="B13" s="53"/>
      <c r="C13" s="54"/>
      <c r="D13" s="60"/>
      <c r="E13" s="53"/>
      <c r="F13" s="54"/>
    </row>
    <row r="14" spans="2:13" x14ac:dyDescent="0.2">
      <c r="B14" s="53"/>
      <c r="C14" s="54"/>
      <c r="E14" s="38"/>
      <c r="F14" s="54"/>
    </row>
    <row r="15" spans="2:13" x14ac:dyDescent="0.2">
      <c r="B15" s="53"/>
      <c r="C15" s="54"/>
      <c r="E15" s="38"/>
      <c r="F15" s="54"/>
    </row>
    <row r="16" spans="2:13" x14ac:dyDescent="0.2">
      <c r="B16" s="53"/>
      <c r="E16" s="38"/>
      <c r="F16" s="54"/>
    </row>
    <row r="17" spans="1:30" x14ac:dyDescent="0.2">
      <c r="B17" s="53"/>
      <c r="E17" s="38"/>
      <c r="F17" s="54"/>
    </row>
    <row r="18" spans="1:30" x14ac:dyDescent="0.2">
      <c r="B18" s="53"/>
      <c r="C18" s="54"/>
      <c r="E18" s="38"/>
      <c r="F18" s="54"/>
      <c r="G18" s="65"/>
    </row>
    <row r="19" spans="1:30" x14ac:dyDescent="0.2">
      <c r="B19" s="53"/>
      <c r="C19" s="54"/>
      <c r="E19" s="38"/>
      <c r="F19" s="54"/>
    </row>
    <row r="20" spans="1:30" x14ac:dyDescent="0.2">
      <c r="B20" s="53"/>
      <c r="C20" s="54"/>
      <c r="E20" s="53"/>
      <c r="F20" s="54"/>
    </row>
    <row r="21" spans="1:30" x14ac:dyDescent="0.2">
      <c r="A21" s="38">
        <v>0.1</v>
      </c>
      <c r="B21" s="53" t="s">
        <v>57</v>
      </c>
      <c r="C21" s="54"/>
      <c r="E21" s="38"/>
      <c r="F21" s="54"/>
    </row>
    <row r="22" spans="1:30" x14ac:dyDescent="0.2">
      <c r="A22" s="38">
        <v>-0.1</v>
      </c>
      <c r="B22" s="53" t="s">
        <v>58</v>
      </c>
      <c r="C22" s="54"/>
      <c r="E22" s="53"/>
      <c r="F22" s="54"/>
    </row>
    <row r="23" spans="1:30" x14ac:dyDescent="0.2">
      <c r="B23" s="53"/>
      <c r="C23" s="54"/>
      <c r="E23" s="53"/>
      <c r="F23" s="54"/>
    </row>
    <row r="24" spans="1:30" x14ac:dyDescent="0.2">
      <c r="B24" s="53"/>
      <c r="C24" s="54"/>
      <c r="E24" s="53"/>
      <c r="F24" s="54"/>
    </row>
    <row r="25" spans="1:30" x14ac:dyDescent="0.2">
      <c r="A25" s="52" t="s">
        <v>59</v>
      </c>
      <c r="B25" s="53"/>
      <c r="C25" s="54"/>
      <c r="E25" s="53"/>
      <c r="F25" s="54"/>
    </row>
    <row r="26" spans="1:30" x14ac:dyDescent="0.2">
      <c r="A26" s="52">
        <f>SUM(A31:A149)/40</f>
        <v>8.000000000001492E-2</v>
      </c>
      <c r="B26" s="124" t="s">
        <v>35</v>
      </c>
      <c r="C26" s="124"/>
      <c r="D26" s="124"/>
      <c r="E26" s="124"/>
      <c r="F26" s="124"/>
      <c r="G26" s="124"/>
      <c r="H26" s="124"/>
      <c r="I26" s="124"/>
      <c r="J26" s="124"/>
      <c r="K26" s="124"/>
      <c r="M26" s="124" t="s">
        <v>32</v>
      </c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30" x14ac:dyDescent="0.2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30" x14ac:dyDescent="0.2">
      <c r="B28" s="117" t="s">
        <v>5</v>
      </c>
      <c r="C28" s="120" t="s">
        <v>18</v>
      </c>
      <c r="D28" s="122" t="s">
        <v>19</v>
      </c>
      <c r="E28" s="115" t="s">
        <v>2</v>
      </c>
      <c r="F28" s="115" t="s">
        <v>0</v>
      </c>
      <c r="G28" s="115" t="s">
        <v>21</v>
      </c>
      <c r="H28" s="15"/>
      <c r="I28" s="115" t="s">
        <v>23</v>
      </c>
      <c r="J28" s="120" t="s">
        <v>24</v>
      </c>
      <c r="K28" s="120" t="s">
        <v>25</v>
      </c>
      <c r="L28" s="27"/>
      <c r="M28" s="120" t="s">
        <v>5</v>
      </c>
      <c r="N28" s="120" t="s">
        <v>18</v>
      </c>
      <c r="O28" s="120" t="s">
        <v>19</v>
      </c>
      <c r="P28" s="120" t="s">
        <v>2</v>
      </c>
      <c r="Q28" s="115" t="s">
        <v>0</v>
      </c>
      <c r="R28" s="120" t="s">
        <v>21</v>
      </c>
      <c r="S28" s="15"/>
      <c r="T28" s="120" t="s">
        <v>23</v>
      </c>
      <c r="U28" s="120" t="s">
        <v>24</v>
      </c>
      <c r="V28" s="120" t="s">
        <v>25</v>
      </c>
    </row>
    <row r="29" spans="1:30" x14ac:dyDescent="0.2">
      <c r="B29" s="118"/>
      <c r="C29" s="121"/>
      <c r="D29" s="123"/>
      <c r="E29" s="116"/>
      <c r="F29" s="116"/>
      <c r="G29" s="116"/>
      <c r="H29" s="16"/>
      <c r="I29" s="116"/>
      <c r="J29" s="121"/>
      <c r="K29" s="121"/>
      <c r="L29" s="27"/>
      <c r="M29" s="121"/>
      <c r="N29" s="121"/>
      <c r="O29" s="121"/>
      <c r="P29" s="121"/>
      <c r="Q29" s="116"/>
      <c r="R29" s="121"/>
      <c r="S29" s="16"/>
      <c r="T29" s="121"/>
      <c r="U29" s="121"/>
      <c r="V29" s="121"/>
    </row>
    <row r="30" spans="1:30" x14ac:dyDescent="0.2">
      <c r="B30" s="119"/>
      <c r="C30" s="119"/>
      <c r="D30" s="119"/>
      <c r="E30" s="119"/>
      <c r="F30" s="119"/>
      <c r="G30" s="119"/>
      <c r="L30" s="28"/>
      <c r="M30" s="119"/>
      <c r="N30" s="119"/>
      <c r="O30" s="119"/>
      <c r="P30" s="119"/>
      <c r="Q30" s="119"/>
      <c r="R30" s="119"/>
    </row>
    <row r="31" spans="1:30" x14ac:dyDescent="0.2">
      <c r="A31" s="66">
        <v>2.8777804308529824E-2</v>
      </c>
      <c r="B31" s="112">
        <v>1</v>
      </c>
      <c r="C31" s="17">
        <v>43101</v>
      </c>
      <c r="D31" s="13" t="s">
        <v>20</v>
      </c>
      <c r="E31" s="56">
        <v>100</v>
      </c>
      <c r="F31" s="13">
        <f>G31/E31</f>
        <v>1000</v>
      </c>
      <c r="G31" s="56">
        <f>C3</f>
        <v>100000</v>
      </c>
      <c r="L31" s="28"/>
      <c r="M31" s="112">
        <v>1</v>
      </c>
      <c r="N31" s="19">
        <v>43101</v>
      </c>
      <c r="O31" s="13" t="s">
        <v>20</v>
      </c>
      <c r="P31" s="56">
        <v>100</v>
      </c>
      <c r="Q31" s="13">
        <f>R31/P31</f>
        <v>1000</v>
      </c>
      <c r="R31" s="56">
        <f>C3</f>
        <v>100000</v>
      </c>
      <c r="AD31" s="14"/>
    </row>
    <row r="32" spans="1:30" x14ac:dyDescent="0.2">
      <c r="A32" s="66">
        <v>3.2939112690311419E-2</v>
      </c>
      <c r="B32" s="112"/>
      <c r="C32" s="17">
        <v>43464</v>
      </c>
      <c r="D32" s="13" t="s">
        <v>22</v>
      </c>
      <c r="E32" s="56">
        <f>E31*(1+A31)</f>
        <v>102.87778043085298</v>
      </c>
      <c r="F32" s="13">
        <f>F31</f>
        <v>1000</v>
      </c>
      <c r="G32" s="56">
        <f>F32*E32</f>
        <v>102877.78043085297</v>
      </c>
      <c r="I32" s="56">
        <f>G32-G31</f>
        <v>2877.780430852974</v>
      </c>
      <c r="J32" s="56">
        <f>I32*$C$4</f>
        <v>880.31303379792473</v>
      </c>
      <c r="K32" s="56">
        <f>I32-J32</f>
        <v>1997.4673970550493</v>
      </c>
      <c r="L32" s="28"/>
      <c r="M32" s="112"/>
      <c r="N32" s="19">
        <v>43464</v>
      </c>
      <c r="O32" s="13" t="s">
        <v>22</v>
      </c>
      <c r="P32" s="56">
        <f>P31*(1+A31)</f>
        <v>102.87778043085298</v>
      </c>
      <c r="Q32" s="13">
        <f>Q31</f>
        <v>1000</v>
      </c>
      <c r="R32" s="56">
        <f>Q32*P32</f>
        <v>102877.78043085297</v>
      </c>
      <c r="T32" s="56">
        <f>R32-R31</f>
        <v>2877.780430852974</v>
      </c>
      <c r="U32" s="56">
        <v>0</v>
      </c>
      <c r="V32" s="56">
        <f>T32-U32</f>
        <v>2877.780430852974</v>
      </c>
      <c r="AD32" s="14"/>
    </row>
    <row r="33" spans="1:30" x14ac:dyDescent="0.2">
      <c r="A33" s="66">
        <v>3.2939112690311419E-2</v>
      </c>
      <c r="E33" s="56"/>
      <c r="G33" s="56"/>
      <c r="I33" s="56"/>
      <c r="J33" s="56"/>
      <c r="K33" s="14"/>
      <c r="L33" s="28"/>
      <c r="P33" s="56"/>
      <c r="R33" s="56"/>
      <c r="T33" s="56"/>
      <c r="U33" s="56"/>
      <c r="V33" s="56"/>
      <c r="AD33" s="14"/>
    </row>
    <row r="34" spans="1:30" x14ac:dyDescent="0.2">
      <c r="A34" s="66">
        <v>8.3465701729338468E-2</v>
      </c>
      <c r="B34" s="112">
        <v>2</v>
      </c>
      <c r="C34" s="17">
        <v>43101</v>
      </c>
      <c r="D34" s="13" t="s">
        <v>20</v>
      </c>
      <c r="E34" s="64">
        <f>G34/1000</f>
        <v>101.99746739705505</v>
      </c>
      <c r="F34" s="13">
        <v>1000</v>
      </c>
      <c r="G34" s="56">
        <f>G32-J32</f>
        <v>101997.46739705505</v>
      </c>
      <c r="L34" s="28"/>
      <c r="M34" s="112">
        <v>2</v>
      </c>
      <c r="N34" s="19">
        <v>43101</v>
      </c>
      <c r="O34" s="13" t="s">
        <v>20</v>
      </c>
      <c r="P34" s="56">
        <f>R34/1000</f>
        <v>102.87778043085298</v>
      </c>
      <c r="Q34" s="13">
        <v>1000</v>
      </c>
      <c r="R34" s="56">
        <f>R32-U32</f>
        <v>102877.78043085297</v>
      </c>
      <c r="T34" s="56"/>
      <c r="U34" s="56"/>
      <c r="V34" s="56"/>
      <c r="AD34" s="14"/>
    </row>
    <row r="35" spans="1:30" x14ac:dyDescent="0.2">
      <c r="A35" s="66">
        <v>3.2939112690311419E-2</v>
      </c>
      <c r="B35" s="112"/>
      <c r="C35" s="17">
        <v>43464</v>
      </c>
      <c r="D35" s="13" t="s">
        <v>22</v>
      </c>
      <c r="E35" s="56">
        <f>E34*(1+A34)</f>
        <v>110.51075758796557</v>
      </c>
      <c r="F35" s="13">
        <v>1000</v>
      </c>
      <c r="G35" s="56">
        <f>F35*E35</f>
        <v>110510.75758796558</v>
      </c>
      <c r="I35" s="56">
        <f>G35-G34</f>
        <v>8513.2901909105276</v>
      </c>
      <c r="J35" s="56">
        <f>I35*$C$4</f>
        <v>2604.2154693995303</v>
      </c>
      <c r="K35" s="56">
        <f>I35-J35</f>
        <v>5909.0747215109968</v>
      </c>
      <c r="L35" s="28"/>
      <c r="M35" s="112"/>
      <c r="N35" s="19">
        <v>43464</v>
      </c>
      <c r="O35" s="13" t="s">
        <v>22</v>
      </c>
      <c r="P35" s="56">
        <f>P34*(1+A34)</f>
        <v>111.46454656687094</v>
      </c>
      <c r="Q35" s="13">
        <v>1000</v>
      </c>
      <c r="R35" s="56">
        <f>Q35*P35</f>
        <v>111464.54656687094</v>
      </c>
      <c r="T35" s="56">
        <f>R35-R34</f>
        <v>8586.7661360179627</v>
      </c>
      <c r="U35" s="56">
        <v>0</v>
      </c>
      <c r="V35" s="56">
        <f>T35-U35</f>
        <v>8586.7661360179627</v>
      </c>
      <c r="AD35" s="14"/>
    </row>
    <row r="36" spans="1:30" x14ac:dyDescent="0.2">
      <c r="A36" s="66">
        <v>3.2939112690311419E-2</v>
      </c>
      <c r="B36" s="41"/>
      <c r="C36" s="41"/>
      <c r="D36" s="41"/>
      <c r="E36" s="56"/>
      <c r="F36" s="41"/>
      <c r="G36" s="56"/>
      <c r="I36" s="56"/>
      <c r="J36" s="56"/>
      <c r="K36" s="56"/>
      <c r="L36" s="28"/>
      <c r="P36" s="56"/>
      <c r="R36" s="56"/>
      <c r="T36" s="56"/>
      <c r="U36" s="56"/>
      <c r="V36" s="56"/>
      <c r="AD36" s="14"/>
    </row>
    <row r="37" spans="1:30" x14ac:dyDescent="0.2">
      <c r="A37" s="66">
        <v>2.5557329028235411E-2</v>
      </c>
      <c r="B37" s="112">
        <v>3</v>
      </c>
      <c r="C37" s="17">
        <v>43101</v>
      </c>
      <c r="D37" s="13" t="s">
        <v>20</v>
      </c>
      <c r="E37" s="56">
        <f>G37/1000</f>
        <v>107.90654211856605</v>
      </c>
      <c r="F37" s="13">
        <v>1000</v>
      </c>
      <c r="G37" s="56">
        <f>G35-J35</f>
        <v>107906.54211856605</v>
      </c>
      <c r="I37" s="56"/>
      <c r="J37" s="56"/>
      <c r="K37" s="56"/>
      <c r="L37" s="28"/>
      <c r="M37" s="112">
        <v>3</v>
      </c>
      <c r="N37" s="19">
        <v>43101</v>
      </c>
      <c r="O37" s="13" t="s">
        <v>20</v>
      </c>
      <c r="P37" s="56">
        <f>R37/1000</f>
        <v>111.46454656687094</v>
      </c>
      <c r="Q37" s="13">
        <v>1000</v>
      </c>
      <c r="R37" s="56">
        <f>R35-U35</f>
        <v>111464.54656687094</v>
      </c>
      <c r="T37" s="56"/>
      <c r="U37" s="56"/>
      <c r="V37" s="56"/>
      <c r="AD37" s="14"/>
    </row>
    <row r="38" spans="1:30" x14ac:dyDescent="0.2">
      <c r="A38" s="66">
        <v>3.2939112690311419E-2</v>
      </c>
      <c r="B38" s="112"/>
      <c r="C38" s="17">
        <v>43464</v>
      </c>
      <c r="D38" s="13" t="s">
        <v>22</v>
      </c>
      <c r="E38" s="56">
        <f>E37*(1+A37)</f>
        <v>110.66434511978939</v>
      </c>
      <c r="F38" s="13">
        <v>1000</v>
      </c>
      <c r="G38" s="56">
        <f>F38*E38</f>
        <v>110664.34511978939</v>
      </c>
      <c r="I38" s="56">
        <f>G38-G37</f>
        <v>2757.8030012233357</v>
      </c>
      <c r="J38" s="56">
        <f>I38*$C$4</f>
        <v>843.61193807421841</v>
      </c>
      <c r="K38" s="56">
        <f>I38-J38</f>
        <v>1914.1910631491173</v>
      </c>
      <c r="L38" s="28"/>
      <c r="M38" s="112"/>
      <c r="N38" s="19">
        <v>43464</v>
      </c>
      <c r="O38" s="13" t="s">
        <v>22</v>
      </c>
      <c r="P38" s="56">
        <f>P37*(1+A37)</f>
        <v>114.31328265846352</v>
      </c>
      <c r="Q38" s="13">
        <v>1000</v>
      </c>
      <c r="R38" s="56">
        <f>Q38*P38</f>
        <v>114313.28265846352</v>
      </c>
      <c r="T38" s="56">
        <f>R38-R37</f>
        <v>2848.7360915925819</v>
      </c>
      <c r="U38" s="56">
        <v>0</v>
      </c>
      <c r="V38" s="56">
        <f>T38-U38</f>
        <v>2848.7360915925819</v>
      </c>
      <c r="AD38" s="14"/>
    </row>
    <row r="39" spans="1:30" x14ac:dyDescent="0.2">
      <c r="A39" s="66">
        <v>3.2939112690311419E-2</v>
      </c>
      <c r="B39" s="41"/>
      <c r="C39" s="41"/>
      <c r="D39" s="41"/>
      <c r="E39" s="56"/>
      <c r="F39" s="41"/>
      <c r="G39" s="56"/>
      <c r="I39" s="56"/>
      <c r="J39" s="56"/>
      <c r="K39" s="56"/>
      <c r="L39" s="28"/>
      <c r="P39" s="56"/>
      <c r="R39" s="56"/>
      <c r="T39" s="56"/>
      <c r="U39" s="56"/>
      <c r="V39" s="56"/>
      <c r="AD39" s="14"/>
    </row>
    <row r="40" spans="1:30" x14ac:dyDescent="0.2">
      <c r="A40" s="66">
        <v>3.4801271922856196E-2</v>
      </c>
      <c r="B40" s="112">
        <v>4</v>
      </c>
      <c r="C40" s="17">
        <v>43101</v>
      </c>
      <c r="D40" s="13" t="s">
        <v>20</v>
      </c>
      <c r="E40" s="64">
        <f>G40/1000</f>
        <v>109.82073318171517</v>
      </c>
      <c r="F40" s="13">
        <v>1000</v>
      </c>
      <c r="G40" s="56">
        <f>G38-J38</f>
        <v>109820.73318171517</v>
      </c>
      <c r="I40" s="56"/>
      <c r="J40" s="56"/>
      <c r="K40" s="56"/>
      <c r="L40" s="28"/>
      <c r="M40" s="112">
        <v>4</v>
      </c>
      <c r="N40" s="19">
        <v>43101</v>
      </c>
      <c r="O40" s="13" t="s">
        <v>20</v>
      </c>
      <c r="P40" s="56">
        <f>R40/1000</f>
        <v>114.31328265846352</v>
      </c>
      <c r="Q40" s="13">
        <v>1000</v>
      </c>
      <c r="R40" s="56">
        <f>R38-U38</f>
        <v>114313.28265846352</v>
      </c>
      <c r="T40" s="56"/>
      <c r="U40" s="56"/>
      <c r="V40" s="56"/>
      <c r="AD40" s="14"/>
    </row>
    <row r="41" spans="1:30" x14ac:dyDescent="0.2">
      <c r="A41" s="66">
        <v>3.2939112690311419E-2</v>
      </c>
      <c r="B41" s="112"/>
      <c r="C41" s="17">
        <v>43464</v>
      </c>
      <c r="D41" s="13" t="s">
        <v>22</v>
      </c>
      <c r="E41" s="56">
        <f>E40*(1+A40)</f>
        <v>113.64263437993947</v>
      </c>
      <c r="F41" s="13">
        <v>1000</v>
      </c>
      <c r="G41" s="56">
        <f>F41*E41</f>
        <v>113642.63437993947</v>
      </c>
      <c r="I41" s="56">
        <f>G41-G40</f>
        <v>3821.9011982242955</v>
      </c>
      <c r="J41" s="56">
        <f>I41*$C$4</f>
        <v>1169.119576536812</v>
      </c>
      <c r="K41" s="56">
        <f>I41-J41</f>
        <v>2652.7816216874835</v>
      </c>
      <c r="L41" s="28"/>
      <c r="M41" s="112"/>
      <c r="N41" s="19">
        <v>43464</v>
      </c>
      <c r="O41" s="13" t="s">
        <v>22</v>
      </c>
      <c r="P41" s="56">
        <f>P40*(1+A40)</f>
        <v>118.29153029265503</v>
      </c>
      <c r="Q41" s="13">
        <v>1000</v>
      </c>
      <c r="R41" s="56">
        <f>Q41*P41</f>
        <v>118291.53029265502</v>
      </c>
      <c r="T41" s="56">
        <f>R41-R40</f>
        <v>3978.2476341915026</v>
      </c>
      <c r="U41" s="56">
        <v>0</v>
      </c>
      <c r="V41" s="56">
        <f>T41-U41</f>
        <v>3978.2476341915026</v>
      </c>
      <c r="AD41" s="14"/>
    </row>
    <row r="42" spans="1:30" x14ac:dyDescent="0.2">
      <c r="A42" s="66">
        <v>3.2939112690311419E-2</v>
      </c>
      <c r="B42" s="41"/>
      <c r="C42" s="41"/>
      <c r="D42" s="41"/>
      <c r="E42" s="56"/>
      <c r="F42" s="41"/>
      <c r="G42" s="56"/>
      <c r="I42" s="56"/>
      <c r="J42" s="56"/>
      <c r="K42" s="56"/>
      <c r="L42" s="28"/>
      <c r="P42" s="56"/>
      <c r="R42" s="56"/>
      <c r="T42" s="56"/>
      <c r="U42" s="56"/>
      <c r="V42" s="56"/>
    </row>
    <row r="43" spans="1:30" x14ac:dyDescent="0.2">
      <c r="A43" s="66">
        <v>4.7565535081876199E-2</v>
      </c>
      <c r="B43" s="112">
        <v>5</v>
      </c>
      <c r="C43" s="17">
        <v>43101</v>
      </c>
      <c r="D43" s="13" t="s">
        <v>20</v>
      </c>
      <c r="E43" s="56">
        <f>G43/1000</f>
        <v>112.47351480340265</v>
      </c>
      <c r="F43" s="13">
        <v>1000</v>
      </c>
      <c r="G43" s="56">
        <f>G41-J41</f>
        <v>112473.51480340265</v>
      </c>
      <c r="I43" s="56"/>
      <c r="J43" s="56"/>
      <c r="K43" s="56"/>
      <c r="L43" s="28"/>
      <c r="M43" s="112">
        <v>5</v>
      </c>
      <c r="N43" s="19">
        <v>43101</v>
      </c>
      <c r="O43" s="13" t="s">
        <v>20</v>
      </c>
      <c r="P43" s="56">
        <f>R43/1000</f>
        <v>118.29153029265503</v>
      </c>
      <c r="Q43" s="13">
        <v>1000</v>
      </c>
      <c r="R43" s="56">
        <f>R41-U41</f>
        <v>118291.53029265502</v>
      </c>
      <c r="T43" s="56"/>
      <c r="U43" s="56"/>
      <c r="V43" s="56"/>
    </row>
    <row r="44" spans="1:30" x14ac:dyDescent="0.2">
      <c r="A44" s="66">
        <v>3.2939112690311419E-2</v>
      </c>
      <c r="B44" s="112"/>
      <c r="C44" s="17">
        <v>43464</v>
      </c>
      <c r="D44" s="13" t="s">
        <v>22</v>
      </c>
      <c r="E44" s="56">
        <f>E43*(1+A43)</f>
        <v>117.82337771756582</v>
      </c>
      <c r="F44" s="13">
        <v>1000</v>
      </c>
      <c r="G44" s="56">
        <f>F44*E44</f>
        <v>117823.37771756582</v>
      </c>
      <c r="I44" s="56">
        <f>G44-G43</f>
        <v>5349.8629141631682</v>
      </c>
      <c r="J44" s="56">
        <f>I44*$C$4</f>
        <v>1636.5230654425131</v>
      </c>
      <c r="K44" s="56">
        <f>I44-J44</f>
        <v>3713.339848720655</v>
      </c>
      <c r="L44" s="28"/>
      <c r="M44" s="112"/>
      <c r="N44" s="19">
        <v>43464</v>
      </c>
      <c r="O44" s="13" t="s">
        <v>22</v>
      </c>
      <c r="P44" s="56">
        <f>P43*(1+A43)</f>
        <v>123.91813022667912</v>
      </c>
      <c r="Q44" s="13">
        <v>1000</v>
      </c>
      <c r="R44" s="56">
        <f>Q44*P44</f>
        <v>123918.13022667913</v>
      </c>
      <c r="T44" s="56">
        <f>R44-R43</f>
        <v>5626.5999340241106</v>
      </c>
      <c r="U44" s="56">
        <v>0</v>
      </c>
      <c r="V44" s="56">
        <f>T44-U44</f>
        <v>5626.5999340241106</v>
      </c>
    </row>
    <row r="45" spans="1:30" x14ac:dyDescent="0.2">
      <c r="A45" s="66">
        <v>3.2939112690311419E-2</v>
      </c>
      <c r="B45" s="41"/>
      <c r="C45" s="41"/>
      <c r="D45" s="41"/>
      <c r="E45" s="56"/>
      <c r="F45" s="41"/>
      <c r="G45" s="56"/>
      <c r="I45" s="56"/>
      <c r="J45" s="56"/>
      <c r="K45" s="56"/>
      <c r="L45" s="28"/>
      <c r="P45" s="56"/>
      <c r="R45" s="56"/>
      <c r="T45" s="56"/>
      <c r="U45" s="56"/>
      <c r="V45" s="56"/>
    </row>
    <row r="46" spans="1:30" x14ac:dyDescent="0.2">
      <c r="A46" s="66">
        <v>-5.6594592782321859E-3</v>
      </c>
      <c r="B46" s="112">
        <v>6</v>
      </c>
      <c r="C46" s="17">
        <v>43101</v>
      </c>
      <c r="D46" s="13" t="s">
        <v>20</v>
      </c>
      <c r="E46" s="56">
        <f>G46/1000</f>
        <v>116.1868546521233</v>
      </c>
      <c r="F46" s="13">
        <v>1000</v>
      </c>
      <c r="G46" s="56">
        <f>G44-J44</f>
        <v>116186.85465212331</v>
      </c>
      <c r="I46" s="56"/>
      <c r="J46" s="56"/>
      <c r="K46" s="56"/>
      <c r="L46" s="28"/>
      <c r="M46" s="112">
        <v>6</v>
      </c>
      <c r="N46" s="19">
        <v>43101</v>
      </c>
      <c r="O46" s="13" t="s">
        <v>20</v>
      </c>
      <c r="P46" s="56">
        <f>R46/1000</f>
        <v>123.91813022667912</v>
      </c>
      <c r="Q46" s="13">
        <v>1000</v>
      </c>
      <c r="R46" s="56">
        <f>R44-U44</f>
        <v>123918.13022667913</v>
      </c>
      <c r="T46" s="56"/>
      <c r="U46" s="56"/>
      <c r="V46" s="56"/>
    </row>
    <row r="47" spans="1:30" x14ac:dyDescent="0.2">
      <c r="A47" s="66">
        <v>3.2939112690311419E-2</v>
      </c>
      <c r="B47" s="112"/>
      <c r="C47" s="17">
        <v>43464</v>
      </c>
      <c r="D47" s="13" t="s">
        <v>22</v>
      </c>
      <c r="E47" s="56">
        <f>E46*(1+A46)</f>
        <v>115.52929987955373</v>
      </c>
      <c r="F47" s="13">
        <v>1000</v>
      </c>
      <c r="G47" s="56">
        <f>F47*E47</f>
        <v>115529.29987955373</v>
      </c>
      <c r="I47" s="56">
        <f>G47-G46</f>
        <v>-657.55477256957965</v>
      </c>
      <c r="J47" s="56">
        <f>I47*$C$4</f>
        <v>-201.14600492903443</v>
      </c>
      <c r="K47" s="56">
        <f>I47-J47</f>
        <v>-456.40876764054519</v>
      </c>
      <c r="L47" s="28"/>
      <c r="M47" s="112"/>
      <c r="N47" s="19">
        <v>43464</v>
      </c>
      <c r="O47" s="13" t="s">
        <v>22</v>
      </c>
      <c r="P47" s="56">
        <f>P46*(1+A46)</f>
        <v>123.21682061482656</v>
      </c>
      <c r="Q47" s="13">
        <v>1000</v>
      </c>
      <c r="R47" s="56">
        <f>Q47*P47</f>
        <v>123216.82061482656</v>
      </c>
      <c r="T47" s="56">
        <f>R47-R46</f>
        <v>-701.30961185257183</v>
      </c>
      <c r="U47" s="56">
        <v>0</v>
      </c>
      <c r="V47" s="56">
        <f>T47-U47</f>
        <v>-701.30961185257183</v>
      </c>
    </row>
    <row r="48" spans="1:30" x14ac:dyDescent="0.2">
      <c r="A48" s="66">
        <v>3.2939112690311419E-2</v>
      </c>
      <c r="B48" s="41"/>
      <c r="C48" s="41"/>
      <c r="D48" s="41"/>
      <c r="E48" s="56"/>
      <c r="F48" s="41"/>
      <c r="G48" s="56"/>
      <c r="I48" s="56"/>
      <c r="J48" s="56"/>
      <c r="K48" s="56"/>
      <c r="L48" s="28"/>
      <c r="P48" s="56"/>
      <c r="R48" s="56"/>
      <c r="T48" s="56"/>
      <c r="U48" s="56"/>
      <c r="V48" s="56"/>
    </row>
    <row r="49" spans="1:22" x14ac:dyDescent="0.2">
      <c r="A49" s="66">
        <v>1.0486070886077373E-2</v>
      </c>
      <c r="B49" s="112">
        <v>7</v>
      </c>
      <c r="C49" s="17">
        <v>43101</v>
      </c>
      <c r="D49" s="13" t="s">
        <v>20</v>
      </c>
      <c r="E49" s="56">
        <f>G49/1000</f>
        <v>115.73044588448276</v>
      </c>
      <c r="F49" s="13">
        <v>1000</v>
      </c>
      <c r="G49" s="56">
        <f>G47-J47</f>
        <v>115730.44588448276</v>
      </c>
      <c r="I49" s="56"/>
      <c r="J49" s="56"/>
      <c r="K49" s="56"/>
      <c r="L49" s="28"/>
      <c r="M49" s="112">
        <v>7</v>
      </c>
      <c r="N49" s="19">
        <v>43101</v>
      </c>
      <c r="O49" s="13" t="s">
        <v>20</v>
      </c>
      <c r="P49" s="56">
        <f>R49/1000</f>
        <v>123.21682061482656</v>
      </c>
      <c r="Q49" s="13">
        <v>1000</v>
      </c>
      <c r="R49" s="56">
        <f>R47-U47</f>
        <v>123216.82061482656</v>
      </c>
      <c r="T49" s="56"/>
      <c r="U49" s="56"/>
      <c r="V49" s="56"/>
    </row>
    <row r="50" spans="1:22" x14ac:dyDescent="0.2">
      <c r="A50" s="66">
        <v>3.2939112690311419E-2</v>
      </c>
      <c r="B50" s="112"/>
      <c r="C50" s="17">
        <v>43464</v>
      </c>
      <c r="D50" s="13" t="s">
        <v>22</v>
      </c>
      <c r="E50" s="56">
        <f>E49*(1+A49)</f>
        <v>116.9440035437048</v>
      </c>
      <c r="F50" s="13">
        <v>1000</v>
      </c>
      <c r="G50" s="56">
        <f>F50*E50</f>
        <v>116944.00354370479</v>
      </c>
      <c r="I50" s="56">
        <f>G50-G49</f>
        <v>1213.5576592220314</v>
      </c>
      <c r="J50" s="56">
        <f>I50*$C$4</f>
        <v>371.22728795601938</v>
      </c>
      <c r="K50" s="56">
        <f>I50-J50</f>
        <v>842.33037126601198</v>
      </c>
      <c r="L50" s="28"/>
      <c r="M50" s="112"/>
      <c r="N50" s="19">
        <v>43464</v>
      </c>
      <c r="O50" s="13" t="s">
        <v>22</v>
      </c>
      <c r="P50" s="56">
        <f>P49*(1+A49)</f>
        <v>124.50888093015072</v>
      </c>
      <c r="Q50" s="13">
        <v>1000</v>
      </c>
      <c r="R50" s="56">
        <f>Q50*P50</f>
        <v>124508.88093015073</v>
      </c>
      <c r="T50" s="56">
        <f>R50-R49</f>
        <v>1292.0603153241682</v>
      </c>
      <c r="U50" s="56">
        <v>0</v>
      </c>
      <c r="V50" s="56">
        <f>T50-U50</f>
        <v>1292.0603153241682</v>
      </c>
    </row>
    <row r="51" spans="1:22" x14ac:dyDescent="0.2">
      <c r="A51" s="66">
        <v>3.2939112690311419E-2</v>
      </c>
      <c r="B51" s="41"/>
      <c r="C51" s="41"/>
      <c r="D51" s="41"/>
      <c r="E51" s="56"/>
      <c r="F51" s="41"/>
      <c r="G51" s="56"/>
      <c r="I51" s="56"/>
      <c r="J51" s="56"/>
      <c r="K51" s="56"/>
      <c r="L51" s="28"/>
      <c r="P51" s="56"/>
      <c r="R51" s="56"/>
      <c r="T51" s="56"/>
      <c r="U51" s="56"/>
      <c r="V51" s="56"/>
    </row>
    <row r="52" spans="1:22" x14ac:dyDescent="0.2">
      <c r="A52" s="66">
        <v>0.1</v>
      </c>
      <c r="B52" s="112">
        <v>8</v>
      </c>
      <c r="C52" s="17">
        <v>43101</v>
      </c>
      <c r="D52" s="13" t="s">
        <v>20</v>
      </c>
      <c r="E52" s="56">
        <f>G52/1000</f>
        <v>116.57277625574878</v>
      </c>
      <c r="F52" s="13">
        <v>1000</v>
      </c>
      <c r="G52" s="56">
        <f>G50-J50</f>
        <v>116572.77625574877</v>
      </c>
      <c r="I52" s="56"/>
      <c r="J52" s="56"/>
      <c r="K52" s="56"/>
      <c r="L52" s="28"/>
      <c r="M52" s="112">
        <v>8</v>
      </c>
      <c r="N52" s="19">
        <v>43101</v>
      </c>
      <c r="O52" s="13" t="s">
        <v>20</v>
      </c>
      <c r="P52" s="56">
        <f>R52/1000</f>
        <v>124.50888093015072</v>
      </c>
      <c r="Q52" s="13">
        <v>1000</v>
      </c>
      <c r="R52" s="56">
        <f>R50-U50</f>
        <v>124508.88093015073</v>
      </c>
      <c r="T52" s="56"/>
      <c r="U52" s="56"/>
      <c r="V52" s="56"/>
    </row>
    <row r="53" spans="1:22" x14ac:dyDescent="0.2">
      <c r="A53" s="66">
        <v>3.2939112690311419E-2</v>
      </c>
      <c r="B53" s="112"/>
      <c r="C53" s="17">
        <v>43464</v>
      </c>
      <c r="D53" s="13" t="s">
        <v>22</v>
      </c>
      <c r="E53" s="56">
        <f>E52*(1+A52)</f>
        <v>128.23005388132367</v>
      </c>
      <c r="F53" s="13">
        <v>1000</v>
      </c>
      <c r="G53" s="56">
        <f>F53*E53</f>
        <v>128230.05388132366</v>
      </c>
      <c r="I53" s="56">
        <f>G53-G52</f>
        <v>11657.27762557489</v>
      </c>
      <c r="J53" s="56">
        <f>I53*$C$4</f>
        <v>3565.9612256633591</v>
      </c>
      <c r="K53" s="56">
        <f>I53-J53</f>
        <v>8091.3163999115313</v>
      </c>
      <c r="L53" s="28"/>
      <c r="M53" s="112"/>
      <c r="N53" s="19">
        <v>43464</v>
      </c>
      <c r="O53" s="13" t="s">
        <v>22</v>
      </c>
      <c r="P53" s="56">
        <f>P52*(1+A52)</f>
        <v>136.95976902316582</v>
      </c>
      <c r="Q53" s="13">
        <v>1000</v>
      </c>
      <c r="R53" s="56">
        <f>Q53*P53</f>
        <v>136959.76902316581</v>
      </c>
      <c r="T53" s="56">
        <f>R53-R52</f>
        <v>12450.888093015077</v>
      </c>
      <c r="U53" s="56">
        <v>0</v>
      </c>
      <c r="V53" s="56">
        <f>T53-U53</f>
        <v>12450.888093015077</v>
      </c>
    </row>
    <row r="54" spans="1:22" x14ac:dyDescent="0.2">
      <c r="A54" s="66">
        <v>3.2939112690311419E-2</v>
      </c>
      <c r="B54" s="41"/>
      <c r="C54" s="41"/>
      <c r="D54" s="41"/>
      <c r="E54" s="56"/>
      <c r="F54" s="41"/>
      <c r="G54" s="56"/>
      <c r="I54" s="56"/>
      <c r="J54" s="56"/>
      <c r="K54" s="56"/>
      <c r="L54" s="28"/>
      <c r="P54" s="56"/>
      <c r="R54" s="56"/>
      <c r="T54" s="56"/>
      <c r="U54" s="56"/>
      <c r="V54" s="56"/>
    </row>
    <row r="55" spans="1:22" x14ac:dyDescent="0.2">
      <c r="A55" s="66">
        <v>-1.4098955441715674E-2</v>
      </c>
      <c r="B55" s="112">
        <v>9</v>
      </c>
      <c r="C55" s="17">
        <v>43101</v>
      </c>
      <c r="D55" s="13" t="s">
        <v>20</v>
      </c>
      <c r="E55" s="56">
        <f>G55/1000</f>
        <v>124.66409265566031</v>
      </c>
      <c r="F55" s="13">
        <v>1000</v>
      </c>
      <c r="G55" s="56">
        <f>G53-J53</f>
        <v>124664.09265566031</v>
      </c>
      <c r="I55" s="56"/>
      <c r="J55" s="56"/>
      <c r="K55" s="56"/>
      <c r="L55" s="28"/>
      <c r="M55" s="112">
        <v>9</v>
      </c>
      <c r="N55" s="19">
        <v>43101</v>
      </c>
      <c r="O55" s="13" t="s">
        <v>20</v>
      </c>
      <c r="P55" s="56">
        <f>R55/1000</f>
        <v>136.95976902316582</v>
      </c>
      <c r="Q55" s="13">
        <v>1000</v>
      </c>
      <c r="R55" s="56">
        <f>R53-U53</f>
        <v>136959.76902316581</v>
      </c>
      <c r="T55" s="56"/>
      <c r="U55" s="56"/>
      <c r="V55" s="56"/>
    </row>
    <row r="56" spans="1:22" x14ac:dyDescent="0.2">
      <c r="A56" s="66">
        <v>3.2939112690311419E-2</v>
      </c>
      <c r="B56" s="112"/>
      <c r="C56" s="17">
        <v>43464</v>
      </c>
      <c r="D56" s="13" t="s">
        <v>22</v>
      </c>
      <c r="E56" s="56">
        <f>E55*(1+A55)</f>
        <v>122.90645916812625</v>
      </c>
      <c r="F56" s="13">
        <v>1000</v>
      </c>
      <c r="G56" s="56">
        <f>F56*E56</f>
        <v>122906.45916812625</v>
      </c>
      <c r="I56" s="56">
        <f>G56-G55</f>
        <v>-1757.6334875340544</v>
      </c>
      <c r="J56" s="56">
        <f>I56*$C$4</f>
        <v>-537.66008383666724</v>
      </c>
      <c r="K56" s="56">
        <f>I56-J56</f>
        <v>-1219.9734036973873</v>
      </c>
      <c r="L56" s="28"/>
      <c r="M56" s="112"/>
      <c r="N56" s="19">
        <v>43464</v>
      </c>
      <c r="O56" s="13" t="s">
        <v>22</v>
      </c>
      <c r="P56" s="56">
        <f>P55*(1+A55)</f>
        <v>135.02877934240053</v>
      </c>
      <c r="Q56" s="13">
        <v>1000</v>
      </c>
      <c r="R56" s="56">
        <f>Q56*P56</f>
        <v>135028.77934240052</v>
      </c>
      <c r="T56" s="56">
        <f>R56-R55</f>
        <v>-1930.989680765284</v>
      </c>
      <c r="U56" s="56">
        <v>0</v>
      </c>
      <c r="V56" s="56">
        <f>T56-U56</f>
        <v>-1930.989680765284</v>
      </c>
    </row>
    <row r="57" spans="1:22" x14ac:dyDescent="0.2">
      <c r="A57" s="66">
        <v>3.2939112690311419E-2</v>
      </c>
      <c r="B57" s="41"/>
      <c r="C57" s="41"/>
      <c r="D57" s="41"/>
      <c r="E57" s="56"/>
      <c r="F57" s="41"/>
      <c r="G57" s="56"/>
      <c r="I57" s="56"/>
      <c r="J57" s="56"/>
      <c r="K57" s="56"/>
      <c r="L57" s="28"/>
      <c r="P57" s="56"/>
      <c r="R57" s="56"/>
      <c r="T57" s="56"/>
      <c r="U57" s="56"/>
      <c r="V57" s="56"/>
    </row>
    <row r="58" spans="1:22" x14ac:dyDescent="0.2">
      <c r="A58" s="66">
        <v>-5.5273608912778861E-2</v>
      </c>
      <c r="B58" s="112">
        <v>10</v>
      </c>
      <c r="C58" s="17">
        <v>43101</v>
      </c>
      <c r="D58" s="13" t="s">
        <v>20</v>
      </c>
      <c r="E58" s="56">
        <f>G58/1000</f>
        <v>123.44411925196293</v>
      </c>
      <c r="F58" s="13">
        <v>1000</v>
      </c>
      <c r="G58" s="56">
        <f>G56-J56</f>
        <v>123444.11925196293</v>
      </c>
      <c r="I58" s="56"/>
      <c r="J58" s="56"/>
      <c r="K58" s="56"/>
      <c r="L58" s="28"/>
      <c r="M58" s="112">
        <v>10</v>
      </c>
      <c r="N58" s="19">
        <v>43101</v>
      </c>
      <c r="O58" s="13" t="s">
        <v>20</v>
      </c>
      <c r="P58" s="56">
        <f>R58/1000</f>
        <v>135.02877934240053</v>
      </c>
      <c r="Q58" s="13">
        <v>1000</v>
      </c>
      <c r="R58" s="56">
        <f>R56-U56</f>
        <v>135028.77934240052</v>
      </c>
      <c r="T58" s="56"/>
      <c r="U58" s="56"/>
      <c r="V58" s="56"/>
    </row>
    <row r="59" spans="1:22" x14ac:dyDescent="0.2">
      <c r="A59" s="66">
        <v>3.2939112690311419E-2</v>
      </c>
      <c r="B59" s="112"/>
      <c r="C59" s="17">
        <v>43464</v>
      </c>
      <c r="D59" s="13" t="s">
        <v>22</v>
      </c>
      <c r="E59" s="56">
        <f>E58*(1+A58)</f>
        <v>116.6209172818475</v>
      </c>
      <c r="F59" s="13">
        <v>1000</v>
      </c>
      <c r="G59" s="56">
        <f>F59*E59</f>
        <v>116620.91728184749</v>
      </c>
      <c r="I59" s="56">
        <f>G59-G58</f>
        <v>-6823.201970115435</v>
      </c>
      <c r="J59" s="56">
        <f>I59*$C$4</f>
        <v>-2087.2174826583114</v>
      </c>
      <c r="K59" s="56">
        <f>I59-J59</f>
        <v>-4735.9844874571236</v>
      </c>
      <c r="L59" s="28"/>
      <c r="M59" s="112"/>
      <c r="N59" s="19">
        <v>43464</v>
      </c>
      <c r="O59" s="13" t="s">
        <v>22</v>
      </c>
      <c r="P59" s="56">
        <f>P58*(1+A58)</f>
        <v>127.56525140105876</v>
      </c>
      <c r="Q59" s="13">
        <v>1000</v>
      </c>
      <c r="R59" s="56">
        <f>Q59*P59</f>
        <v>127565.25140105876</v>
      </c>
      <c r="T59" s="56">
        <f>R59-R58</f>
        <v>-7463.5279413417593</v>
      </c>
      <c r="U59" s="56">
        <v>0</v>
      </c>
      <c r="V59" s="56">
        <f>T59-U59</f>
        <v>-7463.5279413417593</v>
      </c>
    </row>
    <row r="60" spans="1:22" x14ac:dyDescent="0.2">
      <c r="A60" s="66">
        <v>3.2939112690311419E-2</v>
      </c>
      <c r="B60" s="41"/>
      <c r="C60" s="41"/>
      <c r="D60" s="41"/>
      <c r="E60" s="56"/>
      <c r="F60" s="41"/>
      <c r="G60" s="56"/>
      <c r="I60" s="56"/>
      <c r="J60" s="56"/>
      <c r="K60" s="56"/>
      <c r="L60" s="28"/>
      <c r="P60" s="56"/>
      <c r="R60" s="56"/>
      <c r="T60" s="56"/>
      <c r="U60" s="56"/>
      <c r="V60" s="56"/>
    </row>
    <row r="61" spans="1:22" x14ac:dyDescent="0.2">
      <c r="A61" s="66">
        <v>8.4155993551616556E-2</v>
      </c>
      <c r="B61" s="112">
        <v>11</v>
      </c>
      <c r="C61" s="17">
        <v>43101</v>
      </c>
      <c r="D61" s="13" t="s">
        <v>20</v>
      </c>
      <c r="E61" s="56">
        <f>G61/1000</f>
        <v>118.7081347645058</v>
      </c>
      <c r="F61" s="13">
        <v>1000</v>
      </c>
      <c r="G61" s="56">
        <f>G59-J59</f>
        <v>118708.1347645058</v>
      </c>
      <c r="I61" s="56"/>
      <c r="J61" s="56"/>
      <c r="K61" s="56"/>
      <c r="L61" s="28"/>
      <c r="M61" s="112">
        <v>11</v>
      </c>
      <c r="N61" s="19">
        <v>43101</v>
      </c>
      <c r="O61" s="13" t="s">
        <v>20</v>
      </c>
      <c r="P61" s="56">
        <f>R61/1000</f>
        <v>127.56525140105876</v>
      </c>
      <c r="Q61" s="13">
        <v>1000</v>
      </c>
      <c r="R61" s="56">
        <f>R59-U59</f>
        <v>127565.25140105876</v>
      </c>
      <c r="T61" s="56"/>
      <c r="U61" s="56"/>
      <c r="V61" s="56"/>
    </row>
    <row r="62" spans="1:22" x14ac:dyDescent="0.2">
      <c r="A62" s="66">
        <v>3.2939112690311419E-2</v>
      </c>
      <c r="B62" s="112"/>
      <c r="C62" s="17">
        <v>43464</v>
      </c>
      <c r="D62" s="13" t="s">
        <v>22</v>
      </c>
      <c r="E62" s="56">
        <f>E61*(1+A61)</f>
        <v>128.69813578827197</v>
      </c>
      <c r="F62" s="13">
        <v>1000</v>
      </c>
      <c r="G62" s="56">
        <f>F62*E62</f>
        <v>128698.13578827197</v>
      </c>
      <c r="I62" s="56">
        <f>G62-G61</f>
        <v>9990.0010237661772</v>
      </c>
      <c r="J62" s="56">
        <f>I62*$C$4</f>
        <v>3055.9413131700735</v>
      </c>
      <c r="K62" s="56">
        <f>I62-J62</f>
        <v>6934.0597105961042</v>
      </c>
      <c r="L62" s="28"/>
      <c r="M62" s="112"/>
      <c r="N62" s="19">
        <v>43464</v>
      </c>
      <c r="O62" s="13" t="s">
        <v>22</v>
      </c>
      <c r="P62" s="56">
        <f>P61*(1+A61)</f>
        <v>138.30063187537661</v>
      </c>
      <c r="Q62" s="13">
        <v>1000</v>
      </c>
      <c r="R62" s="56">
        <f>Q62*P62</f>
        <v>138300.6318753766</v>
      </c>
      <c r="T62" s="56">
        <f>R62-R61</f>
        <v>10735.380474317833</v>
      </c>
      <c r="U62" s="56">
        <v>0</v>
      </c>
      <c r="V62" s="56">
        <f>T62-U62</f>
        <v>10735.380474317833</v>
      </c>
    </row>
    <row r="63" spans="1:22" x14ac:dyDescent="0.2">
      <c r="A63" s="66">
        <v>3.2939112690311419E-2</v>
      </c>
      <c r="B63" s="41"/>
      <c r="C63" s="41"/>
      <c r="D63" s="41"/>
      <c r="E63" s="56"/>
      <c r="F63" s="41"/>
      <c r="G63" s="56"/>
      <c r="I63" s="56"/>
      <c r="J63" s="56"/>
      <c r="K63" s="56"/>
      <c r="L63" s="28"/>
      <c r="P63" s="56"/>
      <c r="R63" s="56"/>
      <c r="T63" s="56"/>
      <c r="U63" s="56"/>
      <c r="V63" s="56"/>
    </row>
    <row r="64" spans="1:22" x14ac:dyDescent="0.2">
      <c r="A64" s="66">
        <v>0.1</v>
      </c>
      <c r="B64" s="112">
        <v>12</v>
      </c>
      <c r="C64" s="17">
        <v>43101</v>
      </c>
      <c r="D64" s="13" t="s">
        <v>20</v>
      </c>
      <c r="E64" s="56">
        <f>G64/1000</f>
        <v>125.6421944751019</v>
      </c>
      <c r="F64" s="13">
        <v>1000</v>
      </c>
      <c r="G64" s="56">
        <f>G62-J62</f>
        <v>125642.1944751019</v>
      </c>
      <c r="I64" s="56"/>
      <c r="J64" s="56"/>
      <c r="K64" s="56"/>
      <c r="L64" s="28"/>
      <c r="M64" s="112">
        <v>12</v>
      </c>
      <c r="N64" s="19">
        <v>43101</v>
      </c>
      <c r="O64" s="13" t="s">
        <v>20</v>
      </c>
      <c r="P64" s="56">
        <f>R64/1000</f>
        <v>138.30063187537661</v>
      </c>
      <c r="Q64" s="13">
        <v>1000</v>
      </c>
      <c r="R64" s="56">
        <f>R62-U62</f>
        <v>138300.6318753766</v>
      </c>
      <c r="T64" s="56"/>
      <c r="U64" s="56"/>
      <c r="V64" s="56"/>
    </row>
    <row r="65" spans="1:22" x14ac:dyDescent="0.2">
      <c r="A65" s="66">
        <v>3.2939112690311419E-2</v>
      </c>
      <c r="B65" s="112"/>
      <c r="C65" s="17">
        <v>43464</v>
      </c>
      <c r="D65" s="13" t="s">
        <v>22</v>
      </c>
      <c r="E65" s="56">
        <f>E64*(1+A64)</f>
        <v>138.20641392261211</v>
      </c>
      <c r="F65" s="13">
        <v>1000</v>
      </c>
      <c r="G65" s="56">
        <f>F65*E65</f>
        <v>138206.41392261212</v>
      </c>
      <c r="I65" s="56">
        <f>G65-G64</f>
        <v>12564.219447510215</v>
      </c>
      <c r="J65" s="56">
        <f>I65*$C$4</f>
        <v>3843.3947289933749</v>
      </c>
      <c r="K65" s="56">
        <f>I65-J65</f>
        <v>8720.8247185168402</v>
      </c>
      <c r="L65" s="28"/>
      <c r="M65" s="112"/>
      <c r="N65" s="19">
        <v>43464</v>
      </c>
      <c r="O65" s="13" t="s">
        <v>22</v>
      </c>
      <c r="P65" s="56">
        <f>P64*(1+A64)</f>
        <v>152.13069506291427</v>
      </c>
      <c r="Q65" s="13">
        <v>1000</v>
      </c>
      <c r="R65" s="56">
        <f>Q65*P65</f>
        <v>152130.69506291428</v>
      </c>
      <c r="T65" s="56">
        <f>R65-R64</f>
        <v>13830.063187537686</v>
      </c>
      <c r="U65" s="56">
        <v>0</v>
      </c>
      <c r="V65" s="56">
        <f>T65-U65</f>
        <v>13830.063187537686</v>
      </c>
    </row>
    <row r="66" spans="1:22" x14ac:dyDescent="0.2">
      <c r="A66" s="66">
        <v>3.2939112690311419E-2</v>
      </c>
      <c r="B66" s="41"/>
      <c r="C66" s="41"/>
      <c r="D66" s="41"/>
      <c r="E66" s="56"/>
      <c r="F66" s="41"/>
      <c r="G66" s="56"/>
      <c r="I66" s="56"/>
      <c r="J66" s="56"/>
      <c r="K66" s="56"/>
      <c r="L66" s="28"/>
      <c r="P66" s="56"/>
      <c r="R66" s="56"/>
      <c r="T66" s="56"/>
      <c r="U66" s="56"/>
      <c r="V66" s="56"/>
    </row>
    <row r="67" spans="1:22" x14ac:dyDescent="0.2">
      <c r="A67" s="66">
        <v>3.0605844305707043E-2</v>
      </c>
      <c r="B67" s="112">
        <v>13</v>
      </c>
      <c r="C67" s="19">
        <v>43101</v>
      </c>
      <c r="D67" s="13" t="s">
        <v>20</v>
      </c>
      <c r="E67" s="56">
        <f>G67/1000</f>
        <v>134.36301919361873</v>
      </c>
      <c r="F67" s="13">
        <v>1000</v>
      </c>
      <c r="G67" s="56">
        <f>G65-J65</f>
        <v>134363.01919361873</v>
      </c>
      <c r="I67" s="56"/>
      <c r="J67" s="56"/>
      <c r="K67" s="56"/>
      <c r="L67" s="28"/>
      <c r="M67" s="112">
        <v>13</v>
      </c>
      <c r="N67" s="19">
        <v>43101</v>
      </c>
      <c r="O67" s="13" t="s">
        <v>20</v>
      </c>
      <c r="P67" s="56">
        <f>R67/1000</f>
        <v>152.13069506291427</v>
      </c>
      <c r="Q67" s="13">
        <v>1000</v>
      </c>
      <c r="R67" s="56">
        <f>R65-U65</f>
        <v>152130.69506291428</v>
      </c>
      <c r="T67" s="56"/>
      <c r="U67" s="56"/>
      <c r="V67" s="56"/>
    </row>
    <row r="68" spans="1:22" x14ac:dyDescent="0.2">
      <c r="A68" s="66">
        <v>3.2939112690311419E-2</v>
      </c>
      <c r="B68" s="112"/>
      <c r="C68" s="19">
        <v>43464</v>
      </c>
      <c r="D68" s="13" t="s">
        <v>22</v>
      </c>
      <c r="E68" s="56">
        <f>E67*(1+A67)</f>
        <v>138.47531283950335</v>
      </c>
      <c r="F68" s="13">
        <v>1000</v>
      </c>
      <c r="G68" s="56">
        <f>F68*E68</f>
        <v>138475.31283950334</v>
      </c>
      <c r="I68" s="56">
        <f>G68-G67</f>
        <v>4112.2936458846088</v>
      </c>
      <c r="J68" s="56">
        <f>I68*$C$4</f>
        <v>1257.950626276102</v>
      </c>
      <c r="K68" s="56">
        <f>I68-J68</f>
        <v>2854.3430196085069</v>
      </c>
      <c r="L68" s="28"/>
      <c r="M68" s="112"/>
      <c r="N68" s="19">
        <v>43464</v>
      </c>
      <c r="O68" s="13" t="s">
        <v>22</v>
      </c>
      <c r="P68" s="56">
        <f>P67*(1+A67)</f>
        <v>156.78678343012882</v>
      </c>
      <c r="Q68" s="13">
        <v>1000</v>
      </c>
      <c r="R68" s="56">
        <f>Q68*P68</f>
        <v>156786.78343012882</v>
      </c>
      <c r="T68" s="56">
        <f>R68-R67</f>
        <v>4656.0883672145428</v>
      </c>
      <c r="U68" s="56">
        <v>0</v>
      </c>
      <c r="V68" s="56">
        <f>T68-U68</f>
        <v>4656.0883672145428</v>
      </c>
    </row>
    <row r="69" spans="1:22" x14ac:dyDescent="0.2">
      <c r="A69" s="66">
        <v>3.2939112690311419E-2</v>
      </c>
      <c r="B69" s="41"/>
      <c r="C69" s="41"/>
      <c r="D69" s="41"/>
      <c r="E69" s="56"/>
      <c r="F69" s="41"/>
      <c r="G69" s="56"/>
      <c r="I69" s="56"/>
      <c r="J69" s="56"/>
      <c r="K69" s="56"/>
      <c r="L69" s="28"/>
      <c r="P69" s="56"/>
      <c r="R69" s="56"/>
      <c r="T69" s="56"/>
      <c r="U69" s="56"/>
      <c r="V69" s="56"/>
    </row>
    <row r="70" spans="1:22" x14ac:dyDescent="0.2">
      <c r="A70" s="66">
        <v>0.1</v>
      </c>
      <c r="B70" s="112">
        <v>14</v>
      </c>
      <c r="C70" s="19">
        <v>43101</v>
      </c>
      <c r="D70" s="13" t="s">
        <v>20</v>
      </c>
      <c r="E70" s="56">
        <f>G70/1000</f>
        <v>137.21736221322723</v>
      </c>
      <c r="F70" s="13">
        <v>1000</v>
      </c>
      <c r="G70" s="56">
        <f>G68-J68</f>
        <v>137217.36221322723</v>
      </c>
      <c r="I70" s="56"/>
      <c r="J70" s="56"/>
      <c r="K70" s="56"/>
      <c r="L70" s="28"/>
      <c r="M70" s="112">
        <v>14</v>
      </c>
      <c r="N70" s="19">
        <v>43101</v>
      </c>
      <c r="O70" s="13" t="s">
        <v>20</v>
      </c>
      <c r="P70" s="56">
        <f>R70/1000</f>
        <v>156.78678343012882</v>
      </c>
      <c r="Q70" s="13">
        <v>1000</v>
      </c>
      <c r="R70" s="56">
        <f>R68-U68</f>
        <v>156786.78343012882</v>
      </c>
      <c r="T70" s="56"/>
      <c r="U70" s="56"/>
      <c r="V70" s="56"/>
    </row>
    <row r="71" spans="1:22" x14ac:dyDescent="0.2">
      <c r="A71" s="66">
        <v>3.2939112690311419E-2</v>
      </c>
      <c r="B71" s="112"/>
      <c r="C71" s="19">
        <v>43464</v>
      </c>
      <c r="D71" s="13" t="s">
        <v>22</v>
      </c>
      <c r="E71" s="56">
        <f>E70*(1+A70)</f>
        <v>150.93909843454998</v>
      </c>
      <c r="F71" s="13">
        <v>1000</v>
      </c>
      <c r="G71" s="56">
        <f>F71*E71</f>
        <v>150939.09843454999</v>
      </c>
      <c r="I71" s="56">
        <f>G71-G70</f>
        <v>13721.736221322761</v>
      </c>
      <c r="J71" s="56">
        <f>I71*$C$4</f>
        <v>4197.4791101026321</v>
      </c>
      <c r="K71" s="56">
        <f>I71-J71</f>
        <v>9524.2571112201294</v>
      </c>
      <c r="L71" s="28"/>
      <c r="M71" s="112"/>
      <c r="N71" s="19">
        <v>43464</v>
      </c>
      <c r="O71" s="13" t="s">
        <v>22</v>
      </c>
      <c r="P71" s="56">
        <f>P70*(1+A70)</f>
        <v>172.46546177314173</v>
      </c>
      <c r="Q71" s="13">
        <v>1000</v>
      </c>
      <c r="R71" s="56">
        <f>Q71*P71</f>
        <v>172465.46177314172</v>
      </c>
      <c r="T71" s="56">
        <f>R71-R70</f>
        <v>15678.6783430129</v>
      </c>
      <c r="U71" s="56">
        <v>0</v>
      </c>
      <c r="V71" s="56">
        <f>T71-U71</f>
        <v>15678.6783430129</v>
      </c>
    </row>
    <row r="72" spans="1:22" x14ac:dyDescent="0.2">
      <c r="A72" s="66">
        <v>3.2939112690311419E-2</v>
      </c>
      <c r="B72" s="41"/>
      <c r="C72" s="41"/>
      <c r="D72" s="41"/>
      <c r="E72" s="56"/>
      <c r="F72" s="41"/>
      <c r="G72" s="56"/>
      <c r="I72" s="56"/>
      <c r="J72" s="56"/>
      <c r="K72" s="56"/>
      <c r="L72" s="28"/>
      <c r="P72" s="56"/>
      <c r="R72" s="56"/>
      <c r="T72" s="56"/>
      <c r="U72" s="56"/>
      <c r="V72" s="56"/>
    </row>
    <row r="73" spans="1:22" x14ac:dyDescent="0.2">
      <c r="A73" s="66">
        <v>3.789690471581688E-2</v>
      </c>
      <c r="B73" s="112">
        <v>15</v>
      </c>
      <c r="C73" s="19">
        <v>43101</v>
      </c>
      <c r="D73" s="13" t="s">
        <v>20</v>
      </c>
      <c r="E73" s="56">
        <f>G73/1000</f>
        <v>146.74161932444736</v>
      </c>
      <c r="F73" s="13">
        <v>1000</v>
      </c>
      <c r="G73" s="56">
        <f>G71-J71</f>
        <v>146741.61932444735</v>
      </c>
      <c r="I73" s="56"/>
      <c r="J73" s="56"/>
      <c r="K73" s="56"/>
      <c r="L73" s="28"/>
      <c r="M73" s="112">
        <v>15</v>
      </c>
      <c r="N73" s="19">
        <v>43101</v>
      </c>
      <c r="O73" s="13" t="s">
        <v>20</v>
      </c>
      <c r="P73" s="56">
        <f>R73/1000</f>
        <v>172.46546177314173</v>
      </c>
      <c r="Q73" s="13">
        <v>1000</v>
      </c>
      <c r="R73" s="56">
        <f>R71-U71</f>
        <v>172465.46177314172</v>
      </c>
      <c r="T73" s="56"/>
      <c r="U73" s="56"/>
      <c r="V73" s="56"/>
    </row>
    <row r="74" spans="1:22" x14ac:dyDescent="0.2">
      <c r="A74" s="66">
        <v>3.2939112690311419E-2</v>
      </c>
      <c r="B74" s="112"/>
      <c r="C74" s="19">
        <v>43464</v>
      </c>
      <c r="D74" s="13" t="s">
        <v>22</v>
      </c>
      <c r="E74" s="56">
        <f>E73*(1+A73)</f>
        <v>152.3026724898306</v>
      </c>
      <c r="F74" s="13">
        <v>1000</v>
      </c>
      <c r="G74" s="56">
        <f>F74*E74</f>
        <v>152302.67248983061</v>
      </c>
      <c r="I74" s="56">
        <f>G74-G73</f>
        <v>5561.0531653832586</v>
      </c>
      <c r="J74" s="56">
        <f>I74*$C$4</f>
        <v>1701.1261632907388</v>
      </c>
      <c r="K74" s="56">
        <f>I74-J74</f>
        <v>3859.9270020925196</v>
      </c>
      <c r="L74" s="28"/>
      <c r="M74" s="112"/>
      <c r="N74" s="19">
        <v>43464</v>
      </c>
      <c r="O74" s="13" t="s">
        <v>22</v>
      </c>
      <c r="P74" s="56">
        <f>P73*(1+A73)</f>
        <v>179.00136894472783</v>
      </c>
      <c r="Q74" s="13">
        <v>1000</v>
      </c>
      <c r="R74" s="56">
        <f>Q74*P74</f>
        <v>179001.36894472782</v>
      </c>
      <c r="T74" s="56">
        <f>R74-R73</f>
        <v>6535.9071715860919</v>
      </c>
      <c r="U74" s="56">
        <v>0</v>
      </c>
      <c r="V74" s="56">
        <f>T74-U74</f>
        <v>6535.9071715860919</v>
      </c>
    </row>
    <row r="75" spans="1:22" x14ac:dyDescent="0.2">
      <c r="A75" s="66">
        <v>3.2939112690311419E-2</v>
      </c>
      <c r="E75" s="56"/>
      <c r="G75" s="56"/>
      <c r="I75" s="56"/>
      <c r="J75" s="56"/>
      <c r="K75" s="56"/>
      <c r="L75" s="28"/>
      <c r="P75" s="56"/>
      <c r="R75" s="56"/>
      <c r="T75" s="56"/>
      <c r="U75" s="56"/>
      <c r="V75" s="56"/>
    </row>
    <row r="76" spans="1:22" x14ac:dyDescent="0.2">
      <c r="A76" s="66">
        <v>2.5044378626243362E-2</v>
      </c>
      <c r="B76" s="112">
        <v>16</v>
      </c>
      <c r="C76" s="19">
        <v>43101</v>
      </c>
      <c r="D76" s="13" t="s">
        <v>20</v>
      </c>
      <c r="E76" s="56">
        <f>G76/1000</f>
        <v>150.60154632653988</v>
      </c>
      <c r="F76" s="13">
        <v>1000</v>
      </c>
      <c r="G76" s="56">
        <f>G74-J74</f>
        <v>150601.54632653989</v>
      </c>
      <c r="I76" s="56"/>
      <c r="J76" s="56"/>
      <c r="K76" s="56"/>
      <c r="L76" s="28"/>
      <c r="M76" s="112">
        <v>16</v>
      </c>
      <c r="N76" s="19">
        <v>43101</v>
      </c>
      <c r="O76" s="13" t="s">
        <v>20</v>
      </c>
      <c r="P76" s="56">
        <f>R76/1000</f>
        <v>179.00136894472783</v>
      </c>
      <c r="Q76" s="13">
        <v>1000</v>
      </c>
      <c r="R76" s="56">
        <f>R74-U74</f>
        <v>179001.36894472782</v>
      </c>
      <c r="T76" s="56"/>
      <c r="U76" s="56"/>
      <c r="V76" s="56"/>
    </row>
    <row r="77" spans="1:22" x14ac:dyDescent="0.2">
      <c r="A77" s="66">
        <v>3.2939112690311419E-2</v>
      </c>
      <c r="B77" s="112"/>
      <c r="C77" s="19">
        <v>43464</v>
      </c>
      <c r="D77" s="13" t="s">
        <v>22</v>
      </c>
      <c r="E77" s="56">
        <f>E76*(1+A76)</f>
        <v>154.37326847443947</v>
      </c>
      <c r="F77" s="13">
        <v>1000</v>
      </c>
      <c r="G77" s="56">
        <f>F77*E77</f>
        <v>154373.26847443948</v>
      </c>
      <c r="I77" s="56">
        <f>G77-G76</f>
        <v>3771.7221478995925</v>
      </c>
      <c r="J77" s="56">
        <f>I77*$C$4</f>
        <v>1153.7698050424854</v>
      </c>
      <c r="K77" s="56">
        <f>I77-J77</f>
        <v>2617.9523428571074</v>
      </c>
      <c r="L77" s="28"/>
      <c r="M77" s="112"/>
      <c r="N77" s="19">
        <v>43464</v>
      </c>
      <c r="O77" s="13" t="s">
        <v>22</v>
      </c>
      <c r="P77" s="56">
        <f>P76*(1+A76)</f>
        <v>183.48434700319547</v>
      </c>
      <c r="Q77" s="13">
        <v>1000</v>
      </c>
      <c r="R77" s="56">
        <f>Q77*P77</f>
        <v>183484.34700319546</v>
      </c>
      <c r="T77" s="56">
        <f>R77-R76</f>
        <v>4482.9780584676482</v>
      </c>
      <c r="U77" s="56">
        <v>0</v>
      </c>
      <c r="V77" s="56">
        <f>T77-U77</f>
        <v>4482.9780584676482</v>
      </c>
    </row>
    <row r="78" spans="1:22" x14ac:dyDescent="0.2">
      <c r="A78" s="66">
        <v>3.2939112690311419E-2</v>
      </c>
      <c r="E78" s="56"/>
      <c r="G78" s="56"/>
      <c r="I78" s="56"/>
      <c r="J78" s="56"/>
      <c r="K78" s="56"/>
      <c r="L78" s="28"/>
      <c r="P78" s="56"/>
      <c r="R78" s="56"/>
      <c r="T78" s="56"/>
      <c r="U78" s="56"/>
      <c r="V78" s="56"/>
    </row>
    <row r="79" spans="1:22" x14ac:dyDescent="0.2">
      <c r="A79" s="66">
        <v>2.75634953643649E-2</v>
      </c>
      <c r="B79" s="112">
        <v>17</v>
      </c>
      <c r="C79" s="19">
        <v>43101</v>
      </c>
      <c r="D79" s="13" t="s">
        <v>20</v>
      </c>
      <c r="E79" s="56">
        <f>G79/1000</f>
        <v>153.21949866939701</v>
      </c>
      <c r="F79" s="13">
        <v>1000</v>
      </c>
      <c r="G79" s="56">
        <f>G77-J77</f>
        <v>153219.498669397</v>
      </c>
      <c r="I79" s="56"/>
      <c r="J79" s="56"/>
      <c r="K79" s="56"/>
      <c r="L79" s="28"/>
      <c r="M79" s="112">
        <v>17</v>
      </c>
      <c r="N79" s="19">
        <v>43101</v>
      </c>
      <c r="O79" s="13" t="s">
        <v>20</v>
      </c>
      <c r="P79" s="56">
        <f>R79/1000</f>
        <v>183.48434700319547</v>
      </c>
      <c r="Q79" s="13">
        <v>1000</v>
      </c>
      <c r="R79" s="56">
        <f>R77-U77</f>
        <v>183484.34700319546</v>
      </c>
      <c r="T79" s="56"/>
      <c r="U79" s="56"/>
      <c r="V79" s="56"/>
    </row>
    <row r="80" spans="1:22" x14ac:dyDescent="0.2">
      <c r="A80" s="66">
        <v>3.2939112690311419E-2</v>
      </c>
      <c r="B80" s="112"/>
      <c r="C80" s="19">
        <v>43464</v>
      </c>
      <c r="D80" s="13" t="s">
        <v>22</v>
      </c>
      <c r="E80" s="56">
        <f>E79*(1+A79)</f>
        <v>157.44276361070123</v>
      </c>
      <c r="F80" s="13">
        <v>1000</v>
      </c>
      <c r="G80" s="56">
        <f>F80*E80</f>
        <v>157442.76361070122</v>
      </c>
      <c r="I80" s="56">
        <f>G80-G79</f>
        <v>4223.2649413042236</v>
      </c>
      <c r="J80" s="56">
        <f>I80*$C$4</f>
        <v>1291.896745544962</v>
      </c>
      <c r="K80" s="56">
        <f>I80-J80</f>
        <v>2931.3681957592617</v>
      </c>
      <c r="L80" s="28"/>
      <c r="M80" s="112"/>
      <c r="N80" s="19">
        <v>43464</v>
      </c>
      <c r="O80" s="13" t="s">
        <v>22</v>
      </c>
      <c r="P80" s="56">
        <f>P79*(1+A79)</f>
        <v>188.54181695125155</v>
      </c>
      <c r="Q80" s="13">
        <v>1000</v>
      </c>
      <c r="R80" s="56">
        <f>Q80*P80</f>
        <v>188541.81695125156</v>
      </c>
      <c r="T80" s="56">
        <f>R80-R79</f>
        <v>5057.4699480560957</v>
      </c>
      <c r="U80" s="56">
        <v>0</v>
      </c>
      <c r="V80" s="56">
        <f>T80-U80</f>
        <v>5057.4699480560957</v>
      </c>
    </row>
    <row r="81" spans="1:22" x14ac:dyDescent="0.2">
      <c r="A81" s="66">
        <v>3.2939112690311419E-2</v>
      </c>
      <c r="E81" s="56"/>
      <c r="G81" s="56"/>
      <c r="I81" s="56"/>
      <c r="J81" s="56"/>
      <c r="K81" s="56"/>
      <c r="L81" s="28"/>
      <c r="P81" s="56"/>
      <c r="R81" s="56"/>
      <c r="T81" s="56"/>
      <c r="U81" s="56"/>
      <c r="V81" s="56"/>
    </row>
    <row r="82" spans="1:22" x14ac:dyDescent="0.2">
      <c r="A82" s="66">
        <v>-1.3428057294475902E-2</v>
      </c>
      <c r="B82" s="112">
        <v>18</v>
      </c>
      <c r="C82" s="19">
        <v>43101</v>
      </c>
      <c r="D82" s="13" t="s">
        <v>20</v>
      </c>
      <c r="E82" s="56">
        <f>G82/1000</f>
        <v>156.15086686515625</v>
      </c>
      <c r="F82" s="13">
        <v>1000</v>
      </c>
      <c r="G82" s="56">
        <f>G80-J80</f>
        <v>156150.86686515625</v>
      </c>
      <c r="I82" s="56"/>
      <c r="J82" s="56"/>
      <c r="K82" s="56"/>
      <c r="L82" s="28"/>
      <c r="M82" s="112">
        <v>18</v>
      </c>
      <c r="N82" s="19">
        <v>43101</v>
      </c>
      <c r="O82" s="13" t="s">
        <v>20</v>
      </c>
      <c r="P82" s="56">
        <f>R82/1000</f>
        <v>188.54181695125155</v>
      </c>
      <c r="Q82" s="13">
        <v>1000</v>
      </c>
      <c r="R82" s="56">
        <f>R80-U80</f>
        <v>188541.81695125156</v>
      </c>
      <c r="T82" s="56"/>
      <c r="U82" s="56"/>
      <c r="V82" s="56"/>
    </row>
    <row r="83" spans="1:22" x14ac:dyDescent="0.2">
      <c r="A83" s="66">
        <v>3.2939112690311419E-2</v>
      </c>
      <c r="B83" s="112"/>
      <c r="C83" s="19">
        <v>43464</v>
      </c>
      <c r="D83" s="13" t="s">
        <v>22</v>
      </c>
      <c r="E83" s="56">
        <f>E82*(1+A82)</f>
        <v>154.05406407830884</v>
      </c>
      <c r="F83" s="13">
        <v>1000</v>
      </c>
      <c r="G83" s="56">
        <f>F83*E83</f>
        <v>154054.06407830885</v>
      </c>
      <c r="I83" s="56">
        <f>G83-G82</f>
        <v>-2096.8027868474019</v>
      </c>
      <c r="J83" s="56">
        <f>I83*$C$4</f>
        <v>-641.41197249662025</v>
      </c>
      <c r="K83" s="56">
        <f>I83-J83</f>
        <v>-1455.3908143507815</v>
      </c>
      <c r="L83" s="28"/>
      <c r="M83" s="112"/>
      <c r="N83" s="19">
        <v>43464</v>
      </c>
      <c r="O83" s="13" t="s">
        <v>22</v>
      </c>
      <c r="P83" s="56">
        <f>P82*(1+A82)</f>
        <v>186.01006663082555</v>
      </c>
      <c r="Q83" s="13">
        <v>1000</v>
      </c>
      <c r="R83" s="56">
        <f>Q83*P83</f>
        <v>186010.06663082555</v>
      </c>
      <c r="T83" s="56">
        <f>R83-R82</f>
        <v>-2531.7503204260138</v>
      </c>
      <c r="U83" s="56">
        <v>0</v>
      </c>
      <c r="V83" s="56">
        <f>T83-U83</f>
        <v>-2531.7503204260138</v>
      </c>
    </row>
    <row r="84" spans="1:22" x14ac:dyDescent="0.2">
      <c r="A84" s="66">
        <v>3.2939112690311419E-2</v>
      </c>
      <c r="E84" s="56"/>
      <c r="G84" s="56"/>
      <c r="I84" s="56"/>
      <c r="J84" s="56"/>
      <c r="K84" s="56"/>
      <c r="L84" s="28"/>
      <c r="P84" s="56"/>
      <c r="R84" s="56"/>
      <c r="T84" s="56"/>
      <c r="U84" s="56"/>
      <c r="V84" s="56"/>
    </row>
    <row r="85" spans="1:22" x14ac:dyDescent="0.2">
      <c r="A85" s="66">
        <v>7.2320565405047735E-2</v>
      </c>
      <c r="B85" s="112">
        <v>19</v>
      </c>
      <c r="C85" s="19">
        <v>43101</v>
      </c>
      <c r="D85" s="13" t="s">
        <v>20</v>
      </c>
      <c r="E85" s="56">
        <f>G85/1000</f>
        <v>154.69547605080547</v>
      </c>
      <c r="F85" s="13">
        <v>1000</v>
      </c>
      <c r="G85" s="56">
        <f>G83-J83</f>
        <v>154695.47605080548</v>
      </c>
      <c r="I85" s="56"/>
      <c r="J85" s="56"/>
      <c r="K85" s="56"/>
      <c r="L85" s="28"/>
      <c r="M85" s="112">
        <v>19</v>
      </c>
      <c r="N85" s="19">
        <v>43101</v>
      </c>
      <c r="O85" s="13" t="s">
        <v>20</v>
      </c>
      <c r="P85" s="56">
        <f>R85/1000</f>
        <v>186.01006663082555</v>
      </c>
      <c r="Q85" s="13">
        <v>1000</v>
      </c>
      <c r="R85" s="56">
        <f>R83-U83</f>
        <v>186010.06663082555</v>
      </c>
      <c r="T85" s="56"/>
      <c r="U85" s="56"/>
      <c r="V85" s="56"/>
    </row>
    <row r="86" spans="1:22" x14ac:dyDescent="0.2">
      <c r="A86" s="66">
        <v>3.2939112690311419E-2</v>
      </c>
      <c r="B86" s="112"/>
      <c r="C86" s="19">
        <v>43464</v>
      </c>
      <c r="D86" s="13" t="s">
        <v>22</v>
      </c>
      <c r="E86" s="56">
        <f>E85*(1+A85)</f>
        <v>165.88314034440276</v>
      </c>
      <c r="F86" s="13">
        <v>1000</v>
      </c>
      <c r="G86" s="56">
        <f>F86*E86</f>
        <v>165883.14034440275</v>
      </c>
      <c r="I86" s="56">
        <f>G86-G85</f>
        <v>11187.664293597278</v>
      </c>
      <c r="J86" s="56">
        <f>I86*$C$4</f>
        <v>3422.3065074114074</v>
      </c>
      <c r="K86" s="56">
        <f>I86-J86</f>
        <v>7765.3577861858703</v>
      </c>
      <c r="L86" s="28"/>
      <c r="M86" s="112"/>
      <c r="N86" s="19">
        <v>43464</v>
      </c>
      <c r="O86" s="13" t="s">
        <v>22</v>
      </c>
      <c r="P86" s="56">
        <f>P85*(1+A85)</f>
        <v>199.46241982059746</v>
      </c>
      <c r="Q86" s="13">
        <v>1000</v>
      </c>
      <c r="R86" s="56">
        <f>Q86*P86</f>
        <v>199462.41982059745</v>
      </c>
      <c r="T86" s="56">
        <f>R86-R85</f>
        <v>13452.353189771908</v>
      </c>
      <c r="U86" s="56">
        <v>0</v>
      </c>
      <c r="V86" s="56">
        <f>T86-U86</f>
        <v>13452.353189771908</v>
      </c>
    </row>
    <row r="87" spans="1:22" x14ac:dyDescent="0.2">
      <c r="A87" s="66">
        <v>3.2939112690311419E-2</v>
      </c>
      <c r="E87" s="56"/>
      <c r="G87" s="56"/>
      <c r="I87" s="56"/>
      <c r="J87" s="56"/>
      <c r="K87" s="56"/>
      <c r="L87" s="28"/>
      <c r="P87" s="56"/>
      <c r="R87" s="56"/>
      <c r="T87" s="56"/>
      <c r="U87" s="56"/>
      <c r="V87" s="56"/>
    </row>
    <row r="88" spans="1:22" x14ac:dyDescent="0.2">
      <c r="A88" s="66">
        <v>-4.4647951841128068E-2</v>
      </c>
      <c r="B88" s="112">
        <v>20</v>
      </c>
      <c r="C88" s="19">
        <v>43101</v>
      </c>
      <c r="D88" s="13" t="s">
        <v>20</v>
      </c>
      <c r="E88" s="56">
        <f>G88/1000</f>
        <v>162.46083383699133</v>
      </c>
      <c r="F88" s="13">
        <v>1000</v>
      </c>
      <c r="G88" s="56">
        <f>G86-J86</f>
        <v>162460.83383699134</v>
      </c>
      <c r="I88" s="56"/>
      <c r="J88" s="56"/>
      <c r="K88" s="56"/>
      <c r="L88" s="28"/>
      <c r="M88" s="112">
        <v>20</v>
      </c>
      <c r="N88" s="19">
        <v>43101</v>
      </c>
      <c r="O88" s="13" t="s">
        <v>20</v>
      </c>
      <c r="P88" s="56">
        <f>R88/1000</f>
        <v>199.46241982059746</v>
      </c>
      <c r="Q88" s="13">
        <v>1000</v>
      </c>
      <c r="R88" s="56">
        <f>R86-U86</f>
        <v>199462.41982059745</v>
      </c>
      <c r="T88" s="56"/>
      <c r="U88" s="56"/>
      <c r="V88" s="56"/>
    </row>
    <row r="89" spans="1:22" x14ac:dyDescent="0.2">
      <c r="A89" s="66">
        <v>3.2939112690311419E-2</v>
      </c>
      <c r="B89" s="112"/>
      <c r="C89" s="19">
        <v>43464</v>
      </c>
      <c r="D89" s="13" t="s">
        <v>22</v>
      </c>
      <c r="E89" s="56">
        <f>E88*(1+A88)</f>
        <v>155.20729035176782</v>
      </c>
      <c r="F89" s="13">
        <v>1000</v>
      </c>
      <c r="G89" s="56">
        <f>F89*E89</f>
        <v>155207.29035176782</v>
      </c>
      <c r="I89" s="56">
        <f>G89-G88</f>
        <v>-7253.5434852235194</v>
      </c>
      <c r="J89" s="56">
        <f>I89*$C$4</f>
        <v>-2218.8589521298745</v>
      </c>
      <c r="K89" s="56">
        <f>I89-J89</f>
        <v>-5034.6845330936449</v>
      </c>
      <c r="L89" s="28"/>
      <c r="M89" s="112"/>
      <c r="N89" s="19">
        <v>43464</v>
      </c>
      <c r="O89" s="13" t="s">
        <v>22</v>
      </c>
      <c r="P89" s="56">
        <f>P88*(1+A88)</f>
        <v>190.55683130633255</v>
      </c>
      <c r="Q89" s="13">
        <v>1000</v>
      </c>
      <c r="R89" s="56">
        <f>Q89*P89</f>
        <v>190556.83130633255</v>
      </c>
      <c r="T89" s="56">
        <f>R89-R88</f>
        <v>-8905.5885142649058</v>
      </c>
      <c r="U89" s="56">
        <v>0</v>
      </c>
      <c r="V89" s="56">
        <f>T89-U89</f>
        <v>-8905.5885142649058</v>
      </c>
    </row>
    <row r="90" spans="1:22" x14ac:dyDescent="0.2">
      <c r="A90" s="66">
        <v>3.2939112690311419E-2</v>
      </c>
      <c r="E90" s="56"/>
      <c r="G90" s="56"/>
      <c r="I90" s="56"/>
      <c r="J90" s="56"/>
      <c r="K90" s="56"/>
      <c r="L90" s="28"/>
      <c r="P90" s="56"/>
      <c r="R90" s="56"/>
      <c r="T90" s="56"/>
      <c r="U90" s="56"/>
      <c r="V90" s="56"/>
    </row>
    <row r="91" spans="1:22" x14ac:dyDescent="0.2">
      <c r="A91" s="66">
        <v>0.1</v>
      </c>
      <c r="B91" s="112">
        <v>21</v>
      </c>
      <c r="C91" s="19">
        <v>43101</v>
      </c>
      <c r="D91" s="13" t="s">
        <v>20</v>
      </c>
      <c r="E91" s="56">
        <f>G91/1000</f>
        <v>157.42614930389769</v>
      </c>
      <c r="F91" s="13">
        <v>1000</v>
      </c>
      <c r="G91" s="56">
        <f>G89-J89</f>
        <v>157426.14930389769</v>
      </c>
      <c r="I91" s="56"/>
      <c r="J91" s="56"/>
      <c r="K91" s="56"/>
      <c r="L91" s="28"/>
      <c r="M91" s="112">
        <v>21</v>
      </c>
      <c r="N91" s="19">
        <v>43101</v>
      </c>
      <c r="O91" s="13" t="s">
        <v>20</v>
      </c>
      <c r="P91" s="56">
        <f>R91/1000</f>
        <v>190.55683130633255</v>
      </c>
      <c r="Q91" s="13">
        <v>1000</v>
      </c>
      <c r="R91" s="56">
        <f>R89-U89</f>
        <v>190556.83130633255</v>
      </c>
      <c r="T91" s="56"/>
      <c r="U91" s="56"/>
      <c r="V91" s="56"/>
    </row>
    <row r="92" spans="1:22" x14ac:dyDescent="0.2">
      <c r="A92" s="66">
        <v>3.2939112690311419E-2</v>
      </c>
      <c r="B92" s="112"/>
      <c r="C92" s="19">
        <v>43464</v>
      </c>
      <c r="D92" s="13" t="s">
        <v>22</v>
      </c>
      <c r="E92" s="56">
        <f>E91*(1+A91)</f>
        <v>173.16876423428747</v>
      </c>
      <c r="F92" s="13">
        <v>1000</v>
      </c>
      <c r="G92" s="56">
        <f>F92*E92</f>
        <v>173168.76423428746</v>
      </c>
      <c r="I92" s="56">
        <f>G92-G91</f>
        <v>15742.614930389769</v>
      </c>
      <c r="J92" s="56">
        <f>I92*$C$4</f>
        <v>4815.6659072062303</v>
      </c>
      <c r="K92" s="56">
        <f>I92-J92</f>
        <v>10926.949023183539</v>
      </c>
      <c r="L92" s="28"/>
      <c r="M92" s="112"/>
      <c r="N92" s="19">
        <v>43464</v>
      </c>
      <c r="O92" s="13" t="s">
        <v>22</v>
      </c>
      <c r="P92" s="56">
        <f>P91*(1+A91)</f>
        <v>209.61251443696582</v>
      </c>
      <c r="Q92" s="13">
        <v>1000</v>
      </c>
      <c r="R92" s="56">
        <f>Q92*P92</f>
        <v>209612.51443696584</v>
      </c>
      <c r="T92" s="56">
        <f>R92-R91</f>
        <v>19055.68313063329</v>
      </c>
      <c r="U92" s="56">
        <v>0</v>
      </c>
      <c r="V92" s="56">
        <f>T92-U92</f>
        <v>19055.68313063329</v>
      </c>
    </row>
    <row r="93" spans="1:22" x14ac:dyDescent="0.2">
      <c r="A93" s="66">
        <v>3.2939112690311419E-2</v>
      </c>
      <c r="E93" s="56"/>
      <c r="G93" s="56"/>
      <c r="I93" s="56"/>
      <c r="J93" s="56"/>
      <c r="K93" s="56"/>
      <c r="L93" s="28"/>
      <c r="P93" s="56"/>
      <c r="R93" s="56"/>
      <c r="T93" s="56"/>
      <c r="U93" s="56"/>
      <c r="V93" s="56"/>
    </row>
    <row r="94" spans="1:22" x14ac:dyDescent="0.2">
      <c r="A94" s="66">
        <v>2.8864870955235704E-2</v>
      </c>
      <c r="B94" s="112">
        <v>22</v>
      </c>
      <c r="C94" s="19">
        <v>43101</v>
      </c>
      <c r="D94" s="13" t="s">
        <v>20</v>
      </c>
      <c r="E94" s="56">
        <f>G94/1000</f>
        <v>168.35309832708126</v>
      </c>
      <c r="F94" s="13">
        <v>1000</v>
      </c>
      <c r="G94" s="56">
        <f>G92-J92</f>
        <v>168353.09832708124</v>
      </c>
      <c r="I94" s="56"/>
      <c r="J94" s="56"/>
      <c r="K94" s="56"/>
      <c r="L94" s="28"/>
      <c r="M94" s="112">
        <v>22</v>
      </c>
      <c r="N94" s="19">
        <v>43101</v>
      </c>
      <c r="O94" s="13" t="s">
        <v>20</v>
      </c>
      <c r="P94" s="56">
        <f>R94/1000</f>
        <v>209.61251443696582</v>
      </c>
      <c r="Q94" s="13">
        <v>1000</v>
      </c>
      <c r="R94" s="56">
        <f>R92-U92</f>
        <v>209612.51443696584</v>
      </c>
      <c r="T94" s="56"/>
      <c r="U94" s="56"/>
      <c r="V94" s="56"/>
    </row>
    <row r="95" spans="1:22" x14ac:dyDescent="0.2">
      <c r="A95" s="66">
        <v>3.2939112690311419E-2</v>
      </c>
      <c r="B95" s="112"/>
      <c r="C95" s="19">
        <v>43464</v>
      </c>
      <c r="D95" s="13" t="s">
        <v>22</v>
      </c>
      <c r="E95" s="56">
        <f>E94*(1+A94)</f>
        <v>173.21258878520658</v>
      </c>
      <c r="F95" s="13">
        <v>1000</v>
      </c>
      <c r="G95" s="56">
        <f>F95*E95</f>
        <v>173212.58878520658</v>
      </c>
      <c r="I95" s="56">
        <f>G95-G94</f>
        <v>4859.4904581253359</v>
      </c>
      <c r="J95" s="56">
        <f>I95*$C$4</f>
        <v>1486.5181311405402</v>
      </c>
      <c r="K95" s="56">
        <f>I95-J95</f>
        <v>3372.9723269847955</v>
      </c>
      <c r="L95" s="28"/>
      <c r="M95" s="112"/>
      <c r="N95" s="19">
        <v>43464</v>
      </c>
      <c r="O95" s="13" t="s">
        <v>22</v>
      </c>
      <c r="P95" s="56">
        <f>P94*(1+A94)</f>
        <v>215.66295261679133</v>
      </c>
      <c r="Q95" s="13">
        <v>1000</v>
      </c>
      <c r="R95" s="56">
        <f>Q95*P95</f>
        <v>215662.95261679133</v>
      </c>
      <c r="T95" s="56">
        <f>R95-R94</f>
        <v>6050.4381798254908</v>
      </c>
      <c r="U95" s="56">
        <v>0</v>
      </c>
      <c r="V95" s="56">
        <f>T95-U95</f>
        <v>6050.4381798254908</v>
      </c>
    </row>
    <row r="96" spans="1:22" x14ac:dyDescent="0.2">
      <c r="A96" s="66">
        <v>3.2939112690311419E-2</v>
      </c>
      <c r="E96" s="56"/>
      <c r="G96" s="56"/>
      <c r="I96" s="56"/>
      <c r="J96" s="56"/>
      <c r="K96" s="56"/>
      <c r="L96" s="28"/>
      <c r="P96" s="56"/>
      <c r="R96" s="56"/>
      <c r="T96" s="56"/>
      <c r="U96" s="56"/>
      <c r="V96" s="56"/>
    </row>
    <row r="97" spans="1:22" x14ac:dyDescent="0.2">
      <c r="A97" s="66">
        <v>-1.5901139689035344E-2</v>
      </c>
      <c r="B97" s="112">
        <v>23</v>
      </c>
      <c r="C97" s="19">
        <v>43101</v>
      </c>
      <c r="D97" s="13" t="s">
        <v>20</v>
      </c>
      <c r="E97" s="56">
        <f>G97/1000</f>
        <v>171.72607065406604</v>
      </c>
      <c r="F97" s="13">
        <v>1000</v>
      </c>
      <c r="G97" s="56">
        <f>G95-J95</f>
        <v>171726.07065406605</v>
      </c>
      <c r="I97" s="56"/>
      <c r="J97" s="56"/>
      <c r="K97" s="56"/>
      <c r="L97" s="28"/>
      <c r="M97" s="112">
        <v>23</v>
      </c>
      <c r="N97" s="19">
        <v>43101</v>
      </c>
      <c r="O97" s="13" t="s">
        <v>20</v>
      </c>
      <c r="P97" s="56">
        <f>R97/1000</f>
        <v>215.66295261679133</v>
      </c>
      <c r="Q97" s="13">
        <v>1000</v>
      </c>
      <c r="R97" s="56">
        <f>R95-U95</f>
        <v>215662.95261679133</v>
      </c>
      <c r="T97" s="56"/>
      <c r="U97" s="56"/>
      <c r="V97" s="56"/>
    </row>
    <row r="98" spans="1:22" x14ac:dyDescent="0.2">
      <c r="A98" s="66">
        <v>3.2939112690311419E-2</v>
      </c>
      <c r="B98" s="112"/>
      <c r="C98" s="19">
        <v>43464</v>
      </c>
      <c r="D98" s="13" t="s">
        <v>22</v>
      </c>
      <c r="E98" s="56">
        <f>E97*(1+A97)</f>
        <v>168.99543041634658</v>
      </c>
      <c r="F98" s="13">
        <v>1000</v>
      </c>
      <c r="G98" s="56">
        <f>F98*E98</f>
        <v>168995.43041634659</v>
      </c>
      <c r="I98" s="56">
        <f>G98-G97</f>
        <v>-2730.6402377194609</v>
      </c>
      <c r="J98" s="56">
        <f>I98*$C$4</f>
        <v>-835.30284871838307</v>
      </c>
      <c r="K98" s="56">
        <f>I98-J98</f>
        <v>-1895.3373890010778</v>
      </c>
      <c r="L98" s="28"/>
      <c r="M98" s="112"/>
      <c r="N98" s="19">
        <v>43464</v>
      </c>
      <c r="O98" s="13" t="s">
        <v>22</v>
      </c>
      <c r="P98" s="56">
        <f>P97*(1+A97)</f>
        <v>212.2336658814819</v>
      </c>
      <c r="Q98" s="13">
        <v>1000</v>
      </c>
      <c r="R98" s="56">
        <f>Q98*P98</f>
        <v>212233.66588148189</v>
      </c>
      <c r="T98" s="56">
        <f>R98-R97</f>
        <v>-3429.2867353094334</v>
      </c>
      <c r="U98" s="56">
        <v>0</v>
      </c>
      <c r="V98" s="56">
        <f>T98-U98</f>
        <v>-3429.2867353094334</v>
      </c>
    </row>
    <row r="99" spans="1:22" x14ac:dyDescent="0.2">
      <c r="A99" s="66">
        <v>3.2939112690311419E-2</v>
      </c>
      <c r="E99" s="56"/>
      <c r="G99" s="56"/>
      <c r="I99" s="56"/>
      <c r="J99" s="56"/>
      <c r="K99" s="56"/>
      <c r="L99" s="28"/>
      <c r="P99" s="56"/>
      <c r="R99" s="56"/>
      <c r="T99" s="56"/>
      <c r="U99" s="56"/>
      <c r="V99" s="56"/>
    </row>
    <row r="100" spans="1:22" x14ac:dyDescent="0.2">
      <c r="A100" s="66">
        <v>-5.5746325341338478E-2</v>
      </c>
      <c r="B100" s="112">
        <v>24</v>
      </c>
      <c r="C100" s="19">
        <v>43101</v>
      </c>
      <c r="D100" s="13" t="s">
        <v>20</v>
      </c>
      <c r="E100" s="56">
        <f>G100/1000</f>
        <v>169.83073326506496</v>
      </c>
      <c r="F100" s="13">
        <v>1000</v>
      </c>
      <c r="G100" s="56">
        <f>G98-J98</f>
        <v>169830.73326506498</v>
      </c>
      <c r="I100" s="56"/>
      <c r="J100" s="56"/>
      <c r="K100" s="56"/>
      <c r="L100" s="28"/>
      <c r="M100" s="112">
        <v>24</v>
      </c>
      <c r="N100" s="19">
        <v>43101</v>
      </c>
      <c r="O100" s="13" t="s">
        <v>20</v>
      </c>
      <c r="P100" s="56">
        <f>R100/1000</f>
        <v>212.2336658814819</v>
      </c>
      <c r="Q100" s="13">
        <v>1000</v>
      </c>
      <c r="R100" s="56">
        <f>R98-U98</f>
        <v>212233.66588148189</v>
      </c>
      <c r="T100" s="56"/>
      <c r="U100" s="56"/>
      <c r="V100" s="56"/>
    </row>
    <row r="101" spans="1:22" x14ac:dyDescent="0.2">
      <c r="A101" s="66">
        <v>3.2939112690311419E-2</v>
      </c>
      <c r="B101" s="112"/>
      <c r="C101" s="19">
        <v>43464</v>
      </c>
      <c r="D101" s="13" t="s">
        <v>22</v>
      </c>
      <c r="E101" s="56">
        <f>E100*(1+A100)</f>
        <v>160.36329395551257</v>
      </c>
      <c r="F101" s="13">
        <v>1000</v>
      </c>
      <c r="G101" s="56">
        <f>F101*E101</f>
        <v>160363.29395551258</v>
      </c>
      <c r="I101" s="56">
        <f>G101-G100</f>
        <v>-9467.4393095523992</v>
      </c>
      <c r="J101" s="56">
        <f>I101*$C$4</f>
        <v>-2896.089684792079</v>
      </c>
      <c r="K101" s="56">
        <f>I101-J101</f>
        <v>-6571.3496247603198</v>
      </c>
      <c r="L101" s="28"/>
      <c r="M101" s="112"/>
      <c r="N101" s="19">
        <v>43464</v>
      </c>
      <c r="O101" s="13" t="s">
        <v>22</v>
      </c>
      <c r="P101" s="56">
        <f>P100*(1+A100)</f>
        <v>200.40241889486788</v>
      </c>
      <c r="Q101" s="13">
        <v>1000</v>
      </c>
      <c r="R101" s="56">
        <f>Q101*P101</f>
        <v>200402.41889486788</v>
      </c>
      <c r="T101" s="56">
        <f>R101-R100</f>
        <v>-11831.246986614016</v>
      </c>
      <c r="U101" s="56">
        <v>0</v>
      </c>
      <c r="V101" s="56">
        <f>T101-U101</f>
        <v>-11831.246986614016</v>
      </c>
    </row>
    <row r="102" spans="1:22" x14ac:dyDescent="0.2">
      <c r="A102" s="66">
        <v>3.2939112690311419E-2</v>
      </c>
      <c r="E102" s="56"/>
      <c r="G102" s="56"/>
      <c r="I102" s="56"/>
      <c r="J102" s="56"/>
      <c r="K102" s="56"/>
      <c r="L102" s="28"/>
      <c r="P102" s="56"/>
      <c r="R102" s="56"/>
      <c r="T102" s="56"/>
      <c r="U102" s="56"/>
      <c r="V102" s="56"/>
    </row>
    <row r="103" spans="1:22" x14ac:dyDescent="0.2">
      <c r="A103" s="66">
        <v>-6.3154552184986237E-2</v>
      </c>
      <c r="B103" s="112">
        <v>25</v>
      </c>
      <c r="C103" s="19">
        <v>43101</v>
      </c>
      <c r="D103" s="13" t="s">
        <v>20</v>
      </c>
      <c r="E103" s="56">
        <f>G103/1000</f>
        <v>163.25938364030463</v>
      </c>
      <c r="F103" s="13">
        <v>1000</v>
      </c>
      <c r="G103" s="56">
        <f>G101-J101</f>
        <v>163259.38364030464</v>
      </c>
      <c r="I103" s="56"/>
      <c r="J103" s="56"/>
      <c r="K103" s="56"/>
      <c r="L103" s="28"/>
      <c r="M103" s="112">
        <v>25</v>
      </c>
      <c r="N103" s="19">
        <v>43101</v>
      </c>
      <c r="O103" s="13" t="s">
        <v>20</v>
      </c>
      <c r="P103" s="56">
        <f>R103/1000</f>
        <v>200.40241889486788</v>
      </c>
      <c r="Q103" s="13">
        <v>1000</v>
      </c>
      <c r="R103" s="56">
        <f>R101-U101</f>
        <v>200402.41889486788</v>
      </c>
      <c r="T103" s="56"/>
      <c r="U103" s="56"/>
      <c r="V103" s="56"/>
    </row>
    <row r="104" spans="1:22" x14ac:dyDescent="0.2">
      <c r="A104" s="66">
        <v>3.2939112690311419E-2</v>
      </c>
      <c r="B104" s="112"/>
      <c r="C104" s="19">
        <v>43464</v>
      </c>
      <c r="D104" s="13" t="s">
        <v>22</v>
      </c>
      <c r="E104" s="56">
        <f>E103*(1+A103)</f>
        <v>152.94881037650433</v>
      </c>
      <c r="F104" s="13">
        <v>1000</v>
      </c>
      <c r="G104" s="56">
        <f>F104*E104</f>
        <v>152948.81037650432</v>
      </c>
      <c r="I104" s="56">
        <f>G104-G103</f>
        <v>-10310.573263800325</v>
      </c>
      <c r="J104" s="56">
        <f>I104*$C$4</f>
        <v>-3154.0043613965195</v>
      </c>
      <c r="K104" s="56">
        <f>I104-J104</f>
        <v>-7156.5689024038056</v>
      </c>
      <c r="L104" s="28"/>
      <c r="M104" s="112"/>
      <c r="N104" s="19">
        <v>43464</v>
      </c>
      <c r="O104" s="13" t="s">
        <v>22</v>
      </c>
      <c r="P104" s="56">
        <f>P103*(1+A103)</f>
        <v>187.74609387277448</v>
      </c>
      <c r="Q104" s="13">
        <v>1000</v>
      </c>
      <c r="R104" s="56">
        <f>Q104*P104</f>
        <v>187746.09387277448</v>
      </c>
      <c r="T104" s="56">
        <f>R104-R103</f>
        <v>-12656.325022093399</v>
      </c>
      <c r="U104" s="56">
        <v>0</v>
      </c>
      <c r="V104" s="56">
        <f>T104-U104</f>
        <v>-12656.325022093399</v>
      </c>
    </row>
    <row r="105" spans="1:22" x14ac:dyDescent="0.2">
      <c r="A105" s="66">
        <v>3.2939112690311419E-2</v>
      </c>
      <c r="E105" s="56"/>
      <c r="G105" s="56"/>
      <c r="I105" s="56"/>
      <c r="J105" s="56"/>
      <c r="K105" s="56"/>
      <c r="L105" s="28"/>
      <c r="P105" s="56"/>
      <c r="R105" s="56"/>
      <c r="T105" s="56"/>
      <c r="U105" s="56"/>
      <c r="V105" s="56"/>
    </row>
    <row r="106" spans="1:22" x14ac:dyDescent="0.2">
      <c r="A106" s="66">
        <v>0.1</v>
      </c>
      <c r="B106" s="112">
        <v>26</v>
      </c>
      <c r="C106" s="19">
        <v>43101</v>
      </c>
      <c r="D106" s="13" t="s">
        <v>20</v>
      </c>
      <c r="E106" s="56">
        <f>G106/1000</f>
        <v>156.10281473790084</v>
      </c>
      <c r="F106" s="13">
        <v>1000</v>
      </c>
      <c r="G106" s="56">
        <f>G104-J104</f>
        <v>156102.81473790083</v>
      </c>
      <c r="I106" s="56"/>
      <c r="J106" s="56"/>
      <c r="K106" s="56"/>
      <c r="L106" s="28"/>
      <c r="M106" s="112">
        <v>26</v>
      </c>
      <c r="N106" s="19">
        <v>43101</v>
      </c>
      <c r="O106" s="13" t="s">
        <v>20</v>
      </c>
      <c r="P106" s="56">
        <f>R106/1000</f>
        <v>187.74609387277448</v>
      </c>
      <c r="Q106" s="13">
        <v>1000</v>
      </c>
      <c r="R106" s="56">
        <f>R104-U104</f>
        <v>187746.09387277448</v>
      </c>
      <c r="T106" s="56"/>
      <c r="U106" s="56"/>
      <c r="V106" s="56"/>
    </row>
    <row r="107" spans="1:22" x14ac:dyDescent="0.2">
      <c r="A107" s="66">
        <v>3.2939112690311419E-2</v>
      </c>
      <c r="B107" s="112"/>
      <c r="C107" s="19">
        <v>43464</v>
      </c>
      <c r="D107" s="13" t="s">
        <v>22</v>
      </c>
      <c r="E107" s="56">
        <f>E106*(1+A106)</f>
        <v>171.71309621169095</v>
      </c>
      <c r="F107" s="13">
        <v>1000</v>
      </c>
      <c r="G107" s="56">
        <f>F107*E107</f>
        <v>171713.09621169095</v>
      </c>
      <c r="I107" s="56">
        <f>G107-G106</f>
        <v>15610.281473790121</v>
      </c>
      <c r="J107" s="56">
        <f>I107*$C$4</f>
        <v>4775.1851028323981</v>
      </c>
      <c r="K107" s="56">
        <f>I107-J107</f>
        <v>10835.096370957723</v>
      </c>
      <c r="L107" s="28"/>
      <c r="M107" s="112"/>
      <c r="N107" s="19">
        <v>43464</v>
      </c>
      <c r="O107" s="13" t="s">
        <v>22</v>
      </c>
      <c r="P107" s="56">
        <f>P106*(1+A106)</f>
        <v>206.52070326005193</v>
      </c>
      <c r="Q107" s="13">
        <v>1000</v>
      </c>
      <c r="R107" s="56">
        <f>Q107*P107</f>
        <v>206520.70326005193</v>
      </c>
      <c r="T107" s="56">
        <f>R107-R106</f>
        <v>18774.609387277451</v>
      </c>
      <c r="U107" s="56">
        <v>0</v>
      </c>
      <c r="V107" s="56">
        <f>T107-U107</f>
        <v>18774.609387277451</v>
      </c>
    </row>
    <row r="108" spans="1:22" x14ac:dyDescent="0.2">
      <c r="A108" s="66">
        <v>3.2939112690311419E-2</v>
      </c>
      <c r="E108" s="56"/>
      <c r="G108" s="56"/>
      <c r="I108" s="56"/>
      <c r="J108" s="56"/>
      <c r="K108" s="56"/>
      <c r="L108" s="28"/>
      <c r="P108" s="56"/>
      <c r="R108" s="56"/>
      <c r="T108" s="56"/>
      <c r="U108" s="56"/>
      <c r="V108" s="56"/>
    </row>
    <row r="109" spans="1:22" x14ac:dyDescent="0.2">
      <c r="A109" s="66">
        <v>-5.9216317213178792E-2</v>
      </c>
      <c r="B109" s="112">
        <v>27</v>
      </c>
      <c r="C109" s="19">
        <v>43101</v>
      </c>
      <c r="D109" s="13" t="s">
        <v>20</v>
      </c>
      <c r="E109" s="56">
        <f>G109/1000</f>
        <v>166.93791110885857</v>
      </c>
      <c r="F109" s="13">
        <v>1000</v>
      </c>
      <c r="G109" s="56">
        <f>G107-J107</f>
        <v>166937.91110885856</v>
      </c>
      <c r="I109" s="56"/>
      <c r="J109" s="56"/>
      <c r="K109" s="56"/>
      <c r="L109" s="28"/>
      <c r="M109" s="112">
        <v>27</v>
      </c>
      <c r="N109" s="19">
        <v>43101</v>
      </c>
      <c r="O109" s="13" t="s">
        <v>20</v>
      </c>
      <c r="P109" s="56">
        <f>R109/1000</f>
        <v>206.52070326005193</v>
      </c>
      <c r="Q109" s="13">
        <v>1000</v>
      </c>
      <c r="R109" s="56">
        <f>R107-U107</f>
        <v>206520.70326005193</v>
      </c>
      <c r="T109" s="56"/>
      <c r="U109" s="56"/>
      <c r="V109" s="56"/>
    </row>
    <row r="110" spans="1:22" x14ac:dyDescent="0.2">
      <c r="A110" s="66">
        <v>3.2939112690311419E-2</v>
      </c>
      <c r="B110" s="112"/>
      <c r="C110" s="19">
        <v>43464</v>
      </c>
      <c r="D110" s="13" t="s">
        <v>22</v>
      </c>
      <c r="E110" s="56">
        <f>E109*(1+A109)</f>
        <v>157.05246280973097</v>
      </c>
      <c r="F110" s="13">
        <v>1000</v>
      </c>
      <c r="G110" s="56">
        <f>F110*E110</f>
        <v>157052.46280973096</v>
      </c>
      <c r="I110" s="56">
        <f>G110-G109</f>
        <v>-9885.4482991276018</v>
      </c>
      <c r="J110" s="56">
        <f>I110*$C$4</f>
        <v>-3023.9586347031336</v>
      </c>
      <c r="K110" s="56">
        <f>I110-J110</f>
        <v>-6861.4896644244682</v>
      </c>
      <c r="L110" s="28"/>
      <c r="M110" s="112"/>
      <c r="N110" s="19">
        <v>43464</v>
      </c>
      <c r="O110" s="13" t="s">
        <v>22</v>
      </c>
      <c r="P110" s="56">
        <f>P109*(1+A109)</f>
        <v>194.29130778471594</v>
      </c>
      <c r="Q110" s="13">
        <v>1000</v>
      </c>
      <c r="R110" s="56">
        <f>Q110*P110</f>
        <v>194291.30778471593</v>
      </c>
      <c r="T110" s="56">
        <f>R110-R109</f>
        <v>-12229.395475336001</v>
      </c>
      <c r="U110" s="56">
        <v>0</v>
      </c>
      <c r="V110" s="56">
        <f>T110-U110</f>
        <v>-12229.395475336001</v>
      </c>
    </row>
    <row r="111" spans="1:22" x14ac:dyDescent="0.2">
      <c r="A111" s="66">
        <v>3.2939112690311419E-2</v>
      </c>
      <c r="E111" s="56"/>
      <c r="G111" s="56"/>
      <c r="I111" s="56"/>
      <c r="J111" s="56"/>
      <c r="K111" s="56"/>
      <c r="L111" s="28"/>
      <c r="P111" s="56"/>
      <c r="R111" s="56"/>
      <c r="T111" s="56"/>
      <c r="U111" s="56"/>
      <c r="V111" s="56"/>
    </row>
    <row r="112" spans="1:22" x14ac:dyDescent="0.2">
      <c r="A112" s="66">
        <v>-2.73056487916837E-2</v>
      </c>
      <c r="B112" s="112">
        <v>28</v>
      </c>
      <c r="C112" s="19">
        <v>43101</v>
      </c>
      <c r="D112" s="13" t="s">
        <v>20</v>
      </c>
      <c r="E112" s="56">
        <f>G112/1000</f>
        <v>160.07642144443409</v>
      </c>
      <c r="F112" s="13">
        <v>1000</v>
      </c>
      <c r="G112" s="56">
        <f>G110-J110</f>
        <v>160076.42144443409</v>
      </c>
      <c r="I112" s="56"/>
      <c r="J112" s="56"/>
      <c r="K112" s="56"/>
      <c r="L112" s="28"/>
      <c r="M112" s="112">
        <v>28</v>
      </c>
      <c r="N112" s="19">
        <v>43101</v>
      </c>
      <c r="O112" s="13" t="s">
        <v>20</v>
      </c>
      <c r="P112" s="56">
        <f>R112/1000</f>
        <v>194.29130778471594</v>
      </c>
      <c r="Q112" s="13">
        <v>1000</v>
      </c>
      <c r="R112" s="56">
        <f>R110-U110</f>
        <v>194291.30778471593</v>
      </c>
      <c r="T112" s="56"/>
      <c r="U112" s="56"/>
      <c r="V112" s="56"/>
    </row>
    <row r="113" spans="1:22" x14ac:dyDescent="0.2">
      <c r="A113" s="66">
        <v>3.2939112690311419E-2</v>
      </c>
      <c r="B113" s="112"/>
      <c r="C113" s="19">
        <v>43464</v>
      </c>
      <c r="D113" s="13" t="s">
        <v>22</v>
      </c>
      <c r="E113" s="56">
        <f>E112*(1+A112)</f>
        <v>155.70543090064282</v>
      </c>
      <c r="F113" s="13">
        <v>1000</v>
      </c>
      <c r="G113" s="56">
        <f>F113*E113</f>
        <v>155705.43090064282</v>
      </c>
      <c r="I113" s="56">
        <f>G113-G112</f>
        <v>-4370.9905437912676</v>
      </c>
      <c r="J113" s="56">
        <f>I113*$C$4</f>
        <v>-1337.0860073457488</v>
      </c>
      <c r="K113" s="56">
        <f>I113-J113</f>
        <v>-3033.9045364455187</v>
      </c>
      <c r="L113" s="28"/>
      <c r="M113" s="112"/>
      <c r="N113" s="19">
        <v>43464</v>
      </c>
      <c r="O113" s="13" t="s">
        <v>22</v>
      </c>
      <c r="P113" s="56">
        <f>P112*(1+A112)</f>
        <v>188.98605757106955</v>
      </c>
      <c r="Q113" s="13">
        <v>1000</v>
      </c>
      <c r="R113" s="56">
        <f>Q113*P113</f>
        <v>188986.05757106954</v>
      </c>
      <c r="T113" s="56">
        <f>R113-R112</f>
        <v>-5305.2502136463881</v>
      </c>
      <c r="U113" s="56">
        <v>0</v>
      </c>
      <c r="V113" s="56">
        <f>T113-U113</f>
        <v>-5305.2502136463881</v>
      </c>
    </row>
    <row r="114" spans="1:22" x14ac:dyDescent="0.2">
      <c r="A114" s="66">
        <v>3.2939112690311419E-2</v>
      </c>
      <c r="E114" s="56"/>
      <c r="G114" s="56"/>
      <c r="I114" s="56"/>
      <c r="J114" s="56"/>
      <c r="K114" s="56"/>
      <c r="L114" s="28"/>
      <c r="P114" s="56"/>
      <c r="R114" s="56"/>
      <c r="T114" s="56"/>
      <c r="U114" s="56"/>
      <c r="V114" s="56"/>
    </row>
    <row r="115" spans="1:22" x14ac:dyDescent="0.2">
      <c r="A115" s="66">
        <v>1.6312146915796268E-2</v>
      </c>
      <c r="B115" s="112">
        <v>29</v>
      </c>
      <c r="C115" s="19">
        <v>43101</v>
      </c>
      <c r="D115" s="13" t="s">
        <v>20</v>
      </c>
      <c r="E115" s="56">
        <f>G115/1000</f>
        <v>157.04251690798858</v>
      </c>
      <c r="F115" s="13">
        <v>1000</v>
      </c>
      <c r="G115" s="56">
        <f>G113-J113</f>
        <v>157042.51690798858</v>
      </c>
      <c r="I115" s="56"/>
      <c r="J115" s="56"/>
      <c r="K115" s="56"/>
      <c r="L115" s="28"/>
      <c r="M115" s="112">
        <v>29</v>
      </c>
      <c r="N115" s="19">
        <v>43101</v>
      </c>
      <c r="O115" s="13" t="s">
        <v>20</v>
      </c>
      <c r="P115" s="56">
        <f>R115/1000</f>
        <v>188.98605757106955</v>
      </c>
      <c r="Q115" s="13">
        <v>1000</v>
      </c>
      <c r="R115" s="56">
        <f>R113-U113</f>
        <v>188986.05757106954</v>
      </c>
      <c r="T115" s="56"/>
      <c r="U115" s="56"/>
      <c r="V115" s="56"/>
    </row>
    <row r="116" spans="1:22" x14ac:dyDescent="0.2">
      <c r="A116" s="66">
        <v>3.2939112690311419E-2</v>
      </c>
      <c r="B116" s="112"/>
      <c r="C116" s="19">
        <v>43464</v>
      </c>
      <c r="D116" s="13" t="s">
        <v>22</v>
      </c>
      <c r="E116" s="56">
        <f>E115*(1+A115)</f>
        <v>159.60421751581811</v>
      </c>
      <c r="F116" s="13">
        <v>1000</v>
      </c>
      <c r="G116" s="56">
        <f>F116*E116</f>
        <v>159604.21751581811</v>
      </c>
      <c r="I116" s="56">
        <f>G116-G115</f>
        <v>2561.7006078295235</v>
      </c>
      <c r="J116" s="56">
        <f>I116*$C$4</f>
        <v>783.62421593505121</v>
      </c>
      <c r="K116" s="56">
        <f>I116-J116</f>
        <v>1778.0763918944722</v>
      </c>
      <c r="L116" s="28"/>
      <c r="M116" s="112"/>
      <c r="N116" s="19">
        <v>43464</v>
      </c>
      <c r="O116" s="13" t="s">
        <v>22</v>
      </c>
      <c r="P116" s="56">
        <f>P115*(1+A115)</f>
        <v>192.06882590720596</v>
      </c>
      <c r="Q116" s="13">
        <v>1000</v>
      </c>
      <c r="R116" s="56">
        <f>Q116*P116</f>
        <v>192068.82590720596</v>
      </c>
      <c r="T116" s="56">
        <f>R116-R115</f>
        <v>3082.7683361364179</v>
      </c>
      <c r="U116" s="56">
        <v>0</v>
      </c>
      <c r="V116" s="56">
        <f>T116-U116</f>
        <v>3082.7683361364179</v>
      </c>
    </row>
    <row r="117" spans="1:22" x14ac:dyDescent="0.2">
      <c r="A117" s="66">
        <v>3.2939112690311419E-2</v>
      </c>
      <c r="E117" s="56"/>
      <c r="G117" s="56"/>
      <c r="I117" s="56"/>
      <c r="J117" s="56"/>
      <c r="K117" s="56"/>
      <c r="L117" s="28"/>
      <c r="P117" s="56"/>
      <c r="R117" s="56"/>
      <c r="T117" s="56"/>
      <c r="U117" s="56"/>
      <c r="V117" s="56"/>
    </row>
    <row r="118" spans="1:22" x14ac:dyDescent="0.2">
      <c r="A118" s="66">
        <v>5.1535833414120217E-3</v>
      </c>
      <c r="B118" s="112">
        <v>30</v>
      </c>
      <c r="C118" s="19">
        <v>43101</v>
      </c>
      <c r="D118" s="13" t="s">
        <v>20</v>
      </c>
      <c r="E118" s="56">
        <f>G118/1000</f>
        <v>158.82059329988306</v>
      </c>
      <c r="F118" s="13">
        <v>1000</v>
      </c>
      <c r="G118" s="56">
        <f>G116-J116</f>
        <v>158820.59329988307</v>
      </c>
      <c r="I118" s="56"/>
      <c r="J118" s="56"/>
      <c r="K118" s="56"/>
      <c r="L118" s="28"/>
      <c r="M118" s="112">
        <v>30</v>
      </c>
      <c r="N118" s="19">
        <v>43101</v>
      </c>
      <c r="O118" s="13" t="s">
        <v>20</v>
      </c>
      <c r="P118" s="56">
        <f>R118/1000</f>
        <v>192.06882590720596</v>
      </c>
      <c r="Q118" s="13">
        <v>1000</v>
      </c>
      <c r="R118" s="56">
        <f>R116-U116</f>
        <v>192068.82590720596</v>
      </c>
      <c r="T118" s="56"/>
      <c r="U118" s="56"/>
      <c r="V118" s="56"/>
    </row>
    <row r="119" spans="1:22" x14ac:dyDescent="0.2">
      <c r="A119" s="66">
        <v>3.2939112690311419E-2</v>
      </c>
      <c r="B119" s="112"/>
      <c r="C119" s="19">
        <v>43464</v>
      </c>
      <c r="D119" s="13" t="s">
        <v>22</v>
      </c>
      <c r="E119" s="56">
        <f>E118*(1+A118)</f>
        <v>159.63908846378652</v>
      </c>
      <c r="F119" s="13">
        <v>1000</v>
      </c>
      <c r="G119" s="56">
        <f>F119*E119</f>
        <v>159639.08846378652</v>
      </c>
      <c r="I119" s="56">
        <f>G119-G118</f>
        <v>818.49516390345525</v>
      </c>
      <c r="J119" s="56">
        <f>I119*$C$4</f>
        <v>250.37767063806697</v>
      </c>
      <c r="K119" s="56">
        <f>I119-J119</f>
        <v>568.11749326538825</v>
      </c>
      <c r="L119" s="28"/>
      <c r="M119" s="112"/>
      <c r="N119" s="19">
        <v>43464</v>
      </c>
      <c r="O119" s="13" t="s">
        <v>22</v>
      </c>
      <c r="P119" s="56">
        <f>P118*(1+A118)</f>
        <v>193.0586686088059</v>
      </c>
      <c r="Q119" s="13">
        <v>1000</v>
      </c>
      <c r="R119" s="58">
        <f>Q119*P119</f>
        <v>193058.66860880589</v>
      </c>
      <c r="T119" s="56">
        <f>R119-R118</f>
        <v>989.84270159993321</v>
      </c>
      <c r="U119" s="56">
        <v>0</v>
      </c>
      <c r="V119" s="56">
        <f>T119-U119</f>
        <v>989.84270159993321</v>
      </c>
    </row>
    <row r="120" spans="1:22" x14ac:dyDescent="0.2">
      <c r="A120" s="66">
        <v>3.2939112690311419E-2</v>
      </c>
      <c r="E120" s="56"/>
      <c r="G120" s="56"/>
      <c r="I120" s="56"/>
      <c r="J120" s="56"/>
      <c r="K120" s="56"/>
      <c r="L120" s="28"/>
      <c r="P120" s="56"/>
      <c r="R120" s="56"/>
      <c r="T120" s="56"/>
      <c r="U120" s="56"/>
      <c r="V120" s="56"/>
    </row>
    <row r="121" spans="1:22" x14ac:dyDescent="0.2">
      <c r="A121" s="66">
        <v>6.6038731279493366E-3</v>
      </c>
      <c r="B121" s="112">
        <v>31</v>
      </c>
      <c r="C121" s="19">
        <v>43101</v>
      </c>
      <c r="D121" s="13" t="s">
        <v>20</v>
      </c>
      <c r="E121" s="56">
        <f>G121/1000</f>
        <v>159.38871079314848</v>
      </c>
      <c r="F121" s="13">
        <v>1000</v>
      </c>
      <c r="G121" s="56">
        <f>G119-J119</f>
        <v>159388.71079314846</v>
      </c>
      <c r="I121" s="56"/>
      <c r="J121" s="56"/>
      <c r="K121" s="56"/>
      <c r="L121" s="28"/>
      <c r="M121" s="112">
        <v>31</v>
      </c>
      <c r="N121" s="19">
        <v>43101</v>
      </c>
      <c r="O121" s="13" t="s">
        <v>20</v>
      </c>
      <c r="P121" s="58">
        <f>R121/1000</f>
        <v>193.0586686088059</v>
      </c>
      <c r="Q121" s="13">
        <v>1000</v>
      </c>
      <c r="R121" s="58">
        <f>R119-U119</f>
        <v>193058.66860880589</v>
      </c>
      <c r="T121" s="56"/>
      <c r="U121" s="56"/>
      <c r="V121" s="56"/>
    </row>
    <row r="122" spans="1:22" x14ac:dyDescent="0.2">
      <c r="A122" s="66">
        <v>3.2939112690311419E-2</v>
      </c>
      <c r="B122" s="112"/>
      <c r="C122" s="19">
        <v>43464</v>
      </c>
      <c r="D122" s="13" t="s">
        <v>22</v>
      </c>
      <c r="E122" s="56">
        <f>E121*(1+A121)</f>
        <v>160.44129361725385</v>
      </c>
      <c r="F122" s="13">
        <v>1000</v>
      </c>
      <c r="G122" s="56">
        <f>F122*E122</f>
        <v>160441.29361725386</v>
      </c>
      <c r="I122" s="56">
        <f>G122-G121</f>
        <v>1052.5828241053969</v>
      </c>
      <c r="J122" s="56">
        <f>I122*$C$4</f>
        <v>321.9850858938409</v>
      </c>
      <c r="K122" s="56">
        <f>I122-J122</f>
        <v>730.59773821155591</v>
      </c>
      <c r="L122" s="28"/>
      <c r="M122" s="112"/>
      <c r="N122" s="19">
        <v>43464</v>
      </c>
      <c r="O122" s="13" t="s">
        <v>22</v>
      </c>
      <c r="P122" s="56">
        <f>P121*(1+A121)</f>
        <v>194.33360356254929</v>
      </c>
      <c r="Q122" s="13">
        <v>1000</v>
      </c>
      <c r="R122" s="58">
        <f>Q122*P122</f>
        <v>194333.60356254928</v>
      </c>
      <c r="T122" s="56">
        <f>R122-R121</f>
        <v>1274.9349537433882</v>
      </c>
      <c r="U122" s="56">
        <v>0</v>
      </c>
      <c r="V122" s="56">
        <f>T122-U122</f>
        <v>1274.9349537433882</v>
      </c>
    </row>
    <row r="123" spans="1:22" x14ac:dyDescent="0.2">
      <c r="A123" s="66">
        <v>3.2939112690311419E-2</v>
      </c>
      <c r="E123" s="56"/>
      <c r="G123" s="56"/>
      <c r="I123" s="56"/>
      <c r="J123" s="56"/>
      <c r="K123" s="56"/>
      <c r="L123" s="28"/>
      <c r="P123" s="58"/>
      <c r="R123" s="58"/>
      <c r="T123" s="56"/>
      <c r="U123" s="56"/>
      <c r="V123" s="56"/>
    </row>
    <row r="124" spans="1:22" x14ac:dyDescent="0.2">
      <c r="A124" s="66">
        <v>3.4599798165137759E-2</v>
      </c>
      <c r="B124" s="112">
        <v>32</v>
      </c>
      <c r="C124" s="19">
        <v>43101</v>
      </c>
      <c r="D124" s="13" t="s">
        <v>20</v>
      </c>
      <c r="E124" s="56">
        <f>G124/1000</f>
        <v>160.11930853136002</v>
      </c>
      <c r="F124" s="13">
        <v>1000</v>
      </c>
      <c r="G124" s="56">
        <f>G122-J122</f>
        <v>160119.30853136003</v>
      </c>
      <c r="I124" s="56"/>
      <c r="J124" s="56"/>
      <c r="K124" s="56"/>
      <c r="L124" s="28"/>
      <c r="M124" s="112">
        <v>32</v>
      </c>
      <c r="N124" s="19">
        <v>43101</v>
      </c>
      <c r="O124" s="13" t="s">
        <v>20</v>
      </c>
      <c r="P124" s="58">
        <f>R124/1000</f>
        <v>194.33360356254929</v>
      </c>
      <c r="Q124" s="13">
        <v>1000</v>
      </c>
      <c r="R124" s="58">
        <f>R122-U122</f>
        <v>194333.60356254928</v>
      </c>
      <c r="T124" s="56"/>
      <c r="U124" s="56"/>
      <c r="V124" s="56"/>
    </row>
    <row r="125" spans="1:22" x14ac:dyDescent="0.2">
      <c r="A125" s="66">
        <v>3.2939112690311419E-2</v>
      </c>
      <c r="B125" s="112"/>
      <c r="C125" s="19">
        <v>43464</v>
      </c>
      <c r="D125" s="13" t="s">
        <v>22</v>
      </c>
      <c r="E125" s="56">
        <f>E124*(1+A124)</f>
        <v>165.65940428888649</v>
      </c>
      <c r="F125" s="13">
        <v>1000</v>
      </c>
      <c r="G125" s="56">
        <f>F125*E125</f>
        <v>165659.40428888649</v>
      </c>
      <c r="I125" s="56">
        <f>G125-G124</f>
        <v>5540.095757526462</v>
      </c>
      <c r="J125" s="56">
        <f>I125*$C$4</f>
        <v>1694.7152922273447</v>
      </c>
      <c r="K125" s="56">
        <f>I125-J125</f>
        <v>3845.3804652991175</v>
      </c>
      <c r="L125" s="28"/>
      <c r="M125" s="112"/>
      <c r="N125" s="19">
        <v>43464</v>
      </c>
      <c r="O125" s="13" t="s">
        <v>22</v>
      </c>
      <c r="P125" s="56">
        <f>P124*(1+A124)</f>
        <v>201.0575070225174</v>
      </c>
      <c r="Q125" s="13">
        <v>1000</v>
      </c>
      <c r="R125" s="58">
        <f>Q125*P125</f>
        <v>201057.50702251741</v>
      </c>
      <c r="T125" s="56">
        <f>R125-R124</f>
        <v>6723.9034599681327</v>
      </c>
      <c r="U125" s="56">
        <v>0</v>
      </c>
      <c r="V125" s="56">
        <f>T125-U125</f>
        <v>6723.9034599681327</v>
      </c>
    </row>
    <row r="126" spans="1:22" x14ac:dyDescent="0.2">
      <c r="A126" s="66">
        <v>3.2939112690311419E-2</v>
      </c>
      <c r="E126" s="56"/>
      <c r="G126" s="56"/>
      <c r="I126" s="56"/>
      <c r="J126" s="56"/>
      <c r="K126" s="56"/>
      <c r="L126" s="28"/>
      <c r="P126" s="58"/>
      <c r="R126" s="58"/>
      <c r="T126" s="56"/>
      <c r="U126" s="56"/>
      <c r="V126" s="56"/>
    </row>
    <row r="127" spans="1:22" x14ac:dyDescent="0.2">
      <c r="A127" s="66">
        <v>3.989611649374946E-2</v>
      </c>
      <c r="B127" s="112">
        <v>33</v>
      </c>
      <c r="C127" s="19">
        <v>43101</v>
      </c>
      <c r="D127" s="13" t="s">
        <v>20</v>
      </c>
      <c r="E127" s="56">
        <f>G127/1000</f>
        <v>163.96468899665916</v>
      </c>
      <c r="F127" s="13">
        <v>1000</v>
      </c>
      <c r="G127" s="56">
        <f>G125-J125</f>
        <v>163964.68899665916</v>
      </c>
      <c r="I127" s="56"/>
      <c r="J127" s="56"/>
      <c r="K127" s="56"/>
      <c r="L127" s="28"/>
      <c r="M127" s="112">
        <v>33</v>
      </c>
      <c r="N127" s="19">
        <v>43101</v>
      </c>
      <c r="O127" s="13" t="s">
        <v>20</v>
      </c>
      <c r="P127" s="58">
        <f>R127/1000</f>
        <v>201.05750702251743</v>
      </c>
      <c r="Q127" s="13">
        <v>1000</v>
      </c>
      <c r="R127" s="58">
        <f>R125-U125</f>
        <v>201057.50702251741</v>
      </c>
      <c r="T127" s="56"/>
      <c r="U127" s="56"/>
      <c r="V127" s="56"/>
    </row>
    <row r="128" spans="1:22" x14ac:dyDescent="0.2">
      <c r="A128" s="66">
        <v>3.2939112690311419E-2</v>
      </c>
      <c r="B128" s="112"/>
      <c r="C128" s="19">
        <v>43464</v>
      </c>
      <c r="D128" s="13" t="s">
        <v>22</v>
      </c>
      <c r="E128" s="56">
        <f>E127*(1+A127)</f>
        <v>170.50624332973129</v>
      </c>
      <c r="F128" s="13">
        <v>1000</v>
      </c>
      <c r="G128" s="56">
        <f>F128*E128</f>
        <v>170506.24332973128</v>
      </c>
      <c r="I128" s="56">
        <f>G128-G127</f>
        <v>6541.5543330721266</v>
      </c>
      <c r="J128" s="56">
        <f>I128*$C$4</f>
        <v>2001.0614704867635</v>
      </c>
      <c r="K128" s="56">
        <f>I128-J128</f>
        <v>4540.4928625853627</v>
      </c>
      <c r="L128" s="28"/>
      <c r="M128" s="112"/>
      <c r="N128" s="19">
        <v>43464</v>
      </c>
      <c r="O128" s="13" t="s">
        <v>22</v>
      </c>
      <c r="P128" s="56">
        <f>P127*(1+A127)</f>
        <v>209.07892074463064</v>
      </c>
      <c r="Q128" s="13">
        <v>1000</v>
      </c>
      <c r="R128" s="58">
        <f>Q128*P128</f>
        <v>209078.92074463062</v>
      </c>
      <c r="T128" s="56">
        <f>R128-R127</f>
        <v>8021.4137221132114</v>
      </c>
      <c r="U128" s="56">
        <v>0</v>
      </c>
      <c r="V128" s="56">
        <f>T128-U128</f>
        <v>8021.4137221132114</v>
      </c>
    </row>
    <row r="129" spans="1:22" x14ac:dyDescent="0.2">
      <c r="A129" s="66">
        <v>3.2939112690311419E-2</v>
      </c>
      <c r="E129" s="56"/>
      <c r="G129" s="56"/>
      <c r="I129" s="56"/>
      <c r="J129" s="56"/>
      <c r="K129" s="56"/>
      <c r="L129" s="28"/>
      <c r="P129" s="58"/>
      <c r="R129" s="58"/>
      <c r="T129" s="56"/>
      <c r="U129" s="56"/>
      <c r="V129" s="56"/>
    </row>
    <row r="130" spans="1:22" x14ac:dyDescent="0.2">
      <c r="A130" s="66">
        <v>-3.7550868973330091E-2</v>
      </c>
      <c r="B130" s="112">
        <v>34</v>
      </c>
      <c r="C130" s="19">
        <v>43101</v>
      </c>
      <c r="D130" s="13" t="s">
        <v>20</v>
      </c>
      <c r="E130" s="56">
        <f>G130/1000</f>
        <v>168.50518185924452</v>
      </c>
      <c r="F130" s="13">
        <v>1000</v>
      </c>
      <c r="G130" s="56">
        <f>G128-J128</f>
        <v>168505.18185924451</v>
      </c>
      <c r="I130" s="56"/>
      <c r="J130" s="56"/>
      <c r="K130" s="56"/>
      <c r="L130" s="28"/>
      <c r="M130" s="112">
        <v>34</v>
      </c>
      <c r="N130" s="19">
        <v>43101</v>
      </c>
      <c r="O130" s="13" t="s">
        <v>20</v>
      </c>
      <c r="P130" s="58">
        <f>R130/1000</f>
        <v>209.07892074463064</v>
      </c>
      <c r="Q130" s="13">
        <v>1000</v>
      </c>
      <c r="R130" s="58">
        <f>R128-U128</f>
        <v>209078.92074463062</v>
      </c>
      <c r="T130" s="56"/>
      <c r="U130" s="56"/>
      <c r="V130" s="56"/>
    </row>
    <row r="131" spans="1:22" x14ac:dyDescent="0.2">
      <c r="A131" s="66">
        <v>3.2939112690311419E-2</v>
      </c>
      <c r="B131" s="112"/>
      <c r="C131" s="19">
        <v>43464</v>
      </c>
      <c r="D131" s="13" t="s">
        <v>22</v>
      </c>
      <c r="E131" s="56">
        <f>E130*(1+A130)</f>
        <v>162.17766585392087</v>
      </c>
      <c r="F131" s="13">
        <v>1000</v>
      </c>
      <c r="G131" s="56">
        <f>F131*E131</f>
        <v>162177.66585392086</v>
      </c>
      <c r="I131" s="56">
        <f>G131-G130</f>
        <v>-6327.5160053236468</v>
      </c>
      <c r="J131" s="56">
        <f>I131*$C$4</f>
        <v>-1935.5871460285036</v>
      </c>
      <c r="K131" s="56">
        <f>I131-J131</f>
        <v>-4391.9288592951434</v>
      </c>
      <c r="L131" s="28"/>
      <c r="M131" s="112"/>
      <c r="N131" s="19">
        <v>43464</v>
      </c>
      <c r="O131" s="13" t="s">
        <v>22</v>
      </c>
      <c r="P131" s="56">
        <f>P130*(1+A130)</f>
        <v>201.22782558666376</v>
      </c>
      <c r="Q131" s="13">
        <v>1000</v>
      </c>
      <c r="R131" s="58">
        <f>Q131*P131</f>
        <v>201227.82558666376</v>
      </c>
      <c r="T131" s="56">
        <f>R131-R130</f>
        <v>-7851.0951579668617</v>
      </c>
      <c r="U131" s="56">
        <v>0</v>
      </c>
      <c r="V131" s="56">
        <f>T131-U131</f>
        <v>-7851.0951579668617</v>
      </c>
    </row>
    <row r="132" spans="1:22" x14ac:dyDescent="0.2">
      <c r="A132" s="66">
        <v>3.2939112690311419E-2</v>
      </c>
      <c r="E132" s="56"/>
      <c r="G132" s="56"/>
      <c r="I132" s="56"/>
      <c r="J132" s="56"/>
      <c r="K132" s="56"/>
      <c r="L132" s="28"/>
      <c r="P132" s="58"/>
      <c r="R132" s="58"/>
      <c r="T132" s="56"/>
      <c r="U132" s="56"/>
      <c r="V132" s="56"/>
    </row>
    <row r="133" spans="1:22" x14ac:dyDescent="0.2">
      <c r="A133" s="66">
        <v>-5.9337447076199347E-2</v>
      </c>
      <c r="B133" s="112">
        <v>35</v>
      </c>
      <c r="C133" s="19">
        <v>43101</v>
      </c>
      <c r="D133" s="13" t="s">
        <v>20</v>
      </c>
      <c r="E133" s="56">
        <f>G133/1000</f>
        <v>164.11325299994937</v>
      </c>
      <c r="F133" s="13">
        <v>1000</v>
      </c>
      <c r="G133" s="56">
        <f>G131-J131</f>
        <v>164113.25299994936</v>
      </c>
      <c r="I133" s="56"/>
      <c r="J133" s="56"/>
      <c r="K133" s="56"/>
      <c r="L133" s="28"/>
      <c r="M133" s="112">
        <v>35</v>
      </c>
      <c r="N133" s="19">
        <v>43101</v>
      </c>
      <c r="O133" s="13" t="s">
        <v>20</v>
      </c>
      <c r="P133" s="58">
        <f>R133/1000</f>
        <v>201.22782558666376</v>
      </c>
      <c r="Q133" s="13">
        <v>1000</v>
      </c>
      <c r="R133" s="58">
        <f>R131-U131</f>
        <v>201227.82558666376</v>
      </c>
      <c r="T133" s="56"/>
      <c r="U133" s="56"/>
      <c r="V133" s="56"/>
    </row>
    <row r="134" spans="1:22" x14ac:dyDescent="0.2">
      <c r="A134" s="66">
        <v>3.2939112690311419E-2</v>
      </c>
      <c r="B134" s="112"/>
      <c r="C134" s="19">
        <v>43464</v>
      </c>
      <c r="D134" s="13" t="s">
        <v>22</v>
      </c>
      <c r="E134" s="56">
        <f>E133*(1+A133)</f>
        <v>154.37519153556195</v>
      </c>
      <c r="F134" s="13">
        <v>1000</v>
      </c>
      <c r="G134" s="56">
        <f>F134*E134</f>
        <v>154375.19153556196</v>
      </c>
      <c r="I134" s="56">
        <f>G134-G133</f>
        <v>-9738.0614643873996</v>
      </c>
      <c r="J134" s="56">
        <f>I134*$C$4</f>
        <v>-2978.8730019561058</v>
      </c>
      <c r="K134" s="56">
        <f>I134-J134</f>
        <v>-6759.1884624312934</v>
      </c>
      <c r="L134" s="28"/>
      <c r="M134" s="112"/>
      <c r="N134" s="19">
        <v>43464</v>
      </c>
      <c r="O134" s="13" t="s">
        <v>22</v>
      </c>
      <c r="P134" s="56">
        <f>P133*(1+A133)</f>
        <v>189.28748013565641</v>
      </c>
      <c r="Q134" s="13">
        <v>1000</v>
      </c>
      <c r="R134" s="58">
        <f>Q134*P134</f>
        <v>189287.4801356564</v>
      </c>
      <c r="T134" s="56">
        <f>R134-R133</f>
        <v>-11940.345451007364</v>
      </c>
      <c r="U134" s="56">
        <v>0</v>
      </c>
      <c r="V134" s="56">
        <f>T134-U134</f>
        <v>-11940.345451007364</v>
      </c>
    </row>
    <row r="135" spans="1:22" x14ac:dyDescent="0.2">
      <c r="A135" s="66">
        <v>3.2939112690311419E-2</v>
      </c>
      <c r="E135" s="56"/>
      <c r="G135" s="56"/>
      <c r="I135" s="56"/>
      <c r="J135" s="56"/>
      <c r="K135" s="56"/>
      <c r="L135" s="28"/>
      <c r="P135" s="58"/>
      <c r="R135" s="58"/>
      <c r="T135" s="56"/>
      <c r="U135" s="56"/>
      <c r="V135" s="56"/>
    </row>
    <row r="136" spans="1:22" x14ac:dyDescent="0.2">
      <c r="A136" s="66">
        <v>-8.3784384928850958E-3</v>
      </c>
      <c r="B136" s="112">
        <v>36</v>
      </c>
      <c r="C136" s="19">
        <v>43101</v>
      </c>
      <c r="D136" s="13" t="s">
        <v>20</v>
      </c>
      <c r="E136" s="56">
        <f>G136/1000</f>
        <v>157.35406453751807</v>
      </c>
      <c r="F136" s="13">
        <v>1000</v>
      </c>
      <c r="G136" s="56">
        <f>G134-J134</f>
        <v>157354.06453751808</v>
      </c>
      <c r="I136" s="56"/>
      <c r="J136" s="56"/>
      <c r="K136" s="56"/>
      <c r="L136" s="28"/>
      <c r="M136" s="112">
        <v>36</v>
      </c>
      <c r="N136" s="19">
        <v>43101</v>
      </c>
      <c r="O136" s="13" t="s">
        <v>20</v>
      </c>
      <c r="P136" s="58">
        <f>R136/1000</f>
        <v>189.28748013565641</v>
      </c>
      <c r="Q136" s="13">
        <v>1000</v>
      </c>
      <c r="R136" s="58">
        <f>R134-U134</f>
        <v>189287.4801356564</v>
      </c>
      <c r="T136" s="56"/>
      <c r="U136" s="56"/>
      <c r="V136" s="56"/>
    </row>
    <row r="137" spans="1:22" x14ac:dyDescent="0.2">
      <c r="A137" s="66">
        <v>3.2939112690311419E-2</v>
      </c>
      <c r="B137" s="112"/>
      <c r="C137" s="19">
        <v>43464</v>
      </c>
      <c r="D137" s="13" t="s">
        <v>22</v>
      </c>
      <c r="E137" s="56">
        <f>E136*(1+A136)</f>
        <v>156.035683186185</v>
      </c>
      <c r="F137" s="13">
        <v>1000</v>
      </c>
      <c r="G137" s="56">
        <f>F137*E137</f>
        <v>156035.68318618499</v>
      </c>
      <c r="I137" s="56">
        <f>G137-G136</f>
        <v>-1318.3813513330824</v>
      </c>
      <c r="J137" s="56">
        <f>I137*$C$4</f>
        <v>-403.29285537278992</v>
      </c>
      <c r="K137" s="56">
        <f>I137-J137</f>
        <v>-915.08849596029245</v>
      </c>
      <c r="L137" s="28"/>
      <c r="M137" s="112"/>
      <c r="N137" s="19">
        <v>43464</v>
      </c>
      <c r="O137" s="13" t="s">
        <v>22</v>
      </c>
      <c r="P137" s="56">
        <f>P136*(1+A136)</f>
        <v>187.7015466258666</v>
      </c>
      <c r="Q137" s="13">
        <v>1000</v>
      </c>
      <c r="R137" s="58">
        <f>Q137*P137</f>
        <v>187701.54662586658</v>
      </c>
      <c r="T137" s="56">
        <f>R137-R136</f>
        <v>-1585.9335097898147</v>
      </c>
      <c r="U137" s="56">
        <v>0</v>
      </c>
      <c r="V137" s="56">
        <f>T137-U137</f>
        <v>-1585.9335097898147</v>
      </c>
    </row>
    <row r="138" spans="1:22" x14ac:dyDescent="0.2">
      <c r="A138" s="66">
        <v>3.2939112690311419E-2</v>
      </c>
      <c r="E138" s="56"/>
      <c r="G138" s="56"/>
      <c r="I138" s="56"/>
      <c r="J138" s="56"/>
      <c r="K138" s="56"/>
      <c r="L138" s="28"/>
      <c r="P138" s="58"/>
      <c r="R138" s="58"/>
      <c r="T138" s="56"/>
      <c r="U138" s="56"/>
      <c r="V138" s="56"/>
    </row>
    <row r="139" spans="1:22" x14ac:dyDescent="0.2">
      <c r="A139" s="66">
        <v>-1.0655935789235869E-2</v>
      </c>
      <c r="B139" s="112">
        <v>37</v>
      </c>
      <c r="C139" s="19">
        <v>43101</v>
      </c>
      <c r="D139" s="13" t="s">
        <v>20</v>
      </c>
      <c r="E139" s="56">
        <f>G139/1000</f>
        <v>156.43897604155779</v>
      </c>
      <c r="F139" s="13">
        <v>1000</v>
      </c>
      <c r="G139" s="56">
        <f>G137-J137</f>
        <v>156438.97604155779</v>
      </c>
      <c r="I139" s="56"/>
      <c r="J139" s="56"/>
      <c r="K139" s="56"/>
      <c r="L139" s="28"/>
      <c r="M139" s="112">
        <v>37</v>
      </c>
      <c r="N139" s="19">
        <v>43101</v>
      </c>
      <c r="O139" s="13" t="s">
        <v>20</v>
      </c>
      <c r="P139" s="58">
        <f>R139/1000</f>
        <v>187.70154662586657</v>
      </c>
      <c r="Q139" s="13">
        <v>1000</v>
      </c>
      <c r="R139" s="58">
        <f>R137-U137</f>
        <v>187701.54662586658</v>
      </c>
      <c r="T139" s="56"/>
      <c r="U139" s="56"/>
      <c r="V139" s="56"/>
    </row>
    <row r="140" spans="1:22" x14ac:dyDescent="0.2">
      <c r="A140" s="66">
        <v>3.2939112690311419E-2</v>
      </c>
      <c r="B140" s="112"/>
      <c r="C140" s="19">
        <v>43464</v>
      </c>
      <c r="D140" s="13" t="s">
        <v>22</v>
      </c>
      <c r="E140" s="56">
        <f>E139*(1+A139)</f>
        <v>154.77197235792514</v>
      </c>
      <c r="F140" s="13">
        <v>1000</v>
      </c>
      <c r="G140" s="56">
        <f>F140*E140</f>
        <v>154771.97235792514</v>
      </c>
      <c r="I140" s="56">
        <f>G140-G139</f>
        <v>-1667.0036836326472</v>
      </c>
      <c r="J140" s="56">
        <f>I140*$C$4</f>
        <v>-509.93642682322678</v>
      </c>
      <c r="K140" s="56">
        <f>I140-J140</f>
        <v>-1157.0672568094203</v>
      </c>
      <c r="L140" s="28"/>
      <c r="M140" s="112"/>
      <c r="N140" s="19">
        <v>43464</v>
      </c>
      <c r="O140" s="13" t="s">
        <v>22</v>
      </c>
      <c r="P140" s="56">
        <f>P139*(1+A139)</f>
        <v>185.70141099748108</v>
      </c>
      <c r="Q140" s="13">
        <v>1000</v>
      </c>
      <c r="R140" s="58">
        <f>Q140*P140</f>
        <v>185701.41099748109</v>
      </c>
      <c r="T140" s="56">
        <f>R140-R139</f>
        <v>-2000.1356283854984</v>
      </c>
      <c r="U140" s="56">
        <v>0</v>
      </c>
      <c r="V140" s="56">
        <f>T140-U140</f>
        <v>-2000.1356283854984</v>
      </c>
    </row>
    <row r="141" spans="1:22" x14ac:dyDescent="0.2">
      <c r="A141" s="66">
        <v>3.2939112690311419E-2</v>
      </c>
      <c r="E141" s="56"/>
      <c r="G141" s="56"/>
      <c r="I141" s="56"/>
      <c r="J141" s="56"/>
      <c r="K141" s="56"/>
      <c r="L141" s="28"/>
      <c r="P141" s="58"/>
      <c r="R141" s="58"/>
      <c r="T141" s="56"/>
      <c r="U141" s="56"/>
      <c r="V141" s="56"/>
    </row>
    <row r="142" spans="1:22" x14ac:dyDescent="0.2">
      <c r="A142" s="66">
        <v>3.5163178101320337E-2</v>
      </c>
      <c r="B142" s="112">
        <v>38</v>
      </c>
      <c r="C142" s="19">
        <v>43101</v>
      </c>
      <c r="D142" s="13" t="s">
        <v>20</v>
      </c>
      <c r="E142" s="56">
        <f>G142/1000</f>
        <v>155.28190878474837</v>
      </c>
      <c r="F142" s="13">
        <v>1000</v>
      </c>
      <c r="G142" s="56">
        <f>G140-J140</f>
        <v>155281.90878474838</v>
      </c>
      <c r="I142" s="56"/>
      <c r="J142" s="56"/>
      <c r="K142" s="56"/>
      <c r="L142" s="28"/>
      <c r="M142" s="112">
        <v>38</v>
      </c>
      <c r="N142" s="19">
        <v>43101</v>
      </c>
      <c r="O142" s="13" t="s">
        <v>20</v>
      </c>
      <c r="P142" s="58">
        <f>R142/1000</f>
        <v>185.70141099748108</v>
      </c>
      <c r="Q142" s="13">
        <v>1000</v>
      </c>
      <c r="R142" s="58">
        <f>R140-U140</f>
        <v>185701.41099748109</v>
      </c>
      <c r="T142" s="56"/>
      <c r="U142" s="56"/>
      <c r="V142" s="56"/>
    </row>
    <row r="143" spans="1:22" x14ac:dyDescent="0.2">
      <c r="A143" s="66">
        <v>3.2939112690311419E-2</v>
      </c>
      <c r="B143" s="112"/>
      <c r="C143" s="19">
        <v>43464</v>
      </c>
      <c r="D143" s="13" t="s">
        <v>22</v>
      </c>
      <c r="E143" s="56">
        <f>E142*(1+A142)</f>
        <v>160.74211419925948</v>
      </c>
      <c r="F143" s="13">
        <v>1000</v>
      </c>
      <c r="G143" s="56">
        <f>F143*E143</f>
        <v>160742.11419925946</v>
      </c>
      <c r="I143" s="56">
        <f>G143-G142</f>
        <v>5460.2054145110887</v>
      </c>
      <c r="J143" s="56">
        <f>I143*$C$4</f>
        <v>1670.276836298942</v>
      </c>
      <c r="K143" s="56">
        <f>I143-J143</f>
        <v>3789.9285782121469</v>
      </c>
      <c r="L143" s="28"/>
      <c r="M143" s="112"/>
      <c r="N143" s="19">
        <v>43464</v>
      </c>
      <c r="O143" s="13" t="s">
        <v>22</v>
      </c>
      <c r="P143" s="56">
        <f>P142*(1+A142)</f>
        <v>192.23126278605201</v>
      </c>
      <c r="Q143" s="13">
        <v>1000</v>
      </c>
      <c r="R143" s="58">
        <f>Q143*P143</f>
        <v>192231.26278605202</v>
      </c>
      <c r="T143" s="56">
        <f>R143-R142</f>
        <v>6529.8517885709298</v>
      </c>
      <c r="U143" s="56">
        <v>0</v>
      </c>
      <c r="V143" s="56">
        <f>T143-U143</f>
        <v>6529.8517885709298</v>
      </c>
    </row>
    <row r="144" spans="1:22" x14ac:dyDescent="0.2">
      <c r="A144" s="66">
        <v>3.2939112690311419E-2</v>
      </c>
      <c r="E144" s="56"/>
      <c r="G144" s="56"/>
      <c r="I144" s="56"/>
      <c r="J144" s="56"/>
      <c r="K144" s="56"/>
      <c r="L144" s="28"/>
      <c r="P144" s="58"/>
      <c r="R144" s="58"/>
      <c r="T144" s="56"/>
      <c r="U144" s="56"/>
      <c r="V144" s="56"/>
    </row>
    <row r="145" spans="1:22" x14ac:dyDescent="0.2">
      <c r="A145" s="66">
        <v>-6.5530480312368147E-2</v>
      </c>
      <c r="B145" s="112">
        <v>39</v>
      </c>
      <c r="C145" s="19">
        <v>43101</v>
      </c>
      <c r="D145" s="13" t="s">
        <v>20</v>
      </c>
      <c r="E145" s="56">
        <f>G145/1000</f>
        <v>159.07183736296054</v>
      </c>
      <c r="F145" s="13">
        <v>1000</v>
      </c>
      <c r="G145" s="56">
        <f>G143-J143</f>
        <v>159071.83736296053</v>
      </c>
      <c r="I145" s="56"/>
      <c r="J145" s="56"/>
      <c r="K145" s="56"/>
      <c r="L145" s="28"/>
      <c r="M145" s="112">
        <v>39</v>
      </c>
      <c r="N145" s="19">
        <v>43101</v>
      </c>
      <c r="O145" s="13" t="s">
        <v>20</v>
      </c>
      <c r="P145" s="58">
        <f>R145/1000</f>
        <v>192.23126278605201</v>
      </c>
      <c r="Q145" s="13">
        <v>1000</v>
      </c>
      <c r="R145" s="58">
        <f>R143-U143</f>
        <v>192231.26278605202</v>
      </c>
      <c r="T145" s="56"/>
      <c r="U145" s="56"/>
      <c r="V145" s="56"/>
    </row>
    <row r="146" spans="1:22" x14ac:dyDescent="0.2">
      <c r="A146" s="66">
        <v>3.2939112690311419E-2</v>
      </c>
      <c r="B146" s="112"/>
      <c r="C146" s="19">
        <v>43464</v>
      </c>
      <c r="D146" s="13" t="s">
        <v>22</v>
      </c>
      <c r="E146" s="56">
        <f>E145*(1+A145)</f>
        <v>148.64778345639482</v>
      </c>
      <c r="F146" s="13">
        <v>1000</v>
      </c>
      <c r="G146" s="56">
        <f>F146*E146</f>
        <v>148647.78345639483</v>
      </c>
      <c r="I146" s="56">
        <f>G146-G145</f>
        <v>-10424.053906565707</v>
      </c>
      <c r="J146" s="56">
        <f>I146*$C$4</f>
        <v>-3188.7180900184499</v>
      </c>
      <c r="K146" s="56">
        <f>I146-J146</f>
        <v>-7235.3358165472564</v>
      </c>
      <c r="L146" s="28"/>
      <c r="M146" s="112"/>
      <c r="N146" s="19">
        <v>43464</v>
      </c>
      <c r="O146" s="13" t="s">
        <v>22</v>
      </c>
      <c r="P146" s="56">
        <f>P145*(1+A145)</f>
        <v>179.63425580462896</v>
      </c>
      <c r="Q146" s="13">
        <v>1000</v>
      </c>
      <c r="R146" s="58">
        <f>Q146*P146</f>
        <v>179634.25580462898</v>
      </c>
      <c r="T146" s="56">
        <f>R146-R145</f>
        <v>-12597.006981423037</v>
      </c>
      <c r="U146" s="56">
        <v>0</v>
      </c>
      <c r="V146" s="56">
        <f>T146-U146</f>
        <v>-12597.006981423037</v>
      </c>
    </row>
    <row r="147" spans="1:22" x14ac:dyDescent="0.2">
      <c r="A147" s="66">
        <v>3.2939112690311419E-2</v>
      </c>
      <c r="E147" s="56"/>
      <c r="G147" s="56"/>
      <c r="I147" s="56"/>
      <c r="J147" s="56"/>
      <c r="K147" s="56"/>
      <c r="L147" s="28"/>
      <c r="P147" s="58"/>
      <c r="R147" s="58"/>
      <c r="T147" s="56"/>
      <c r="U147" s="56"/>
      <c r="V147" s="56"/>
    </row>
    <row r="148" spans="1:22" x14ac:dyDescent="0.2">
      <c r="A148" s="66">
        <v>-4.1139177927749813E-2</v>
      </c>
      <c r="B148" s="112">
        <v>40</v>
      </c>
      <c r="C148" s="23">
        <v>43101</v>
      </c>
      <c r="D148" s="24" t="s">
        <v>20</v>
      </c>
      <c r="E148" s="56">
        <f>G148/1000</f>
        <v>151.8365015464133</v>
      </c>
      <c r="F148" s="24">
        <v>1000</v>
      </c>
      <c r="G148" s="56">
        <f>G146-J146</f>
        <v>151836.50154641329</v>
      </c>
      <c r="H148" s="24"/>
      <c r="I148" s="56"/>
      <c r="J148" s="56"/>
      <c r="K148" s="56"/>
      <c r="L148" s="28"/>
      <c r="M148" s="112">
        <v>40</v>
      </c>
      <c r="N148" s="23">
        <v>43101</v>
      </c>
      <c r="O148" s="24" t="s">
        <v>20</v>
      </c>
      <c r="P148" s="58">
        <f>R148/1000</f>
        <v>179.63425580462896</v>
      </c>
      <c r="Q148" s="24">
        <v>1000</v>
      </c>
      <c r="R148" s="58">
        <f>R146-U146</f>
        <v>179634.25580462898</v>
      </c>
      <c r="S148" s="24"/>
      <c r="T148" s="56"/>
      <c r="U148" s="56"/>
      <c r="V148" s="56"/>
    </row>
    <row r="149" spans="1:22" x14ac:dyDescent="0.2">
      <c r="A149" s="66">
        <v>3.2939112690311419E-2</v>
      </c>
      <c r="B149" s="113"/>
      <c r="C149" s="25">
        <v>43464</v>
      </c>
      <c r="D149" s="26" t="s">
        <v>22</v>
      </c>
      <c r="E149" s="56">
        <f>E148*(1+A148)</f>
        <v>145.59007269336834</v>
      </c>
      <c r="F149" s="26">
        <v>1000</v>
      </c>
      <c r="G149" s="57">
        <f>F149*E149</f>
        <v>145590.07269336833</v>
      </c>
      <c r="H149" s="26"/>
      <c r="I149" s="57">
        <f>G149-G148</f>
        <v>-6246.4288530449558</v>
      </c>
      <c r="J149" s="57">
        <f>I149*$C$4</f>
        <v>-1910.7825861464521</v>
      </c>
      <c r="K149" s="57">
        <f>I149-J149</f>
        <v>-4335.6462668985041</v>
      </c>
      <c r="L149" s="28"/>
      <c r="M149" s="113"/>
      <c r="N149" s="25">
        <v>43464</v>
      </c>
      <c r="O149" s="26" t="s">
        <v>22</v>
      </c>
      <c r="P149" s="56">
        <f>P148*(1+A148)</f>
        <v>172.24425019316342</v>
      </c>
      <c r="Q149" s="26">
        <v>1000</v>
      </c>
      <c r="R149" s="59">
        <f>Q149*P149</f>
        <v>172244.25019316343</v>
      </c>
      <c r="S149" s="26"/>
      <c r="T149" s="57">
        <f>R149-R148</f>
        <v>-7390.0056114655454</v>
      </c>
      <c r="U149" s="57">
        <v>0</v>
      </c>
      <c r="V149" s="57">
        <f>T149-U149</f>
        <v>-7390.0056114655454</v>
      </c>
    </row>
    <row r="150" spans="1:22" x14ac:dyDescent="0.2">
      <c r="B150" s="50"/>
      <c r="M150" s="50"/>
    </row>
    <row r="152" spans="1:22" x14ac:dyDescent="0.2">
      <c r="B152" s="13" t="s">
        <v>26</v>
      </c>
      <c r="C152" s="56">
        <f>G149</f>
        <v>145590.07269336833</v>
      </c>
      <c r="D152" s="51">
        <f>(C152/100000)^(1/40)-1</f>
        <v>9.4348493401013034E-3</v>
      </c>
      <c r="J152" s="14">
        <f>SUM(J32:J149)</f>
        <v>20934.320170009425</v>
      </c>
      <c r="M152" s="13" t="s">
        <v>26</v>
      </c>
      <c r="N152" s="14">
        <f>R149</f>
        <v>172244.25019316343</v>
      </c>
      <c r="O152" s="51">
        <f>(N152/100000)^(1/40)-1</f>
        <v>1.3686396402224466E-2</v>
      </c>
      <c r="T152" s="14"/>
    </row>
    <row r="153" spans="1:22" x14ac:dyDescent="0.2">
      <c r="B153" s="13" t="s">
        <v>24</v>
      </c>
      <c r="C153" s="14">
        <f>J149</f>
        <v>-1910.7825861464521</v>
      </c>
      <c r="J153" s="18">
        <v>-33342.448242472667</v>
      </c>
      <c r="M153" s="13" t="s">
        <v>24</v>
      </c>
      <c r="N153" s="20">
        <f>(N152-R31)*C4</f>
        <v>22099.516134088695</v>
      </c>
      <c r="O153" s="14"/>
    </row>
    <row r="154" spans="1:22" x14ac:dyDescent="0.2">
      <c r="B154" s="13" t="s">
        <v>27</v>
      </c>
      <c r="C154" s="20">
        <f>C152-C153</f>
        <v>147500.8552795148</v>
      </c>
      <c r="J154" s="14"/>
      <c r="M154" s="13" t="s">
        <v>27</v>
      </c>
      <c r="N154" s="20">
        <f>N152-N153</f>
        <v>150144.73405907475</v>
      </c>
    </row>
    <row r="155" spans="1:22" x14ac:dyDescent="0.2">
      <c r="B155" s="13" t="s">
        <v>28</v>
      </c>
      <c r="C155" s="21">
        <f>(C154-G31)/G31</f>
        <v>0.47500855279514798</v>
      </c>
      <c r="M155" s="13" t="s">
        <v>28</v>
      </c>
      <c r="N155" s="21">
        <f>(N154-R31)/R31</f>
        <v>0.50144734059074747</v>
      </c>
      <c r="O155" s="21">
        <f>(N152-R31)/R31</f>
        <v>0.72244250193163428</v>
      </c>
    </row>
    <row r="156" spans="1:22" x14ac:dyDescent="0.2">
      <c r="B156" s="13" t="s">
        <v>29</v>
      </c>
      <c r="C156" s="21">
        <f>(1+C155)^(1/40)-1</f>
        <v>9.7639540796807811E-3</v>
      </c>
      <c r="M156" s="13" t="s">
        <v>29</v>
      </c>
      <c r="N156" s="21">
        <f>(1+N155)^(1/40)-1</f>
        <v>1.0212533996667439E-2</v>
      </c>
    </row>
    <row r="159" spans="1:22" x14ac:dyDescent="0.2">
      <c r="C159" s="50" t="s">
        <v>36</v>
      </c>
      <c r="D159" s="50" t="s">
        <v>37</v>
      </c>
      <c r="E159" s="13" t="s">
        <v>38</v>
      </c>
    </row>
    <row r="161" spans="2:5" x14ac:dyDescent="0.2">
      <c r="B161" s="50">
        <v>0</v>
      </c>
      <c r="C161" s="14">
        <f>G31</f>
        <v>100000</v>
      </c>
      <c r="D161" s="14">
        <f>R31</f>
        <v>100000</v>
      </c>
      <c r="E161" s="14">
        <f>D161-C161</f>
        <v>0</v>
      </c>
    </row>
    <row r="162" spans="2:5" x14ac:dyDescent="0.2">
      <c r="B162" s="50">
        <v>1</v>
      </c>
      <c r="C162" s="14">
        <f>G34</f>
        <v>101997.46739705505</v>
      </c>
      <c r="D162" s="14">
        <f>R34</f>
        <v>102877.78043085297</v>
      </c>
      <c r="E162" s="14">
        <f t="shared" ref="E162:E201" si="0">D162-C162</f>
        <v>880.31303379792371</v>
      </c>
    </row>
    <row r="163" spans="2:5" x14ac:dyDescent="0.2">
      <c r="B163" s="50">
        <v>2</v>
      </c>
      <c r="C163" s="14">
        <f>G37</f>
        <v>107906.54211856605</v>
      </c>
      <c r="D163" s="14">
        <f>R37</f>
        <v>111464.54656687094</v>
      </c>
      <c r="E163" s="14">
        <f t="shared" si="0"/>
        <v>3558.0044483048841</v>
      </c>
    </row>
    <row r="164" spans="2:5" x14ac:dyDescent="0.2">
      <c r="B164" s="50">
        <v>3</v>
      </c>
      <c r="C164" s="14">
        <f>G40</f>
        <v>109820.73318171517</v>
      </c>
      <c r="D164" s="14">
        <f>R40</f>
        <v>114313.28265846352</v>
      </c>
      <c r="E164" s="14">
        <f t="shared" si="0"/>
        <v>4492.5494767483469</v>
      </c>
    </row>
    <row r="165" spans="2:5" x14ac:dyDescent="0.2">
      <c r="B165" s="50">
        <v>4</v>
      </c>
      <c r="C165" s="14">
        <f>G43</f>
        <v>112473.51480340265</v>
      </c>
      <c r="D165" s="14">
        <f>R43</f>
        <v>118291.53029265502</v>
      </c>
      <c r="E165" s="14">
        <f t="shared" si="0"/>
        <v>5818.0154892523715</v>
      </c>
    </row>
    <row r="166" spans="2:5" x14ac:dyDescent="0.2">
      <c r="B166" s="50">
        <v>5</v>
      </c>
      <c r="C166" s="14">
        <f>G46</f>
        <v>116186.85465212331</v>
      </c>
      <c r="D166" s="14">
        <f>R46</f>
        <v>123918.13022667913</v>
      </c>
      <c r="E166" s="14">
        <f t="shared" si="0"/>
        <v>7731.2755745558243</v>
      </c>
    </row>
    <row r="167" spans="2:5" x14ac:dyDescent="0.2">
      <c r="B167" s="50">
        <v>6</v>
      </c>
      <c r="C167" s="14">
        <f>G49</f>
        <v>115730.44588448276</v>
      </c>
      <c r="D167" s="14">
        <f>R49</f>
        <v>123216.82061482656</v>
      </c>
      <c r="E167" s="14">
        <f t="shared" si="0"/>
        <v>7486.3747303437995</v>
      </c>
    </row>
    <row r="168" spans="2:5" x14ac:dyDescent="0.2">
      <c r="B168" s="50">
        <v>7</v>
      </c>
      <c r="C168" s="14">
        <f>G52</f>
        <v>116572.77625574877</v>
      </c>
      <c r="D168" s="14">
        <f>R52</f>
        <v>124508.88093015073</v>
      </c>
      <c r="E168" s="14">
        <f t="shared" si="0"/>
        <v>7936.104674401955</v>
      </c>
    </row>
    <row r="169" spans="2:5" x14ac:dyDescent="0.2">
      <c r="B169" s="50">
        <v>8</v>
      </c>
      <c r="C169" s="14">
        <f>G55</f>
        <v>124664.09265566031</v>
      </c>
      <c r="D169" s="14">
        <f>R55</f>
        <v>136959.76902316581</v>
      </c>
      <c r="E169" s="14">
        <f t="shared" si="0"/>
        <v>12295.676367505497</v>
      </c>
    </row>
    <row r="170" spans="2:5" x14ac:dyDescent="0.2">
      <c r="B170" s="50">
        <v>9</v>
      </c>
      <c r="C170" s="14">
        <f>G58</f>
        <v>123444.11925196293</v>
      </c>
      <c r="D170" s="14">
        <f>R58</f>
        <v>135028.77934240052</v>
      </c>
      <c r="E170" s="14">
        <f t="shared" si="0"/>
        <v>11584.660090437595</v>
      </c>
    </row>
    <row r="171" spans="2:5" x14ac:dyDescent="0.2">
      <c r="B171" s="50">
        <v>10</v>
      </c>
      <c r="C171" s="14">
        <f>G61</f>
        <v>118708.1347645058</v>
      </c>
      <c r="D171" s="14">
        <f>R61</f>
        <v>127565.25140105876</v>
      </c>
      <c r="E171" s="14">
        <f t="shared" si="0"/>
        <v>8857.1166365529643</v>
      </c>
    </row>
    <row r="172" spans="2:5" x14ac:dyDescent="0.2">
      <c r="B172" s="50">
        <v>11</v>
      </c>
      <c r="C172" s="14">
        <f>G64</f>
        <v>125642.1944751019</v>
      </c>
      <c r="D172" s="14">
        <f>R64</f>
        <v>138300.6318753766</v>
      </c>
      <c r="E172" s="14">
        <f t="shared" si="0"/>
        <v>12658.437400274692</v>
      </c>
    </row>
    <row r="173" spans="2:5" x14ac:dyDescent="0.2">
      <c r="B173" s="50">
        <v>12</v>
      </c>
      <c r="C173" s="14">
        <f>G67</f>
        <v>134363.01919361873</v>
      </c>
      <c r="D173" s="14">
        <f>R67</f>
        <v>152130.69506291428</v>
      </c>
      <c r="E173" s="14">
        <f t="shared" si="0"/>
        <v>17767.675869295548</v>
      </c>
    </row>
    <row r="174" spans="2:5" x14ac:dyDescent="0.2">
      <c r="B174" s="50">
        <v>13</v>
      </c>
      <c r="C174" s="14">
        <f>G70</f>
        <v>137217.36221322723</v>
      </c>
      <c r="D174" s="14">
        <f>R70</f>
        <v>156786.78343012882</v>
      </c>
      <c r="E174" s="14">
        <f t="shared" si="0"/>
        <v>19569.421216901595</v>
      </c>
    </row>
    <row r="175" spans="2:5" x14ac:dyDescent="0.2">
      <c r="B175" s="50">
        <v>14</v>
      </c>
      <c r="C175" s="14">
        <f>G73</f>
        <v>146741.61932444735</v>
      </c>
      <c r="D175" s="14">
        <f>R73</f>
        <v>172465.46177314172</v>
      </c>
      <c r="E175" s="14">
        <f t="shared" si="0"/>
        <v>25723.84244869437</v>
      </c>
    </row>
    <row r="176" spans="2:5" x14ac:dyDescent="0.2">
      <c r="B176" s="50">
        <v>15</v>
      </c>
      <c r="C176" s="14">
        <f>G76</f>
        <v>150601.54632653989</v>
      </c>
      <c r="D176" s="14">
        <f>R76</f>
        <v>179001.36894472782</v>
      </c>
      <c r="E176" s="14">
        <f t="shared" si="0"/>
        <v>28399.822618187929</v>
      </c>
    </row>
    <row r="177" spans="2:5" x14ac:dyDescent="0.2">
      <c r="B177" s="50">
        <v>16</v>
      </c>
      <c r="C177" s="14">
        <f>G79</f>
        <v>153219.498669397</v>
      </c>
      <c r="D177" s="14">
        <f>R79</f>
        <v>183484.34700319546</v>
      </c>
      <c r="E177" s="14">
        <f t="shared" si="0"/>
        <v>30264.848333798465</v>
      </c>
    </row>
    <row r="178" spans="2:5" x14ac:dyDescent="0.2">
      <c r="B178" s="50">
        <v>17</v>
      </c>
      <c r="C178" s="14">
        <f>G82</f>
        <v>156150.86686515625</v>
      </c>
      <c r="D178" s="14">
        <f>R82</f>
        <v>188541.81695125156</v>
      </c>
      <c r="E178" s="14">
        <f t="shared" si="0"/>
        <v>32390.950086095312</v>
      </c>
    </row>
    <row r="179" spans="2:5" x14ac:dyDescent="0.2">
      <c r="B179" s="50">
        <v>18</v>
      </c>
      <c r="C179" s="14">
        <f>G85</f>
        <v>154695.47605080548</v>
      </c>
      <c r="D179" s="14">
        <f>R85</f>
        <v>186010.06663082555</v>
      </c>
      <c r="E179" s="14">
        <f t="shared" si="0"/>
        <v>31314.590580020071</v>
      </c>
    </row>
    <row r="180" spans="2:5" x14ac:dyDescent="0.2">
      <c r="B180" s="50">
        <v>19</v>
      </c>
      <c r="C180" s="14">
        <f>G88</f>
        <v>162460.83383699134</v>
      </c>
      <c r="D180" s="14">
        <f>R88</f>
        <v>199462.41982059745</v>
      </c>
      <c r="E180" s="14">
        <f t="shared" si="0"/>
        <v>37001.585983606114</v>
      </c>
    </row>
    <row r="181" spans="2:5" x14ac:dyDescent="0.2">
      <c r="B181" s="50">
        <v>20</v>
      </c>
      <c r="C181" s="14">
        <f>G91</f>
        <v>157426.14930389769</v>
      </c>
      <c r="D181" s="14">
        <f>R91</f>
        <v>190556.83130633255</v>
      </c>
      <c r="E181" s="14">
        <f t="shared" si="0"/>
        <v>33130.682002434856</v>
      </c>
    </row>
    <row r="182" spans="2:5" x14ac:dyDescent="0.2">
      <c r="B182" s="50">
        <v>21</v>
      </c>
      <c r="C182" s="14">
        <f>G94</f>
        <v>168353.09832708124</v>
      </c>
      <c r="D182" s="14">
        <f>R94</f>
        <v>209612.51443696584</v>
      </c>
      <c r="E182" s="14">
        <f t="shared" si="0"/>
        <v>41259.416109884594</v>
      </c>
    </row>
    <row r="183" spans="2:5" x14ac:dyDescent="0.2">
      <c r="B183" s="50">
        <v>22</v>
      </c>
      <c r="C183" s="14">
        <f>G97</f>
        <v>171726.07065406605</v>
      </c>
      <c r="D183" s="14">
        <f>R97</f>
        <v>215662.95261679133</v>
      </c>
      <c r="E183" s="14">
        <f t="shared" si="0"/>
        <v>43936.881962725281</v>
      </c>
    </row>
    <row r="184" spans="2:5" x14ac:dyDescent="0.2">
      <c r="B184" s="50">
        <v>23</v>
      </c>
      <c r="C184" s="14">
        <f>G100</f>
        <v>169830.73326506498</v>
      </c>
      <c r="D184" s="14">
        <f>R100</f>
        <v>212233.66588148189</v>
      </c>
      <c r="E184" s="14">
        <f t="shared" si="0"/>
        <v>42402.932616416918</v>
      </c>
    </row>
    <row r="185" spans="2:5" x14ac:dyDescent="0.2">
      <c r="B185" s="50">
        <v>24</v>
      </c>
      <c r="C185" s="14">
        <f>G103</f>
        <v>163259.38364030464</v>
      </c>
      <c r="D185" s="14">
        <f>R103</f>
        <v>200402.41889486788</v>
      </c>
      <c r="E185" s="14">
        <f t="shared" si="0"/>
        <v>37143.035254563234</v>
      </c>
    </row>
    <row r="186" spans="2:5" x14ac:dyDescent="0.2">
      <c r="B186" s="50">
        <v>25</v>
      </c>
      <c r="C186" s="14">
        <f>G106</f>
        <v>156102.81473790083</v>
      </c>
      <c r="D186" s="14">
        <f>R106</f>
        <v>187746.09387277448</v>
      </c>
      <c r="E186" s="14">
        <f t="shared" si="0"/>
        <v>31643.27913487365</v>
      </c>
    </row>
    <row r="187" spans="2:5" x14ac:dyDescent="0.2">
      <c r="B187" s="50">
        <v>26</v>
      </c>
      <c r="C187" s="14">
        <f>G109</f>
        <v>166937.91110885856</v>
      </c>
      <c r="D187" s="14">
        <f>R109</f>
        <v>206520.70326005193</v>
      </c>
      <c r="E187" s="14">
        <f t="shared" si="0"/>
        <v>39582.792151193367</v>
      </c>
    </row>
    <row r="188" spans="2:5" x14ac:dyDescent="0.2">
      <c r="B188" s="50">
        <v>27</v>
      </c>
      <c r="C188" s="14">
        <f>G112</f>
        <v>160076.42144443409</v>
      </c>
      <c r="D188" s="14">
        <f>R112</f>
        <v>194291.30778471593</v>
      </c>
      <c r="E188" s="14">
        <f t="shared" si="0"/>
        <v>34214.886340281839</v>
      </c>
    </row>
    <row r="189" spans="2:5" x14ac:dyDescent="0.2">
      <c r="B189" s="50">
        <v>28</v>
      </c>
      <c r="C189" s="14">
        <f>G115</f>
        <v>157042.51690798858</v>
      </c>
      <c r="D189" s="14">
        <f>R115</f>
        <v>188986.05757106954</v>
      </c>
      <c r="E189" s="14">
        <f t="shared" si="0"/>
        <v>31943.540663080959</v>
      </c>
    </row>
    <row r="190" spans="2:5" x14ac:dyDescent="0.2">
      <c r="B190" s="50">
        <v>29</v>
      </c>
      <c r="C190" s="14">
        <f>G118</f>
        <v>158820.59329988307</v>
      </c>
      <c r="D190" s="14">
        <f>R118</f>
        <v>192068.82590720596</v>
      </c>
      <c r="E190" s="14">
        <f t="shared" si="0"/>
        <v>33248.232607322891</v>
      </c>
    </row>
    <row r="191" spans="2:5" x14ac:dyDescent="0.2">
      <c r="B191" s="50">
        <v>30</v>
      </c>
      <c r="C191" s="14">
        <f>G121</f>
        <v>159388.71079314846</v>
      </c>
      <c r="D191" s="14">
        <f>R121</f>
        <v>193058.66860880589</v>
      </c>
      <c r="E191" s="14">
        <f t="shared" si="0"/>
        <v>33669.957815657428</v>
      </c>
    </row>
    <row r="192" spans="2:5" x14ac:dyDescent="0.2">
      <c r="B192" s="50">
        <v>31</v>
      </c>
      <c r="C192" s="14">
        <f>G124</f>
        <v>160119.30853136003</v>
      </c>
      <c r="D192" s="14">
        <f>R124</f>
        <v>194333.60356254928</v>
      </c>
      <c r="E192" s="14">
        <f t="shared" si="0"/>
        <v>34214.295031189249</v>
      </c>
    </row>
    <row r="193" spans="2:7" x14ac:dyDescent="0.2">
      <c r="B193" s="50">
        <v>32</v>
      </c>
      <c r="C193" s="14">
        <f>G127</f>
        <v>163964.68899665916</v>
      </c>
      <c r="D193" s="14">
        <f>R127</f>
        <v>201057.50702251741</v>
      </c>
      <c r="E193" s="14">
        <f t="shared" si="0"/>
        <v>37092.818025858258</v>
      </c>
    </row>
    <row r="194" spans="2:7" x14ac:dyDescent="0.2">
      <c r="B194" s="50">
        <v>33</v>
      </c>
      <c r="C194" s="14">
        <f>G130</f>
        <v>168505.18185924451</v>
      </c>
      <c r="D194" s="14">
        <f>R130</f>
        <v>209078.92074463062</v>
      </c>
      <c r="E194" s="14">
        <f t="shared" si="0"/>
        <v>40573.738885386119</v>
      </c>
    </row>
    <row r="195" spans="2:7" x14ac:dyDescent="0.2">
      <c r="B195" s="50">
        <v>34</v>
      </c>
      <c r="C195" s="14">
        <f>G133</f>
        <v>164113.25299994936</v>
      </c>
      <c r="D195" s="14">
        <f>R133</f>
        <v>201227.82558666376</v>
      </c>
      <c r="E195" s="14">
        <f t="shared" si="0"/>
        <v>37114.572586714406</v>
      </c>
    </row>
    <row r="196" spans="2:7" x14ac:dyDescent="0.2">
      <c r="B196" s="50">
        <v>35</v>
      </c>
      <c r="C196" s="14">
        <f>G136</f>
        <v>157354.06453751808</v>
      </c>
      <c r="D196" s="14">
        <f>R136</f>
        <v>189287.4801356564</v>
      </c>
      <c r="E196" s="14">
        <f t="shared" si="0"/>
        <v>31933.415598138323</v>
      </c>
    </row>
    <row r="197" spans="2:7" x14ac:dyDescent="0.2">
      <c r="B197" s="50">
        <v>36</v>
      </c>
      <c r="C197" s="14">
        <f>G139</f>
        <v>156438.97604155779</v>
      </c>
      <c r="D197" s="14">
        <f>R139</f>
        <v>187701.54662586658</v>
      </c>
      <c r="E197" s="14">
        <f t="shared" si="0"/>
        <v>31262.570584308793</v>
      </c>
    </row>
    <row r="198" spans="2:7" x14ac:dyDescent="0.2">
      <c r="B198" s="50">
        <v>37</v>
      </c>
      <c r="C198" s="14">
        <f>G142</f>
        <v>155281.90878474838</v>
      </c>
      <c r="D198" s="14">
        <f>R142</f>
        <v>185701.41099748109</v>
      </c>
      <c r="E198" s="14">
        <f t="shared" si="0"/>
        <v>30419.50221273271</v>
      </c>
    </row>
    <row r="199" spans="2:7" x14ac:dyDescent="0.2">
      <c r="B199" s="50">
        <v>38</v>
      </c>
      <c r="C199" s="14">
        <f>G145</f>
        <v>159071.83736296053</v>
      </c>
      <c r="D199" s="14">
        <f>R145</f>
        <v>192231.26278605202</v>
      </c>
      <c r="E199" s="14">
        <f t="shared" si="0"/>
        <v>33159.425423091481</v>
      </c>
    </row>
    <row r="200" spans="2:7" x14ac:dyDescent="0.2">
      <c r="B200" s="50">
        <v>39</v>
      </c>
      <c r="C200" s="14">
        <f>G148</f>
        <v>151836.50154641329</v>
      </c>
      <c r="D200" s="14">
        <f>R148</f>
        <v>179634.25580462898</v>
      </c>
      <c r="E200" s="14">
        <f t="shared" si="0"/>
        <v>27797.754258215689</v>
      </c>
    </row>
    <row r="201" spans="2:7" x14ac:dyDescent="0.2">
      <c r="B201" s="50">
        <v>40</v>
      </c>
      <c r="C201" s="18">
        <f>G149</f>
        <v>145590.07269336833</v>
      </c>
      <c r="D201" s="14">
        <f>N152</f>
        <v>172244.25019316343</v>
      </c>
      <c r="E201" s="14">
        <f t="shared" si="0"/>
        <v>26654.1774997951</v>
      </c>
    </row>
    <row r="202" spans="2:7" x14ac:dyDescent="0.2">
      <c r="B202" s="50">
        <v>40</v>
      </c>
      <c r="C202" s="14">
        <f>C154</f>
        <v>147500.8552795148</v>
      </c>
      <c r="D202" s="18">
        <f>N154</f>
        <v>150144.73405907475</v>
      </c>
      <c r="E202" s="14">
        <f>D202-C154</f>
        <v>2643.8787795599492</v>
      </c>
      <c r="F202" s="14"/>
    </row>
    <row r="207" spans="2:7" x14ac:dyDescent="0.2">
      <c r="G207" s="14"/>
    </row>
    <row r="208" spans="2:7" x14ac:dyDescent="0.2">
      <c r="E208" s="50"/>
      <c r="F208" s="14"/>
      <c r="G208" s="18"/>
    </row>
    <row r="209" spans="5:7" x14ac:dyDescent="0.2">
      <c r="E209" s="50"/>
      <c r="G209" s="14"/>
    </row>
  </sheetData>
  <mergeCells count="103">
    <mergeCell ref="L11:M11"/>
    <mergeCell ref="B26:K27"/>
    <mergeCell ref="M26:V27"/>
    <mergeCell ref="B28:B29"/>
    <mergeCell ref="C28:C29"/>
    <mergeCell ref="D28:D29"/>
    <mergeCell ref="E28:E29"/>
    <mergeCell ref="F28:F29"/>
    <mergeCell ref="G28:G29"/>
    <mergeCell ref="I28:I29"/>
    <mergeCell ref="U28:U29"/>
    <mergeCell ref="V28:V29"/>
    <mergeCell ref="B34:B35"/>
    <mergeCell ref="M34:M35"/>
    <mergeCell ref="B37:B38"/>
    <mergeCell ref="M37:M38"/>
    <mergeCell ref="Q28:Q29"/>
    <mergeCell ref="R28:R29"/>
    <mergeCell ref="T28:T29"/>
    <mergeCell ref="B49:B50"/>
    <mergeCell ref="M49:M50"/>
    <mergeCell ref="B30:G30"/>
    <mergeCell ref="M30:R30"/>
    <mergeCell ref="J28:J29"/>
    <mergeCell ref="K28:K29"/>
    <mergeCell ref="M28:M29"/>
    <mergeCell ref="N28:N29"/>
    <mergeCell ref="O28:O29"/>
    <mergeCell ref="P28:P29"/>
    <mergeCell ref="B31:B32"/>
    <mergeCell ref="M31:M32"/>
    <mergeCell ref="B52:B53"/>
    <mergeCell ref="M52:M53"/>
    <mergeCell ref="B55:B56"/>
    <mergeCell ref="M55:M56"/>
    <mergeCell ref="B40:B41"/>
    <mergeCell ref="M40:M41"/>
    <mergeCell ref="B43:B44"/>
    <mergeCell ref="M43:M44"/>
    <mergeCell ref="B46:B47"/>
    <mergeCell ref="M46:M47"/>
    <mergeCell ref="B67:B68"/>
    <mergeCell ref="M67:M68"/>
    <mergeCell ref="B70:B71"/>
    <mergeCell ref="M70:M71"/>
    <mergeCell ref="B73:B74"/>
    <mergeCell ref="M73:M74"/>
    <mergeCell ref="B58:B59"/>
    <mergeCell ref="M58:M59"/>
    <mergeCell ref="B61:B62"/>
    <mergeCell ref="M61:M62"/>
    <mergeCell ref="B64:B65"/>
    <mergeCell ref="M64:M65"/>
    <mergeCell ref="B85:B86"/>
    <mergeCell ref="M85:M86"/>
    <mergeCell ref="B88:B89"/>
    <mergeCell ref="M88:M89"/>
    <mergeCell ref="B91:B92"/>
    <mergeCell ref="M91:M92"/>
    <mergeCell ref="B76:B77"/>
    <mergeCell ref="M76:M77"/>
    <mergeCell ref="B79:B80"/>
    <mergeCell ref="M79:M80"/>
    <mergeCell ref="B82:B83"/>
    <mergeCell ref="M82:M83"/>
    <mergeCell ref="B103:B104"/>
    <mergeCell ref="M103:M104"/>
    <mergeCell ref="B106:B107"/>
    <mergeCell ref="M106:M107"/>
    <mergeCell ref="B109:B110"/>
    <mergeCell ref="M109:M110"/>
    <mergeCell ref="B94:B95"/>
    <mergeCell ref="M94:M95"/>
    <mergeCell ref="B97:B98"/>
    <mergeCell ref="M97:M98"/>
    <mergeCell ref="B100:B101"/>
    <mergeCell ref="M100:M101"/>
    <mergeCell ref="B121:B122"/>
    <mergeCell ref="M121:M122"/>
    <mergeCell ref="B124:B125"/>
    <mergeCell ref="M124:M125"/>
    <mergeCell ref="B127:B128"/>
    <mergeCell ref="M127:M128"/>
    <mergeCell ref="B112:B113"/>
    <mergeCell ref="M112:M113"/>
    <mergeCell ref="B115:B116"/>
    <mergeCell ref="M115:M116"/>
    <mergeCell ref="B118:B119"/>
    <mergeCell ref="M118:M119"/>
    <mergeCell ref="B148:B149"/>
    <mergeCell ref="M148:M149"/>
    <mergeCell ref="B139:B140"/>
    <mergeCell ref="M139:M140"/>
    <mergeCell ref="B142:B143"/>
    <mergeCell ref="M142:M143"/>
    <mergeCell ref="B145:B146"/>
    <mergeCell ref="M145:M146"/>
    <mergeCell ref="B130:B131"/>
    <mergeCell ref="M130:M131"/>
    <mergeCell ref="B133:B134"/>
    <mergeCell ref="M133:M134"/>
    <mergeCell ref="B136:B137"/>
    <mergeCell ref="M136:M137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Realisasjon</vt:lpstr>
      <vt:lpstr>Utbytte</vt:lpstr>
      <vt:lpstr>Randomisering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Åkvåg, Simen</dc:creator>
  <cp:lastModifiedBy>Microsoft Office-bruker</cp:lastModifiedBy>
  <dcterms:created xsi:type="dcterms:W3CDTF">2018-04-30T10:05:44Z</dcterms:created>
  <dcterms:modified xsi:type="dcterms:W3CDTF">2018-08-21T14:45:27Z</dcterms:modified>
</cp:coreProperties>
</file>