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e\Documents\BACHELOROPPGAVE\Innlevering\"/>
    </mc:Choice>
  </mc:AlternateContent>
  <xr:revisionPtr revIDLastSave="0" documentId="13_ncr:1_{1AB2CED4-4046-4DC3-87FC-1DDB74AAC8F5}" xr6:coauthVersionLast="33" xr6:coauthVersionMax="33" xr10:uidLastSave="{00000000-0000-0000-0000-000000000000}"/>
  <bookViews>
    <workbookView xWindow="0" yWindow="0" windowWidth="19200" windowHeight="6950" firstSheet="4" activeTab="7" xr2:uid="{317002AE-B450-4D7A-A5FE-25130F2FE943}"/>
  </bookViews>
  <sheets>
    <sheet name="Input-data fra Lyse Produksjon" sheetId="3" r:id="rId1"/>
    <sheet name="Beregningene av scenarioer" sheetId="2" r:id="rId2"/>
    <sheet name="Endring i skattelov" sheetId="15" r:id="rId3"/>
    <sheet name="Nåverdi, IRR og Nåverdiprofil" sheetId="6" r:id="rId4"/>
    <sheet name="Sensitivitet - 40 år" sheetId="11" r:id="rId5"/>
    <sheet name="Sensitivet - 50 år" sheetId="12" r:id="rId6"/>
    <sheet name="Fremgangsmåte" sheetId="13" r:id="rId7"/>
    <sheet name="Sensitivitetsanalyse" sheetId="14" r:id="rId8"/>
  </sheets>
  <definedNames>
    <definedName name="avsk">'Beregningene av scenarioer'!$D$18</definedName>
    <definedName name="beta">'Beregningene av scenarioer'!$D$116</definedName>
    <definedName name="disk">'Beregningene av scenarioer'!$D$26</definedName>
    <definedName name="DVc">'Sensitivitet - 40 år'!$D$9</definedName>
    <definedName name="DVkost">'Beregningene av scenarioer'!$D$8</definedName>
    <definedName name="DVsats">'Beregningene av scenarioer'!$D$8</definedName>
    <definedName name="DVvolum">'Beregningene av scenarioer'!$D$9</definedName>
    <definedName name="eiendomssats">'Beregningene av scenarioer'!$D$23</definedName>
    <definedName name="grunnr">'Sensitivitet - 40 år'!$D$21</definedName>
    <definedName name="grunnrente">'Beregningene av scenarioer'!$D$21</definedName>
    <definedName name="infl">'Beregningene av scenarioer'!$D$4</definedName>
    <definedName name="innmatingssats">'Beregningene av scenarioer'!$D$7</definedName>
    <definedName name="inv">'Sensitivitet - 40 år'!$D$13</definedName>
    <definedName name="inve">'Sensitivet - 50 år'!$D$13</definedName>
    <definedName name="invest">'Beregningene av scenarioer'!$D$13</definedName>
    <definedName name="kaprente">'Beregningene av scenarioer'!$D$22</definedName>
    <definedName name="konsensjonsats">'Beregningene av scenarioer'!$D$5</definedName>
    <definedName name="levetid">'Beregningene av scenarioer'!$D$25</definedName>
    <definedName name="levtid">#REF!</definedName>
    <definedName name="llt">'Sensitivet - 50 år'!$D$25</definedName>
    <definedName name="lt">'Sensitivitet - 40 år'!$D$25</definedName>
    <definedName name="lvtid">#REF!</definedName>
    <definedName name="lånerente">'Beregningene av scenarioer'!$D$24</definedName>
    <definedName name="natursats">'Beregningene av scenarioer'!$D$20</definedName>
    <definedName name="naturskatt">'Sensitivitet - 40 år'!$D$20</definedName>
    <definedName name="normrente">'Beregningene av scenarioer'!$D$19</definedName>
    <definedName name="prisprofil">'Beregningene av scenarioer'!$D$15</definedName>
    <definedName name="prpr">'Sensitivitet - 40 år'!$D$15</definedName>
    <definedName name="RBc">'Sensitivitet - 40 år'!$D$11</definedName>
    <definedName name="Rehabkost">'Beregningene av scenarioer'!$D$10</definedName>
    <definedName name="Rehabvolum">'Beregningene av scenarioer'!$D$11</definedName>
    <definedName name="rf">'Beregningene av scenarioer'!$D$113</definedName>
    <definedName name="riskprem">'Beregningene av scenarioer'!$D$115</definedName>
    <definedName name="rm">'Beregningene av scenarioer'!$D$114</definedName>
    <definedName name="rtk">'Beregningene av scenarioer'!$D$120</definedName>
    <definedName name="selskatt">'Beregningene av scenarioer'!$D$16</definedName>
    <definedName name="skjermrente">'Beregningene av scenarioer'!$D$17</definedName>
    <definedName name="valuta">'Beregningene av scenarioer'!$D$14</definedName>
    <definedName name="voluma">'Beregningene av scenarioer'!$D$3</definedName>
    <definedName name="volumc">'Sensitivitet - 40 år'!$D$3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 l="1"/>
  <c r="K6" i="6"/>
  <c r="L6" i="6" s="1"/>
  <c r="F13" i="15"/>
  <c r="G14" i="15" l="1"/>
  <c r="H14" i="15" s="1"/>
  <c r="I14" i="15" s="1"/>
  <c r="F14" i="15"/>
  <c r="G13" i="15"/>
  <c r="H13" i="15" s="1"/>
  <c r="I13" i="15" s="1"/>
  <c r="D15" i="2"/>
  <c r="D13" i="2"/>
  <c r="D11" i="2"/>
  <c r="D9" i="2"/>
  <c r="D3" i="2"/>
  <c r="E135" i="12" l="1"/>
  <c r="C140" i="12" s="1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E36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E35" i="12"/>
  <c r="E41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E36" i="11"/>
  <c r="E35" i="11"/>
  <c r="C141" i="11"/>
  <c r="E31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E38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E37" i="12"/>
  <c r="P31" i="12"/>
  <c r="O31" i="12"/>
  <c r="N31" i="12"/>
  <c r="M31" i="12"/>
  <c r="L31" i="12"/>
  <c r="K31" i="12"/>
  <c r="J31" i="12"/>
  <c r="I31" i="12"/>
  <c r="H31" i="12"/>
  <c r="G31" i="12"/>
  <c r="F31" i="12"/>
  <c r="P31" i="11"/>
  <c r="O31" i="11"/>
  <c r="N31" i="11"/>
  <c r="M31" i="11"/>
  <c r="L31" i="11"/>
  <c r="K31" i="11"/>
  <c r="J31" i="11"/>
  <c r="I31" i="11"/>
  <c r="H31" i="11"/>
  <c r="G31" i="11"/>
  <c r="F31" i="11"/>
  <c r="E31" i="11"/>
  <c r="E33" i="11" s="1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E32" i="12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E38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E37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E32" i="11"/>
  <c r="E73" i="11"/>
  <c r="E73" i="12"/>
  <c r="E74" i="12" s="1"/>
  <c r="E67" i="12" s="1"/>
  <c r="D49" i="12"/>
  <c r="E135" i="11"/>
  <c r="D49" i="11"/>
  <c r="D20" i="2"/>
  <c r="Q31" i="11" l="1"/>
  <c r="R31" i="11" s="1"/>
  <c r="S31" i="11" s="1"/>
  <c r="T31" i="11" s="1"/>
  <c r="U31" i="11" s="1"/>
  <c r="V31" i="11" s="1"/>
  <c r="W31" i="11" s="1"/>
  <c r="X31" i="11" s="1"/>
  <c r="Y31" i="11" s="1"/>
  <c r="Z31" i="11" s="1"/>
  <c r="AA31" i="11" s="1"/>
  <c r="AB31" i="11" s="1"/>
  <c r="AC31" i="11" s="1"/>
  <c r="AD31" i="11" s="1"/>
  <c r="AE31" i="11" s="1"/>
  <c r="AF31" i="11" s="1"/>
  <c r="AG31" i="11" s="1"/>
  <c r="AH31" i="11" s="1"/>
  <c r="AI31" i="11" s="1"/>
  <c r="AJ31" i="11" s="1"/>
  <c r="AK31" i="11" s="1"/>
  <c r="AL31" i="11" s="1"/>
  <c r="AM31" i="11" s="1"/>
  <c r="AN31" i="11" s="1"/>
  <c r="AO31" i="11" s="1"/>
  <c r="AP31" i="11" s="1"/>
  <c r="AQ31" i="11" s="1"/>
  <c r="AR31" i="11" s="1"/>
  <c r="E136" i="11"/>
  <c r="E43" i="11" s="1"/>
  <c r="E7" i="13" l="1"/>
  <c r="F24" i="13"/>
  <c r="F27" i="13" s="1"/>
  <c r="C25" i="13"/>
  <c r="C27" i="13" s="1"/>
  <c r="H8" i="13"/>
  <c r="H7" i="13"/>
  <c r="H6" i="13"/>
  <c r="G8" i="13"/>
  <c r="G7" i="13"/>
  <c r="G6" i="13"/>
  <c r="E8" i="13"/>
  <c r="E6" i="13"/>
  <c r="D54" i="2"/>
  <c r="D114" i="2" l="1"/>
  <c r="AV136" i="12" l="1"/>
  <c r="AV43" i="12" s="1"/>
  <c r="D131" i="12"/>
  <c r="E129" i="12"/>
  <c r="D128" i="12"/>
  <c r="E128" i="12" s="1"/>
  <c r="D129" i="12" s="1"/>
  <c r="D125" i="12"/>
  <c r="D120" i="12"/>
  <c r="D103" i="12"/>
  <c r="K103" i="12" s="1"/>
  <c r="BB108" i="12" s="1"/>
  <c r="E101" i="12"/>
  <c r="E103" i="12" s="1"/>
  <c r="D101" i="12"/>
  <c r="I100" i="12"/>
  <c r="I101" i="12" s="1"/>
  <c r="I103" i="12" s="1"/>
  <c r="H100" i="12"/>
  <c r="H101" i="12" s="1"/>
  <c r="H103" i="12" s="1"/>
  <c r="G100" i="12"/>
  <c r="G101" i="12" s="1"/>
  <c r="G103" i="12" s="1"/>
  <c r="F100" i="12"/>
  <c r="F101" i="12" s="1"/>
  <c r="F103" i="12" s="1"/>
  <c r="E100" i="12"/>
  <c r="D100" i="12"/>
  <c r="BB91" i="12"/>
  <c r="BB93" i="12" s="1"/>
  <c r="BA91" i="12"/>
  <c r="BA93" i="12" s="1"/>
  <c r="AZ91" i="12"/>
  <c r="AZ93" i="12" s="1"/>
  <c r="AY91" i="12"/>
  <c r="AY93" i="12" s="1"/>
  <c r="AX91" i="12"/>
  <c r="AX93" i="12" s="1"/>
  <c r="AW91" i="12"/>
  <c r="AW93" i="12" s="1"/>
  <c r="AV91" i="12"/>
  <c r="AV93" i="12" s="1"/>
  <c r="AU91" i="12"/>
  <c r="AU93" i="12" s="1"/>
  <c r="AT91" i="12"/>
  <c r="AT93" i="12" s="1"/>
  <c r="AS91" i="12"/>
  <c r="AS93" i="12" s="1"/>
  <c r="AR91" i="12"/>
  <c r="AR93" i="12" s="1"/>
  <c r="AQ91" i="12"/>
  <c r="AQ93" i="12" s="1"/>
  <c r="AP91" i="12"/>
  <c r="AP93" i="12" s="1"/>
  <c r="AO91" i="12"/>
  <c r="AO93" i="12" s="1"/>
  <c r="AN91" i="12"/>
  <c r="AN93" i="12" s="1"/>
  <c r="AM91" i="12"/>
  <c r="AM93" i="12" s="1"/>
  <c r="AL91" i="12"/>
  <c r="AL93" i="12" s="1"/>
  <c r="AK91" i="12"/>
  <c r="AK93" i="12" s="1"/>
  <c r="AJ91" i="12"/>
  <c r="AJ93" i="12" s="1"/>
  <c r="AI91" i="12"/>
  <c r="AI93" i="12" s="1"/>
  <c r="AH91" i="12"/>
  <c r="AH93" i="12" s="1"/>
  <c r="AG91" i="12"/>
  <c r="AG93" i="12" s="1"/>
  <c r="AF91" i="12"/>
  <c r="AF93" i="12" s="1"/>
  <c r="AE91" i="12"/>
  <c r="AE93" i="12" s="1"/>
  <c r="AD91" i="12"/>
  <c r="AD93" i="12" s="1"/>
  <c r="AC91" i="12"/>
  <c r="AC93" i="12" s="1"/>
  <c r="AB91" i="12"/>
  <c r="AB93" i="12" s="1"/>
  <c r="AA91" i="12"/>
  <c r="AA93" i="12" s="1"/>
  <c r="Z91" i="12"/>
  <c r="Z93" i="12" s="1"/>
  <c r="Y91" i="12"/>
  <c r="Y93" i="12" s="1"/>
  <c r="X91" i="12"/>
  <c r="X93" i="12" s="1"/>
  <c r="W91" i="12"/>
  <c r="W93" i="12" s="1"/>
  <c r="V91" i="12"/>
  <c r="V93" i="12" s="1"/>
  <c r="U91" i="12"/>
  <c r="U93" i="12" s="1"/>
  <c r="T91" i="12"/>
  <c r="T93" i="12" s="1"/>
  <c r="S91" i="12"/>
  <c r="S93" i="12" s="1"/>
  <c r="R91" i="12"/>
  <c r="R93" i="12" s="1"/>
  <c r="Q91" i="12"/>
  <c r="Q93" i="12" s="1"/>
  <c r="P91" i="12"/>
  <c r="P93" i="12" s="1"/>
  <c r="O91" i="12"/>
  <c r="O93" i="12" s="1"/>
  <c r="N91" i="12"/>
  <c r="N93" i="12" s="1"/>
  <c r="M91" i="12"/>
  <c r="M93" i="12" s="1"/>
  <c r="L91" i="12"/>
  <c r="L93" i="12" s="1"/>
  <c r="K91" i="12"/>
  <c r="K93" i="12" s="1"/>
  <c r="J91" i="12"/>
  <c r="J93" i="12" s="1"/>
  <c r="I91" i="12"/>
  <c r="I93" i="12" s="1"/>
  <c r="H91" i="12"/>
  <c r="H93" i="12" s="1"/>
  <c r="G91" i="12"/>
  <c r="G93" i="12" s="1"/>
  <c r="F91" i="12"/>
  <c r="F93" i="12" s="1"/>
  <c r="E91" i="12"/>
  <c r="E93" i="12" s="1"/>
  <c r="BC49" i="12"/>
  <c r="BB62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F62" i="12"/>
  <c r="E62" i="12"/>
  <c r="M61" i="12"/>
  <c r="L61" i="12"/>
  <c r="K61" i="12"/>
  <c r="J61" i="12"/>
  <c r="G61" i="12"/>
  <c r="E61" i="12"/>
  <c r="D21" i="12"/>
  <c r="D20" i="12"/>
  <c r="D15" i="12"/>
  <c r="D13" i="12"/>
  <c r="D11" i="12"/>
  <c r="D9" i="12"/>
  <c r="N5" i="12"/>
  <c r="O5" i="12" s="1"/>
  <c r="L5" i="12"/>
  <c r="E5" i="12"/>
  <c r="O4" i="12"/>
  <c r="N4" i="12"/>
  <c r="L4" i="12"/>
  <c r="E4" i="12"/>
  <c r="N3" i="12"/>
  <c r="O3" i="12" s="1"/>
  <c r="L3" i="12"/>
  <c r="N136" i="11"/>
  <c r="N43" i="11" s="1"/>
  <c r="E129" i="11"/>
  <c r="D129" i="11" s="1"/>
  <c r="D131" i="11" s="1"/>
  <c r="E128" i="11"/>
  <c r="D128" i="11"/>
  <c r="D125" i="11"/>
  <c r="D120" i="11"/>
  <c r="H103" i="11"/>
  <c r="E103" i="11"/>
  <c r="I101" i="11"/>
  <c r="I103" i="11" s="1"/>
  <c r="H101" i="11"/>
  <c r="F101" i="11"/>
  <c r="F103" i="11" s="1"/>
  <c r="E101" i="11"/>
  <c r="I100" i="11"/>
  <c r="H100" i="11"/>
  <c r="G100" i="11"/>
  <c r="G101" i="11" s="1"/>
  <c r="G103" i="11" s="1"/>
  <c r="F100" i="11"/>
  <c r="E100" i="11"/>
  <c r="D100" i="11"/>
  <c r="D101" i="11" s="1"/>
  <c r="D103" i="11" s="1"/>
  <c r="AR91" i="11"/>
  <c r="AR93" i="11" s="1"/>
  <c r="AR42" i="11" s="1"/>
  <c r="AQ91" i="11"/>
  <c r="AQ93" i="11" s="1"/>
  <c r="AQ42" i="11" s="1"/>
  <c r="AP91" i="11"/>
  <c r="AP93" i="11" s="1"/>
  <c r="AP42" i="11" s="1"/>
  <c r="AO91" i="11"/>
  <c r="AO93" i="11" s="1"/>
  <c r="AO42" i="11" s="1"/>
  <c r="AN91" i="11"/>
  <c r="AN93" i="11" s="1"/>
  <c r="AN42" i="11" s="1"/>
  <c r="AM91" i="11"/>
  <c r="AM93" i="11" s="1"/>
  <c r="AM42" i="11" s="1"/>
  <c r="AL91" i="11"/>
  <c r="AL93" i="11" s="1"/>
  <c r="AL42" i="11" s="1"/>
  <c r="AK91" i="11"/>
  <c r="AK93" i="11" s="1"/>
  <c r="AK42" i="11" s="1"/>
  <c r="AJ91" i="11"/>
  <c r="AJ93" i="11" s="1"/>
  <c r="AJ42" i="11" s="1"/>
  <c r="AI91" i="11"/>
  <c r="AI93" i="11" s="1"/>
  <c r="AI42" i="11" s="1"/>
  <c r="AH91" i="11"/>
  <c r="AH93" i="11" s="1"/>
  <c r="AH42" i="11" s="1"/>
  <c r="AG91" i="11"/>
  <c r="AG93" i="11" s="1"/>
  <c r="AG42" i="11" s="1"/>
  <c r="AF91" i="11"/>
  <c r="AF93" i="11" s="1"/>
  <c r="AF42" i="11" s="1"/>
  <c r="AE91" i="11"/>
  <c r="AE93" i="11" s="1"/>
  <c r="AE42" i="11" s="1"/>
  <c r="AD91" i="11"/>
  <c r="AD93" i="11" s="1"/>
  <c r="AD42" i="11" s="1"/>
  <c r="AC91" i="11"/>
  <c r="AC93" i="11" s="1"/>
  <c r="AC42" i="11" s="1"/>
  <c r="AB91" i="11"/>
  <c r="AB93" i="11" s="1"/>
  <c r="AB42" i="11" s="1"/>
  <c r="AA91" i="11"/>
  <c r="AA93" i="11" s="1"/>
  <c r="AA42" i="11" s="1"/>
  <c r="Z91" i="11"/>
  <c r="Z93" i="11" s="1"/>
  <c r="Z42" i="11" s="1"/>
  <c r="Y91" i="11"/>
  <c r="Y93" i="11" s="1"/>
  <c r="Y42" i="11" s="1"/>
  <c r="X91" i="11"/>
  <c r="X93" i="11" s="1"/>
  <c r="X42" i="11" s="1"/>
  <c r="W91" i="11"/>
  <c r="W93" i="11" s="1"/>
  <c r="W42" i="11" s="1"/>
  <c r="V91" i="11"/>
  <c r="V93" i="11" s="1"/>
  <c r="V42" i="11" s="1"/>
  <c r="U91" i="11"/>
  <c r="U93" i="11" s="1"/>
  <c r="U42" i="11" s="1"/>
  <c r="T91" i="11"/>
  <c r="T93" i="11" s="1"/>
  <c r="T42" i="11" s="1"/>
  <c r="S91" i="11"/>
  <c r="S93" i="11" s="1"/>
  <c r="S42" i="11" s="1"/>
  <c r="R91" i="11"/>
  <c r="R93" i="11" s="1"/>
  <c r="R42" i="11" s="1"/>
  <c r="Q91" i="11"/>
  <c r="Q93" i="11" s="1"/>
  <c r="Q42" i="11" s="1"/>
  <c r="P91" i="11"/>
  <c r="P93" i="11" s="1"/>
  <c r="P42" i="11" s="1"/>
  <c r="O91" i="11"/>
  <c r="O93" i="11" s="1"/>
  <c r="O42" i="11" s="1"/>
  <c r="N91" i="11"/>
  <c r="N93" i="11" s="1"/>
  <c r="N42" i="11" s="1"/>
  <c r="M91" i="11"/>
  <c r="M93" i="11" s="1"/>
  <c r="M42" i="11" s="1"/>
  <c r="L91" i="11"/>
  <c r="L93" i="11" s="1"/>
  <c r="L42" i="11" s="1"/>
  <c r="K91" i="11"/>
  <c r="K93" i="11" s="1"/>
  <c r="K42" i="11" s="1"/>
  <c r="J91" i="11"/>
  <c r="J93" i="11" s="1"/>
  <c r="J42" i="11" s="1"/>
  <c r="I91" i="11"/>
  <c r="I93" i="11" s="1"/>
  <c r="I42" i="11" s="1"/>
  <c r="H91" i="11"/>
  <c r="H93" i="11" s="1"/>
  <c r="H42" i="11" s="1"/>
  <c r="G91" i="11"/>
  <c r="G93" i="11" s="1"/>
  <c r="G42" i="11" s="1"/>
  <c r="F91" i="11"/>
  <c r="F93" i="11" s="1"/>
  <c r="F42" i="11" s="1"/>
  <c r="E91" i="11"/>
  <c r="E93" i="11" s="1"/>
  <c r="E42" i="11" s="1"/>
  <c r="E74" i="11"/>
  <c r="AS49" i="11"/>
  <c r="AR65" i="11"/>
  <c r="AL65" i="11"/>
  <c r="AK65" i="11"/>
  <c r="AJ65" i="11"/>
  <c r="AI65" i="11"/>
  <c r="AH65" i="11"/>
  <c r="AD65" i="11"/>
  <c r="AC65" i="11"/>
  <c r="AB65" i="11"/>
  <c r="AA65" i="11"/>
  <c r="Z65" i="11"/>
  <c r="V65" i="11"/>
  <c r="U65" i="11"/>
  <c r="T65" i="11"/>
  <c r="S65" i="11"/>
  <c r="R65" i="11"/>
  <c r="M65" i="11"/>
  <c r="L65" i="11"/>
  <c r="F65" i="11"/>
  <c r="E65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N61" i="11"/>
  <c r="L61" i="11"/>
  <c r="K61" i="11"/>
  <c r="J61" i="11"/>
  <c r="I61" i="11"/>
  <c r="H61" i="11"/>
  <c r="G61" i="11"/>
  <c r="F61" i="11"/>
  <c r="D21" i="11"/>
  <c r="D20" i="11"/>
  <c r="D15" i="11"/>
  <c r="D13" i="11"/>
  <c r="D11" i="11"/>
  <c r="D9" i="11"/>
  <c r="N5" i="11"/>
  <c r="O5" i="11" s="1"/>
  <c r="L5" i="11"/>
  <c r="E5" i="11"/>
  <c r="N4" i="11"/>
  <c r="O4" i="11" s="1"/>
  <c r="L4" i="11"/>
  <c r="E4" i="11"/>
  <c r="N3" i="11"/>
  <c r="O3" i="11" s="1"/>
  <c r="L3" i="11"/>
  <c r="J63" i="11" l="1"/>
  <c r="J107" i="11" s="1"/>
  <c r="AP65" i="11"/>
  <c r="Y65" i="11"/>
  <c r="AD81" i="11" s="1"/>
  <c r="AG65" i="11"/>
  <c r="AL81" i="11" s="1"/>
  <c r="AO65" i="11"/>
  <c r="AF65" i="11"/>
  <c r="AN65" i="11"/>
  <c r="X65" i="11"/>
  <c r="K65" i="11"/>
  <c r="L63" i="12"/>
  <c r="L107" i="12" s="1"/>
  <c r="K108" i="12" s="1"/>
  <c r="L106" i="12" s="1"/>
  <c r="G33" i="12"/>
  <c r="I65" i="11"/>
  <c r="G65" i="11"/>
  <c r="H81" i="11" s="1"/>
  <c r="AM65" i="11"/>
  <c r="AN81" i="11" s="1"/>
  <c r="J65" i="11"/>
  <c r="O33" i="11"/>
  <c r="AQ65" i="11"/>
  <c r="N65" i="11"/>
  <c r="K63" i="12"/>
  <c r="K107" i="12" s="1"/>
  <c r="J108" i="12" s="1"/>
  <c r="K106" i="12" s="1"/>
  <c r="BA65" i="12"/>
  <c r="M33" i="11"/>
  <c r="E65" i="12"/>
  <c r="E81" i="12" s="1"/>
  <c r="E80" i="11"/>
  <c r="I65" i="12"/>
  <c r="Q65" i="12"/>
  <c r="Y65" i="12"/>
  <c r="AG65" i="12"/>
  <c r="AO65" i="12"/>
  <c r="AW65" i="12"/>
  <c r="U65" i="12"/>
  <c r="O33" i="12"/>
  <c r="J33" i="12"/>
  <c r="E61" i="11"/>
  <c r="E63" i="11" s="1"/>
  <c r="H136" i="12"/>
  <c r="H43" i="12" s="1"/>
  <c r="L136" i="12"/>
  <c r="L43" i="12" s="1"/>
  <c r="N136" i="12"/>
  <c r="N43" i="12" s="1"/>
  <c r="AN136" i="12"/>
  <c r="AN43" i="12" s="1"/>
  <c r="AH136" i="12"/>
  <c r="AH43" i="12" s="1"/>
  <c r="S136" i="12"/>
  <c r="S43" i="12" s="1"/>
  <c r="AR136" i="12"/>
  <c r="AR43" i="12" s="1"/>
  <c r="AL136" i="12"/>
  <c r="AL43" i="12" s="1"/>
  <c r="T136" i="12"/>
  <c r="T43" i="12" s="1"/>
  <c r="AT136" i="12"/>
  <c r="AT43" i="12" s="1"/>
  <c r="Z136" i="12"/>
  <c r="Z43" i="12" s="1"/>
  <c r="AY136" i="12"/>
  <c r="AY43" i="12" s="1"/>
  <c r="AA136" i="12"/>
  <c r="AA43" i="12" s="1"/>
  <c r="AZ136" i="12"/>
  <c r="AZ43" i="12" s="1"/>
  <c r="F136" i="12"/>
  <c r="F43" i="12" s="1"/>
  <c r="AF136" i="12"/>
  <c r="AF43" i="12" s="1"/>
  <c r="E136" i="12"/>
  <c r="E43" i="12" s="1"/>
  <c r="E47" i="12" s="1"/>
  <c r="P65" i="11"/>
  <c r="H65" i="11"/>
  <c r="K65" i="12"/>
  <c r="S65" i="12"/>
  <c r="AA65" i="12"/>
  <c r="AI65" i="12"/>
  <c r="AQ65" i="12"/>
  <c r="AY65" i="12"/>
  <c r="K63" i="11"/>
  <c r="K107" i="11" s="1"/>
  <c r="J63" i="12"/>
  <c r="J107" i="12" s="1"/>
  <c r="I108" i="12" s="1"/>
  <c r="J106" i="12" s="1"/>
  <c r="E33" i="12"/>
  <c r="E80" i="12" s="1"/>
  <c r="O65" i="11"/>
  <c r="AE65" i="11"/>
  <c r="Q65" i="11"/>
  <c r="V81" i="11" s="1"/>
  <c r="F65" i="12"/>
  <c r="N65" i="12"/>
  <c r="AT65" i="12"/>
  <c r="W65" i="11"/>
  <c r="H65" i="12"/>
  <c r="P65" i="12"/>
  <c r="X65" i="12"/>
  <c r="AF65" i="12"/>
  <c r="AN65" i="12"/>
  <c r="AV65" i="12"/>
  <c r="I63" i="11"/>
  <c r="I107" i="11" s="1"/>
  <c r="H108" i="11" s="1"/>
  <c r="I106" i="11" s="1"/>
  <c r="AL65" i="12"/>
  <c r="AK65" i="12"/>
  <c r="W81" i="11"/>
  <c r="AM81" i="11"/>
  <c r="E63" i="12"/>
  <c r="E107" i="12" s="1"/>
  <c r="D108" i="12" s="1"/>
  <c r="M63" i="12"/>
  <c r="M107" i="12" s="1"/>
  <c r="L108" i="12" s="1"/>
  <c r="M106" i="12" s="1"/>
  <c r="K136" i="12"/>
  <c r="K43" i="12" s="1"/>
  <c r="X136" i="12"/>
  <c r="X43" i="12" s="1"/>
  <c r="AJ136" i="12"/>
  <c r="AJ43" i="12" s="1"/>
  <c r="AX136" i="12"/>
  <c r="AX43" i="12" s="1"/>
  <c r="P136" i="12"/>
  <c r="P43" i="12" s="1"/>
  <c r="AB136" i="12"/>
  <c r="AB43" i="12" s="1"/>
  <c r="AP136" i="12"/>
  <c r="AP43" i="12" s="1"/>
  <c r="BB136" i="12"/>
  <c r="BB43" i="12" s="1"/>
  <c r="R136" i="12"/>
  <c r="R43" i="12" s="1"/>
  <c r="AD136" i="12"/>
  <c r="AD43" i="12" s="1"/>
  <c r="AQ136" i="12"/>
  <c r="AQ43" i="12" s="1"/>
  <c r="AW136" i="12"/>
  <c r="AW43" i="12" s="1"/>
  <c r="J136" i="12"/>
  <c r="J43" i="12" s="1"/>
  <c r="V136" i="12"/>
  <c r="V43" i="12" s="1"/>
  <c r="AI136" i="12"/>
  <c r="AI43" i="12" s="1"/>
  <c r="F61" i="12"/>
  <c r="F63" i="12" s="1"/>
  <c r="F33" i="12"/>
  <c r="N61" i="12"/>
  <c r="N33" i="12"/>
  <c r="K33" i="12"/>
  <c r="G62" i="12"/>
  <c r="G63" i="12" s="1"/>
  <c r="L33" i="12"/>
  <c r="R65" i="12"/>
  <c r="Z65" i="12"/>
  <c r="AH65" i="12"/>
  <c r="AP65" i="12"/>
  <c r="AX65" i="12"/>
  <c r="H61" i="12"/>
  <c r="H63" i="12" s="1"/>
  <c r="H33" i="12"/>
  <c r="M33" i="12"/>
  <c r="J65" i="12"/>
  <c r="I33" i="12"/>
  <c r="I61" i="12"/>
  <c r="I63" i="12" s="1"/>
  <c r="AB65" i="12"/>
  <c r="AJ65" i="12"/>
  <c r="L65" i="12"/>
  <c r="T65" i="12"/>
  <c r="AR65" i="12"/>
  <c r="AZ65" i="12"/>
  <c r="M65" i="12"/>
  <c r="AC65" i="12"/>
  <c r="AS65" i="12"/>
  <c r="V65" i="12"/>
  <c r="AD65" i="12"/>
  <c r="BB65" i="12"/>
  <c r="G65" i="12"/>
  <c r="O65" i="12"/>
  <c r="W65" i="12"/>
  <c r="AE65" i="12"/>
  <c r="AM65" i="12"/>
  <c r="AU65" i="12"/>
  <c r="E85" i="12"/>
  <c r="E75" i="12"/>
  <c r="M136" i="12"/>
  <c r="M43" i="12" s="1"/>
  <c r="U136" i="12"/>
  <c r="U43" i="12" s="1"/>
  <c r="AC136" i="12"/>
  <c r="AC43" i="12" s="1"/>
  <c r="AK136" i="12"/>
  <c r="AK43" i="12" s="1"/>
  <c r="AS136" i="12"/>
  <c r="AS43" i="12" s="1"/>
  <c r="BA136" i="12"/>
  <c r="BA43" i="12" s="1"/>
  <c r="G136" i="12"/>
  <c r="G43" i="12" s="1"/>
  <c r="O136" i="12"/>
  <c r="O43" i="12" s="1"/>
  <c r="W136" i="12"/>
  <c r="W43" i="12" s="1"/>
  <c r="AE136" i="12"/>
  <c r="AE43" i="12" s="1"/>
  <c r="AM136" i="12"/>
  <c r="AM43" i="12" s="1"/>
  <c r="AU136" i="12"/>
  <c r="AU43" i="12" s="1"/>
  <c r="I136" i="12"/>
  <c r="I43" i="12" s="1"/>
  <c r="Q136" i="12"/>
  <c r="Q43" i="12" s="1"/>
  <c r="Y136" i="12"/>
  <c r="Y43" i="12" s="1"/>
  <c r="AG136" i="12"/>
  <c r="AG43" i="12" s="1"/>
  <c r="AO136" i="12"/>
  <c r="AO43" i="12" s="1"/>
  <c r="AL136" i="11"/>
  <c r="AL43" i="11" s="1"/>
  <c r="AK136" i="11"/>
  <c r="AK43" i="11" s="1"/>
  <c r="AR136" i="11"/>
  <c r="AR43" i="11" s="1"/>
  <c r="AB136" i="11"/>
  <c r="AB43" i="11" s="1"/>
  <c r="L136" i="11"/>
  <c r="L43" i="11" s="1"/>
  <c r="AI136" i="11"/>
  <c r="AI43" i="11" s="1"/>
  <c r="K136" i="11"/>
  <c r="K43" i="11" s="1"/>
  <c r="AP136" i="11"/>
  <c r="AP43" i="11" s="1"/>
  <c r="Z136" i="11"/>
  <c r="Z43" i="11" s="1"/>
  <c r="AO136" i="11"/>
  <c r="AO43" i="11" s="1"/>
  <c r="AG136" i="11"/>
  <c r="AG43" i="11" s="1"/>
  <c r="Y136" i="11"/>
  <c r="Y43" i="11" s="1"/>
  <c r="Q136" i="11"/>
  <c r="Q43" i="11" s="1"/>
  <c r="I136" i="11"/>
  <c r="I43" i="11" s="1"/>
  <c r="AD136" i="11"/>
  <c r="AD43" i="11" s="1"/>
  <c r="E47" i="11"/>
  <c r="AJ136" i="11"/>
  <c r="AJ43" i="11" s="1"/>
  <c r="AQ136" i="11"/>
  <c r="AQ43" i="11" s="1"/>
  <c r="S136" i="11"/>
  <c r="S43" i="11" s="1"/>
  <c r="AH136" i="11"/>
  <c r="AH43" i="11" s="1"/>
  <c r="R136" i="11"/>
  <c r="R43" i="11" s="1"/>
  <c r="AN136" i="11"/>
  <c r="AN43" i="11" s="1"/>
  <c r="AF136" i="11"/>
  <c r="AF43" i="11" s="1"/>
  <c r="X136" i="11"/>
  <c r="X43" i="11" s="1"/>
  <c r="P136" i="11"/>
  <c r="P43" i="11" s="1"/>
  <c r="H136" i="11"/>
  <c r="H43" i="11" s="1"/>
  <c r="V136" i="11"/>
  <c r="V43" i="11" s="1"/>
  <c r="T136" i="11"/>
  <c r="T43" i="11" s="1"/>
  <c r="AA136" i="11"/>
  <c r="AA43" i="11" s="1"/>
  <c r="J136" i="11"/>
  <c r="J43" i="11" s="1"/>
  <c r="AM136" i="11"/>
  <c r="AM43" i="11" s="1"/>
  <c r="AE136" i="11"/>
  <c r="AE43" i="11" s="1"/>
  <c r="W136" i="11"/>
  <c r="W43" i="11" s="1"/>
  <c r="O136" i="11"/>
  <c r="O43" i="11" s="1"/>
  <c r="G136" i="11"/>
  <c r="G43" i="11" s="1"/>
  <c r="F136" i="11"/>
  <c r="F43" i="11" s="1"/>
  <c r="AC136" i="11"/>
  <c r="AC43" i="11" s="1"/>
  <c r="U136" i="11"/>
  <c r="U43" i="11" s="1"/>
  <c r="M136" i="11"/>
  <c r="M43" i="11" s="1"/>
  <c r="E75" i="11"/>
  <c r="O61" i="11"/>
  <c r="N63" i="11"/>
  <c r="G63" i="11"/>
  <c r="G33" i="11"/>
  <c r="H63" i="11"/>
  <c r="H33" i="11"/>
  <c r="F81" i="11"/>
  <c r="F63" i="11"/>
  <c r="F33" i="11"/>
  <c r="N33" i="11"/>
  <c r="I33" i="11"/>
  <c r="J33" i="11"/>
  <c r="AE81" i="11"/>
  <c r="E85" i="11"/>
  <c r="E67" i="11"/>
  <c r="K33" i="11"/>
  <c r="M61" i="11"/>
  <c r="M63" i="11" s="1"/>
  <c r="L63" i="11"/>
  <c r="L33" i="11"/>
  <c r="E81" i="11"/>
  <c r="G81" i="11"/>
  <c r="K103" i="11"/>
  <c r="AR108" i="11" s="1"/>
  <c r="F73" i="11" l="1"/>
  <c r="F74" i="11" s="1"/>
  <c r="E76" i="11"/>
  <c r="E77" i="11" s="1"/>
  <c r="E68" i="11" s="1"/>
  <c r="AC81" i="11"/>
  <c r="AK81" i="11"/>
  <c r="AJ81" i="11"/>
  <c r="E137" i="12"/>
  <c r="E138" i="12" s="1"/>
  <c r="E41" i="12" s="1"/>
  <c r="N81" i="11"/>
  <c r="P81" i="11"/>
  <c r="AB81" i="11"/>
  <c r="AA81" i="11"/>
  <c r="AQ81" i="11"/>
  <c r="AO81" i="11"/>
  <c r="AR81" i="11"/>
  <c r="AP81" i="11"/>
  <c r="J81" i="11"/>
  <c r="F135" i="12"/>
  <c r="G135" i="12" s="1"/>
  <c r="E137" i="11"/>
  <c r="E138" i="11" s="1"/>
  <c r="M81" i="11"/>
  <c r="Q81" i="11"/>
  <c r="L81" i="11"/>
  <c r="O81" i="11"/>
  <c r="K109" i="12"/>
  <c r="K48" i="12" s="1"/>
  <c r="AG81" i="11"/>
  <c r="K81" i="11"/>
  <c r="I81" i="11"/>
  <c r="G80" i="11"/>
  <c r="X81" i="11"/>
  <c r="Y81" i="11"/>
  <c r="Z81" i="11"/>
  <c r="I81" i="12"/>
  <c r="G81" i="12"/>
  <c r="AH81" i="11"/>
  <c r="E83" i="12"/>
  <c r="E84" i="12" s="1"/>
  <c r="E86" i="12" s="1"/>
  <c r="E87" i="12" s="1"/>
  <c r="AF81" i="11"/>
  <c r="AI81" i="11"/>
  <c r="S81" i="11"/>
  <c r="R81" i="11"/>
  <c r="BB81" i="12"/>
  <c r="U81" i="11"/>
  <c r="AL81" i="12"/>
  <c r="AA81" i="12"/>
  <c r="H81" i="12"/>
  <c r="AD81" i="12"/>
  <c r="AR81" i="12"/>
  <c r="AB81" i="12"/>
  <c r="S81" i="12"/>
  <c r="F81" i="12"/>
  <c r="T81" i="11"/>
  <c r="I80" i="11"/>
  <c r="J81" i="12"/>
  <c r="L80" i="12"/>
  <c r="AS81" i="12"/>
  <c r="AZ81" i="12"/>
  <c r="AJ81" i="12"/>
  <c r="AC81" i="12"/>
  <c r="O80" i="12"/>
  <c r="BA81" i="12"/>
  <c r="J80" i="12"/>
  <c r="AF81" i="12"/>
  <c r="O81" i="12"/>
  <c r="K81" i="12"/>
  <c r="V81" i="12"/>
  <c r="G107" i="12"/>
  <c r="F108" i="12" s="1"/>
  <c r="G106" i="12" s="1"/>
  <c r="AO81" i="12"/>
  <c r="AH81" i="12"/>
  <c r="M80" i="12"/>
  <c r="N81" i="12"/>
  <c r="AQ81" i="12"/>
  <c r="R81" i="12"/>
  <c r="I107" i="12"/>
  <c r="H108" i="12" s="1"/>
  <c r="I106" i="12" s="1"/>
  <c r="I109" i="12" s="1"/>
  <c r="I48" i="12" s="1"/>
  <c r="H107" i="12"/>
  <c r="G108" i="12" s="1"/>
  <c r="H106" i="12" s="1"/>
  <c r="P80" i="12"/>
  <c r="G80" i="12"/>
  <c r="Z81" i="12"/>
  <c r="M81" i="12"/>
  <c r="AG81" i="12"/>
  <c r="T81" i="12"/>
  <c r="N80" i="12"/>
  <c r="D109" i="12"/>
  <c r="D50" i="12" s="1"/>
  <c r="E106" i="12"/>
  <c r="H80" i="12"/>
  <c r="L109" i="12"/>
  <c r="L48" i="12" s="1"/>
  <c r="AX81" i="12"/>
  <c r="AK81" i="12"/>
  <c r="L81" i="12"/>
  <c r="AW81" i="12"/>
  <c r="AV81" i="12"/>
  <c r="AU81" i="12"/>
  <c r="O61" i="12"/>
  <c r="N63" i="12"/>
  <c r="AY81" i="12"/>
  <c r="E76" i="12"/>
  <c r="E77" i="12" s="1"/>
  <c r="E68" i="12" s="1"/>
  <c r="F73" i="12"/>
  <c r="Y81" i="12"/>
  <c r="AM81" i="12"/>
  <c r="F80" i="12"/>
  <c r="K80" i="12"/>
  <c r="I80" i="12"/>
  <c r="AP81" i="12"/>
  <c r="U81" i="12"/>
  <c r="AI81" i="12"/>
  <c r="Q81" i="12"/>
  <c r="J109" i="12"/>
  <c r="J48" i="12" s="1"/>
  <c r="P81" i="12"/>
  <c r="AN81" i="12"/>
  <c r="AE81" i="12"/>
  <c r="AT81" i="12"/>
  <c r="F107" i="12"/>
  <c r="E108" i="12" s="1"/>
  <c r="F106" i="12" s="1"/>
  <c r="P33" i="12"/>
  <c r="Q31" i="12"/>
  <c r="X81" i="12"/>
  <c r="W81" i="12"/>
  <c r="F135" i="11"/>
  <c r="F137" i="11" s="1"/>
  <c r="F138" i="11" s="1"/>
  <c r="F41" i="11" s="1"/>
  <c r="F107" i="11"/>
  <c r="E108" i="11" s="1"/>
  <c r="F106" i="11" s="1"/>
  <c r="P80" i="11"/>
  <c r="H80" i="11"/>
  <c r="N107" i="11"/>
  <c r="M108" i="11" s="1"/>
  <c r="N106" i="11" s="1"/>
  <c r="J80" i="11"/>
  <c r="M80" i="11"/>
  <c r="O63" i="11"/>
  <c r="P61" i="11"/>
  <c r="L107" i="11"/>
  <c r="K108" i="11" s="1"/>
  <c r="L106" i="11" s="1"/>
  <c r="N80" i="11"/>
  <c r="E83" i="11"/>
  <c r="E84" i="11" s="1"/>
  <c r="E86" i="11" s="1"/>
  <c r="E87" i="11" s="1"/>
  <c r="E107" i="11"/>
  <c r="D108" i="11" s="1"/>
  <c r="O80" i="11"/>
  <c r="H107" i="11"/>
  <c r="G108" i="11" s="1"/>
  <c r="H106" i="11" s="1"/>
  <c r="H109" i="11" s="1"/>
  <c r="H48" i="11" s="1"/>
  <c r="J108" i="11"/>
  <c r="K106" i="11" s="1"/>
  <c r="I108" i="11"/>
  <c r="J106" i="11" s="1"/>
  <c r="L80" i="11"/>
  <c r="M107" i="11"/>
  <c r="L108" i="11" s="1"/>
  <c r="M106" i="11" s="1"/>
  <c r="G107" i="11"/>
  <c r="F108" i="11" s="1"/>
  <c r="G106" i="11" s="1"/>
  <c r="F80" i="11"/>
  <c r="K80" i="11"/>
  <c r="BT107" i="2"/>
  <c r="E66" i="12" l="1"/>
  <c r="E69" i="12" s="1"/>
  <c r="E70" i="12" s="1"/>
  <c r="E40" i="12" s="1"/>
  <c r="F137" i="12"/>
  <c r="F138" i="12" s="1"/>
  <c r="F66" i="12" s="1"/>
  <c r="E66" i="11"/>
  <c r="E69" i="11" s="1"/>
  <c r="E70" i="11" s="1"/>
  <c r="E40" i="11" s="1"/>
  <c r="P33" i="11"/>
  <c r="Q80" i="11" s="1"/>
  <c r="G135" i="11"/>
  <c r="G137" i="11" s="1"/>
  <c r="G138" i="11" s="1"/>
  <c r="G41" i="11" s="1"/>
  <c r="K109" i="11"/>
  <c r="K48" i="11" s="1"/>
  <c r="J109" i="11"/>
  <c r="J48" i="11" s="1"/>
  <c r="D51" i="12"/>
  <c r="BC50" i="12"/>
  <c r="G109" i="12"/>
  <c r="G48" i="12" s="1"/>
  <c r="G109" i="11"/>
  <c r="G48" i="11" s="1"/>
  <c r="M109" i="11"/>
  <c r="M48" i="11" s="1"/>
  <c r="H109" i="12"/>
  <c r="H48" i="12" s="1"/>
  <c r="Q80" i="12"/>
  <c r="N107" i="12"/>
  <c r="M108" i="12" s="1"/>
  <c r="F109" i="12"/>
  <c r="F48" i="12" s="1"/>
  <c r="G137" i="12"/>
  <c r="G138" i="12" s="1"/>
  <c r="H135" i="12"/>
  <c r="Q33" i="12"/>
  <c r="R80" i="12" s="1"/>
  <c r="R31" i="12"/>
  <c r="P61" i="12"/>
  <c r="O63" i="12"/>
  <c r="F74" i="12"/>
  <c r="F75" i="12" s="1"/>
  <c r="E109" i="12"/>
  <c r="E48" i="12" s="1"/>
  <c r="F66" i="11"/>
  <c r="Q33" i="11"/>
  <c r="F85" i="11"/>
  <c r="F67" i="11"/>
  <c r="F47" i="11"/>
  <c r="F109" i="11"/>
  <c r="F48" i="11" s="1"/>
  <c r="O107" i="11"/>
  <c r="N108" i="11" s="1"/>
  <c r="O106" i="11" s="1"/>
  <c r="Q61" i="11"/>
  <c r="P63" i="11"/>
  <c r="I109" i="11"/>
  <c r="I48" i="11" s="1"/>
  <c r="F75" i="11"/>
  <c r="D109" i="11"/>
  <c r="D50" i="11" s="1"/>
  <c r="E106" i="11"/>
  <c r="E109" i="11" s="1"/>
  <c r="E48" i="11" s="1"/>
  <c r="L109" i="11"/>
  <c r="L48" i="11" s="1"/>
  <c r="D21" i="2"/>
  <c r="F41" i="12" l="1"/>
  <c r="R80" i="11"/>
  <c r="G66" i="12"/>
  <c r="G41" i="12"/>
  <c r="N109" i="11"/>
  <c r="N48" i="11" s="1"/>
  <c r="D51" i="11"/>
  <c r="AS50" i="11"/>
  <c r="F76" i="12"/>
  <c r="F77" i="12" s="1"/>
  <c r="F68" i="12" s="1"/>
  <c r="G73" i="12"/>
  <c r="R33" i="12"/>
  <c r="S31" i="12"/>
  <c r="N106" i="12"/>
  <c r="M109" i="12"/>
  <c r="M48" i="12" s="1"/>
  <c r="P63" i="12"/>
  <c r="Q61" i="12"/>
  <c r="F85" i="12"/>
  <c r="F67" i="12"/>
  <c r="F47" i="12"/>
  <c r="I135" i="12"/>
  <c r="H137" i="12"/>
  <c r="H138" i="12" s="1"/>
  <c r="O107" i="12"/>
  <c r="N108" i="12" s="1"/>
  <c r="O106" i="12" s="1"/>
  <c r="G66" i="11"/>
  <c r="H135" i="11"/>
  <c r="H137" i="11" s="1"/>
  <c r="H138" i="11" s="1"/>
  <c r="H41" i="11" s="1"/>
  <c r="R61" i="11"/>
  <c r="Q63" i="11"/>
  <c r="R33" i="11"/>
  <c r="S80" i="11" s="1"/>
  <c r="P107" i="11"/>
  <c r="O108" i="11" s="1"/>
  <c r="P106" i="11" s="1"/>
  <c r="G73" i="11"/>
  <c r="F76" i="11"/>
  <c r="F77" i="11" s="1"/>
  <c r="F68" i="11" s="1"/>
  <c r="F69" i="11" s="1"/>
  <c r="F70" i="11" s="1"/>
  <c r="F40" i="11" s="1"/>
  <c r="F82" i="12" l="1"/>
  <c r="F83" i="12" s="1"/>
  <c r="F84" i="12" s="1"/>
  <c r="F86" i="12" s="1"/>
  <c r="F87" i="12" s="1"/>
  <c r="H66" i="12"/>
  <c r="H41" i="12"/>
  <c r="F82" i="11"/>
  <c r="F83" i="11" s="1"/>
  <c r="F84" i="11" s="1"/>
  <c r="F86" i="11" s="1"/>
  <c r="F87" i="11" s="1"/>
  <c r="I137" i="12"/>
  <c r="I138" i="12" s="1"/>
  <c r="J135" i="12"/>
  <c r="Q63" i="12"/>
  <c r="R61" i="12"/>
  <c r="N109" i="12"/>
  <c r="N48" i="12" s="1"/>
  <c r="F69" i="12"/>
  <c r="F70" i="12" s="1"/>
  <c r="S33" i="12"/>
  <c r="T31" i="12"/>
  <c r="P107" i="12"/>
  <c r="O108" i="12" s="1"/>
  <c r="P106" i="12" s="1"/>
  <c r="S80" i="12"/>
  <c r="G74" i="12"/>
  <c r="H66" i="11"/>
  <c r="I135" i="11"/>
  <c r="G82" i="11"/>
  <c r="G83" i="11" s="1"/>
  <c r="G84" i="11" s="1"/>
  <c r="G74" i="11"/>
  <c r="G75" i="11" s="1"/>
  <c r="O109" i="11"/>
  <c r="O48" i="11" s="1"/>
  <c r="S61" i="11"/>
  <c r="R63" i="11"/>
  <c r="S33" i="11"/>
  <c r="Q107" i="11"/>
  <c r="P108" i="11" s="1"/>
  <c r="Q106" i="11" s="1"/>
  <c r="E5" i="2"/>
  <c r="E4" i="2"/>
  <c r="I66" i="12" l="1"/>
  <c r="I41" i="12"/>
  <c r="O109" i="12"/>
  <c r="O48" i="12" s="1"/>
  <c r="AQ42" i="12"/>
  <c r="AI42" i="12"/>
  <c r="AA42" i="12"/>
  <c r="S42" i="12"/>
  <c r="P42" i="12"/>
  <c r="L42" i="12"/>
  <c r="K42" i="12"/>
  <c r="AY42" i="12"/>
  <c r="F44" i="11"/>
  <c r="F45" i="11" s="1"/>
  <c r="F46" i="11" s="1"/>
  <c r="AD42" i="12"/>
  <c r="AU42" i="12"/>
  <c r="Q42" i="12"/>
  <c r="AX42" i="12"/>
  <c r="AJ42" i="12"/>
  <c r="J42" i="12"/>
  <c r="AM42" i="12"/>
  <c r="BA42" i="12"/>
  <c r="AL42" i="12"/>
  <c r="Y42" i="12"/>
  <c r="E44" i="11"/>
  <c r="E45" i="11" s="1"/>
  <c r="E46" i="11" s="1"/>
  <c r="E51" i="11" s="1"/>
  <c r="AR42" i="12"/>
  <c r="E42" i="12"/>
  <c r="E44" i="12" s="1"/>
  <c r="AT42" i="12"/>
  <c r="H42" i="12"/>
  <c r="AG42" i="12"/>
  <c r="AZ42" i="12"/>
  <c r="M42" i="12"/>
  <c r="AO42" i="12"/>
  <c r="U42" i="12"/>
  <c r="AB42" i="12"/>
  <c r="BB42" i="12"/>
  <c r="G42" i="12"/>
  <c r="X42" i="12"/>
  <c r="I42" i="12"/>
  <c r="O42" i="12"/>
  <c r="AF42" i="12"/>
  <c r="AW42" i="12"/>
  <c r="R42" i="12"/>
  <c r="AC42" i="12"/>
  <c r="N42" i="12"/>
  <c r="AV42" i="12"/>
  <c r="AP42" i="12"/>
  <c r="F42" i="12"/>
  <c r="W42" i="12"/>
  <c r="AN42" i="12"/>
  <c r="Z42" i="12"/>
  <c r="AK42" i="12"/>
  <c r="AE42" i="12"/>
  <c r="AH42" i="12"/>
  <c r="T42" i="12"/>
  <c r="AS42" i="12"/>
  <c r="V42" i="12"/>
  <c r="G85" i="12"/>
  <c r="G67" i="12"/>
  <c r="G47" i="12"/>
  <c r="R63" i="12"/>
  <c r="S61" i="12"/>
  <c r="G75" i="12"/>
  <c r="Q107" i="12"/>
  <c r="P108" i="12" s="1"/>
  <c r="Q106" i="12" s="1"/>
  <c r="T33" i="12"/>
  <c r="U31" i="12"/>
  <c r="K135" i="12"/>
  <c r="J137" i="12"/>
  <c r="J138" i="12" s="1"/>
  <c r="T80" i="12"/>
  <c r="G82" i="12"/>
  <c r="G83" i="12" s="1"/>
  <c r="G84" i="12" s="1"/>
  <c r="F40" i="12"/>
  <c r="I137" i="11"/>
  <c r="I138" i="11" s="1"/>
  <c r="I41" i="11" s="1"/>
  <c r="G76" i="11"/>
  <c r="G77" i="11" s="1"/>
  <c r="G68" i="11" s="1"/>
  <c r="H73" i="11"/>
  <c r="S63" i="11"/>
  <c r="T61" i="11"/>
  <c r="T33" i="11"/>
  <c r="U80" i="11" s="1"/>
  <c r="G85" i="11"/>
  <c r="G86" i="11" s="1"/>
  <c r="G87" i="11" s="1"/>
  <c r="G67" i="11"/>
  <c r="G47" i="11"/>
  <c r="P109" i="11"/>
  <c r="P48" i="11" s="1"/>
  <c r="R107" i="11"/>
  <c r="Q108" i="11" s="1"/>
  <c r="R106" i="11" s="1"/>
  <c r="T80" i="11"/>
  <c r="C140" i="2"/>
  <c r="H136" i="2" s="1"/>
  <c r="N3" i="2"/>
  <c r="O3" i="2" s="1"/>
  <c r="N5" i="2"/>
  <c r="O5" i="2" s="1"/>
  <c r="N4" i="2"/>
  <c r="O4" i="2" s="1"/>
  <c r="L5" i="2"/>
  <c r="L4" i="2"/>
  <c r="L3" i="2"/>
  <c r="J66" i="12" l="1"/>
  <c r="J41" i="12"/>
  <c r="G86" i="12"/>
  <c r="G87" i="12" s="1"/>
  <c r="Q109" i="11"/>
  <c r="Q48" i="11" s="1"/>
  <c r="F44" i="12"/>
  <c r="F45" i="12" s="1"/>
  <c r="F46" i="12" s="1"/>
  <c r="F51" i="12" s="1"/>
  <c r="E45" i="12"/>
  <c r="E46" i="12" s="1"/>
  <c r="G76" i="12"/>
  <c r="G77" i="12" s="1"/>
  <c r="G68" i="12" s="1"/>
  <c r="G69" i="12" s="1"/>
  <c r="G70" i="12" s="1"/>
  <c r="H73" i="12"/>
  <c r="K137" i="12"/>
  <c r="K138" i="12" s="1"/>
  <c r="L135" i="12"/>
  <c r="S63" i="12"/>
  <c r="T61" i="12"/>
  <c r="U33" i="12"/>
  <c r="V31" i="12"/>
  <c r="R107" i="12"/>
  <c r="Q108" i="12" s="1"/>
  <c r="R106" i="12" s="1"/>
  <c r="U80" i="12"/>
  <c r="P109" i="12"/>
  <c r="P48" i="12" s="1"/>
  <c r="F51" i="11"/>
  <c r="I66" i="11"/>
  <c r="J135" i="11"/>
  <c r="K135" i="11" s="1"/>
  <c r="U61" i="11"/>
  <c r="T63" i="11"/>
  <c r="S107" i="11"/>
  <c r="R108" i="11" s="1"/>
  <c r="S106" i="11" s="1"/>
  <c r="G69" i="11"/>
  <c r="G70" i="11" s="1"/>
  <c r="G40" i="11" s="1"/>
  <c r="U33" i="11"/>
  <c r="H74" i="11"/>
  <c r="H75" i="11" s="1"/>
  <c r="E135" i="2"/>
  <c r="F136" i="2"/>
  <c r="BH136" i="2"/>
  <c r="AT136" i="2"/>
  <c r="AH136" i="2"/>
  <c r="U136" i="2"/>
  <c r="BR136" i="2"/>
  <c r="BF136" i="2"/>
  <c r="AS136" i="2"/>
  <c r="AG136" i="2"/>
  <c r="T136" i="2"/>
  <c r="AX136" i="2"/>
  <c r="BE136" i="2"/>
  <c r="BJ136" i="2"/>
  <c r="AK136" i="2"/>
  <c r="Y136" i="2"/>
  <c r="G136" i="2"/>
  <c r="E136" i="2"/>
  <c r="BI136" i="2"/>
  <c r="AW136" i="2"/>
  <c r="AJ136" i="2"/>
  <c r="V136" i="2"/>
  <c r="BQ136" i="2"/>
  <c r="AR136" i="2"/>
  <c r="AD136" i="2"/>
  <c r="R136" i="2"/>
  <c r="BP136" i="2"/>
  <c r="BB136" i="2"/>
  <c r="AP136" i="2"/>
  <c r="AC136" i="2"/>
  <c r="Q136" i="2"/>
  <c r="BN136" i="2"/>
  <c r="BA136" i="2"/>
  <c r="AO136" i="2"/>
  <c r="AB136" i="2"/>
  <c r="M136" i="2"/>
  <c r="BM136" i="2"/>
  <c r="AZ136" i="2"/>
  <c r="AL136" i="2"/>
  <c r="Z136" i="2"/>
  <c r="K136" i="2"/>
  <c r="N136" i="2"/>
  <c r="BL136" i="2"/>
  <c r="BD136" i="2"/>
  <c r="AV136" i="2"/>
  <c r="AN136" i="2"/>
  <c r="AF136" i="2"/>
  <c r="X136" i="2"/>
  <c r="P136" i="2"/>
  <c r="BS136" i="2"/>
  <c r="BK136" i="2"/>
  <c r="BC136" i="2"/>
  <c r="AU136" i="2"/>
  <c r="AM136" i="2"/>
  <c r="AE136" i="2"/>
  <c r="W136" i="2"/>
  <c r="O136" i="2"/>
  <c r="BO136" i="2"/>
  <c r="BG136" i="2"/>
  <c r="AY136" i="2"/>
  <c r="AQ136" i="2"/>
  <c r="AI136" i="2"/>
  <c r="AA136" i="2"/>
  <c r="S136" i="2"/>
  <c r="J136" i="2"/>
  <c r="L136" i="2"/>
  <c r="I136" i="2"/>
  <c r="E31" i="2"/>
  <c r="F31" i="2"/>
  <c r="G31" i="2"/>
  <c r="H31" i="2"/>
  <c r="I31" i="2"/>
  <c r="J31" i="2"/>
  <c r="K31" i="2"/>
  <c r="L31" i="2"/>
  <c r="M31" i="2"/>
  <c r="N31" i="2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AL31" i="2" s="1"/>
  <c r="AM31" i="2" s="1"/>
  <c r="AN31" i="2" s="1"/>
  <c r="AO31" i="2" s="1"/>
  <c r="AP31" i="2" s="1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BA31" i="2" s="1"/>
  <c r="BB31" i="2" s="1"/>
  <c r="BC31" i="2" s="1"/>
  <c r="BD31" i="2" s="1"/>
  <c r="BE31" i="2" s="1"/>
  <c r="BF31" i="2" s="1"/>
  <c r="BG31" i="2" s="1"/>
  <c r="O91" i="2"/>
  <c r="O93" i="2" s="1"/>
  <c r="O42" i="2" s="1"/>
  <c r="P91" i="2"/>
  <c r="P93" i="2" s="1"/>
  <c r="P42" i="2" s="1"/>
  <c r="Q91" i="2"/>
  <c r="Q93" i="2" s="1"/>
  <c r="Q42" i="2" s="1"/>
  <c r="R91" i="2"/>
  <c r="R93" i="2" s="1"/>
  <c r="R42" i="2" s="1"/>
  <c r="S91" i="2"/>
  <c r="S93" i="2" s="1"/>
  <c r="S42" i="2" s="1"/>
  <c r="T91" i="2"/>
  <c r="T93" i="2" s="1"/>
  <c r="T42" i="2" s="1"/>
  <c r="U91" i="2"/>
  <c r="U93" i="2" s="1"/>
  <c r="U42" i="2" s="1"/>
  <c r="V91" i="2"/>
  <c r="V93" i="2" s="1"/>
  <c r="V42" i="2" s="1"/>
  <c r="W91" i="2"/>
  <c r="W93" i="2" s="1"/>
  <c r="W42" i="2" s="1"/>
  <c r="X91" i="2"/>
  <c r="X93" i="2" s="1"/>
  <c r="X42" i="2" s="1"/>
  <c r="Y91" i="2"/>
  <c r="Y93" i="2" s="1"/>
  <c r="Y42" i="2" s="1"/>
  <c r="Z91" i="2"/>
  <c r="Z93" i="2" s="1"/>
  <c r="Z42" i="2" s="1"/>
  <c r="AA91" i="2"/>
  <c r="AA93" i="2" s="1"/>
  <c r="AA42" i="2" s="1"/>
  <c r="AB91" i="2"/>
  <c r="AB93" i="2" s="1"/>
  <c r="AB42" i="2" s="1"/>
  <c r="AC91" i="2"/>
  <c r="AC93" i="2" s="1"/>
  <c r="AC42" i="2" s="1"/>
  <c r="AD91" i="2"/>
  <c r="AD93" i="2" s="1"/>
  <c r="AD42" i="2" s="1"/>
  <c r="AE91" i="2"/>
  <c r="AE93" i="2" s="1"/>
  <c r="AE42" i="2" s="1"/>
  <c r="AF91" i="2"/>
  <c r="AF93" i="2" s="1"/>
  <c r="AF42" i="2" s="1"/>
  <c r="AG91" i="2"/>
  <c r="AG93" i="2" s="1"/>
  <c r="AG42" i="2" s="1"/>
  <c r="AH91" i="2"/>
  <c r="AH93" i="2" s="1"/>
  <c r="AH42" i="2" s="1"/>
  <c r="AI91" i="2"/>
  <c r="AI93" i="2" s="1"/>
  <c r="AI42" i="2" s="1"/>
  <c r="AJ91" i="2"/>
  <c r="AJ93" i="2" s="1"/>
  <c r="AJ42" i="2" s="1"/>
  <c r="AK91" i="2"/>
  <c r="AK93" i="2" s="1"/>
  <c r="AK42" i="2" s="1"/>
  <c r="AL91" i="2"/>
  <c r="AL93" i="2" s="1"/>
  <c r="AL42" i="2" s="1"/>
  <c r="AM91" i="2"/>
  <c r="AM93" i="2" s="1"/>
  <c r="AM42" i="2" s="1"/>
  <c r="AN91" i="2"/>
  <c r="AN93" i="2" s="1"/>
  <c r="AN42" i="2" s="1"/>
  <c r="AO91" i="2"/>
  <c r="AO93" i="2" s="1"/>
  <c r="AO42" i="2" s="1"/>
  <c r="AP91" i="2"/>
  <c r="AP93" i="2" s="1"/>
  <c r="AP42" i="2" s="1"/>
  <c r="AQ91" i="2"/>
  <c r="AQ93" i="2" s="1"/>
  <c r="AQ42" i="2" s="1"/>
  <c r="AR91" i="2"/>
  <c r="AR93" i="2" s="1"/>
  <c r="AR42" i="2" s="1"/>
  <c r="AS91" i="2"/>
  <c r="AS93" i="2" s="1"/>
  <c r="AS42" i="2" s="1"/>
  <c r="AT91" i="2"/>
  <c r="AT93" i="2" s="1"/>
  <c r="AT42" i="2" s="1"/>
  <c r="AU91" i="2"/>
  <c r="AU93" i="2" s="1"/>
  <c r="AU42" i="2" s="1"/>
  <c r="AV91" i="2"/>
  <c r="AV93" i="2" s="1"/>
  <c r="AV42" i="2" s="1"/>
  <c r="AW91" i="2"/>
  <c r="AW93" i="2" s="1"/>
  <c r="AW42" i="2" s="1"/>
  <c r="AX91" i="2"/>
  <c r="AX93" i="2" s="1"/>
  <c r="AX42" i="2" s="1"/>
  <c r="AY91" i="2"/>
  <c r="AY93" i="2" s="1"/>
  <c r="AY42" i="2" s="1"/>
  <c r="AZ91" i="2"/>
  <c r="AZ93" i="2" s="1"/>
  <c r="AZ42" i="2" s="1"/>
  <c r="BA91" i="2"/>
  <c r="BA93" i="2" s="1"/>
  <c r="BA42" i="2" s="1"/>
  <c r="BB91" i="2"/>
  <c r="BB93" i="2" s="1"/>
  <c r="BB42" i="2" s="1"/>
  <c r="BC91" i="2"/>
  <c r="BC93" i="2" s="1"/>
  <c r="BC42" i="2" s="1"/>
  <c r="BD91" i="2"/>
  <c r="BD93" i="2" s="1"/>
  <c r="BD42" i="2" s="1"/>
  <c r="BE91" i="2"/>
  <c r="BE93" i="2" s="1"/>
  <c r="BE42" i="2" s="1"/>
  <c r="BF91" i="2"/>
  <c r="BF93" i="2" s="1"/>
  <c r="BF42" i="2" s="1"/>
  <c r="BG91" i="2"/>
  <c r="BG93" i="2" s="1"/>
  <c r="BG42" i="2" s="1"/>
  <c r="BH91" i="2"/>
  <c r="BH93" i="2" s="1"/>
  <c r="BH42" i="2" s="1"/>
  <c r="BI91" i="2"/>
  <c r="BI93" i="2" s="1"/>
  <c r="BI42" i="2" s="1"/>
  <c r="BJ91" i="2"/>
  <c r="BJ93" i="2" s="1"/>
  <c r="BJ42" i="2" s="1"/>
  <c r="BK91" i="2"/>
  <c r="BK93" i="2" s="1"/>
  <c r="BK42" i="2" s="1"/>
  <c r="BL91" i="2"/>
  <c r="BL93" i="2" s="1"/>
  <c r="BL42" i="2" s="1"/>
  <c r="BM91" i="2"/>
  <c r="BM93" i="2" s="1"/>
  <c r="BM42" i="2" s="1"/>
  <c r="BN91" i="2"/>
  <c r="BN93" i="2" s="1"/>
  <c r="BN42" i="2" s="1"/>
  <c r="BO91" i="2"/>
  <c r="BO93" i="2" s="1"/>
  <c r="BO42" i="2" s="1"/>
  <c r="BP91" i="2"/>
  <c r="BP93" i="2" s="1"/>
  <c r="BP42" i="2" s="1"/>
  <c r="BQ91" i="2"/>
  <c r="BQ93" i="2" s="1"/>
  <c r="BQ42" i="2" s="1"/>
  <c r="BR91" i="2"/>
  <c r="BR93" i="2" s="1"/>
  <c r="BR42" i="2" s="1"/>
  <c r="BS91" i="2"/>
  <c r="BS93" i="2" s="1"/>
  <c r="BS42" i="2" s="1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N35" i="2"/>
  <c r="O32" i="2"/>
  <c r="O62" i="2" s="1"/>
  <c r="P32" i="2"/>
  <c r="P62" i="2" s="1"/>
  <c r="Q32" i="2"/>
  <c r="Q62" i="2" s="1"/>
  <c r="R32" i="2"/>
  <c r="R62" i="2" s="1"/>
  <c r="S32" i="2"/>
  <c r="S62" i="2" s="1"/>
  <c r="T32" i="2"/>
  <c r="T62" i="2" s="1"/>
  <c r="U32" i="2"/>
  <c r="U62" i="2" s="1"/>
  <c r="V32" i="2"/>
  <c r="V62" i="2" s="1"/>
  <c r="W32" i="2"/>
  <c r="W62" i="2" s="1"/>
  <c r="X32" i="2"/>
  <c r="X62" i="2" s="1"/>
  <c r="Y32" i="2"/>
  <c r="Y62" i="2" s="1"/>
  <c r="Z32" i="2"/>
  <c r="Z62" i="2" s="1"/>
  <c r="AA32" i="2"/>
  <c r="AA62" i="2" s="1"/>
  <c r="AB32" i="2"/>
  <c r="AB62" i="2" s="1"/>
  <c r="AC32" i="2"/>
  <c r="AC62" i="2" s="1"/>
  <c r="AD32" i="2"/>
  <c r="AD62" i="2" s="1"/>
  <c r="AE32" i="2"/>
  <c r="AE62" i="2" s="1"/>
  <c r="AF32" i="2"/>
  <c r="AF62" i="2" s="1"/>
  <c r="AG32" i="2"/>
  <c r="AG62" i="2" s="1"/>
  <c r="AH32" i="2"/>
  <c r="AH62" i="2" s="1"/>
  <c r="AI32" i="2"/>
  <c r="AI62" i="2" s="1"/>
  <c r="AJ32" i="2"/>
  <c r="AJ62" i="2" s="1"/>
  <c r="AK32" i="2"/>
  <c r="AK62" i="2" s="1"/>
  <c r="AL32" i="2"/>
  <c r="AL62" i="2" s="1"/>
  <c r="AM32" i="2"/>
  <c r="AM62" i="2" s="1"/>
  <c r="AN32" i="2"/>
  <c r="AN62" i="2" s="1"/>
  <c r="AO32" i="2"/>
  <c r="AO62" i="2" s="1"/>
  <c r="AP32" i="2"/>
  <c r="AP62" i="2" s="1"/>
  <c r="AQ32" i="2"/>
  <c r="AQ62" i="2" s="1"/>
  <c r="AR32" i="2"/>
  <c r="AR62" i="2" s="1"/>
  <c r="AS32" i="2"/>
  <c r="AS62" i="2" s="1"/>
  <c r="AT32" i="2"/>
  <c r="AT62" i="2" s="1"/>
  <c r="AU32" i="2"/>
  <c r="AU62" i="2" s="1"/>
  <c r="AV32" i="2"/>
  <c r="AV62" i="2" s="1"/>
  <c r="AW32" i="2"/>
  <c r="AW62" i="2" s="1"/>
  <c r="AX32" i="2"/>
  <c r="AX62" i="2" s="1"/>
  <c r="AY32" i="2"/>
  <c r="AY62" i="2" s="1"/>
  <c r="AZ32" i="2"/>
  <c r="AZ62" i="2" s="1"/>
  <c r="BA32" i="2"/>
  <c r="BA62" i="2" s="1"/>
  <c r="BB32" i="2"/>
  <c r="BB62" i="2" s="1"/>
  <c r="BC32" i="2"/>
  <c r="BC62" i="2" s="1"/>
  <c r="BD32" i="2"/>
  <c r="BD62" i="2" s="1"/>
  <c r="BE32" i="2"/>
  <c r="BE62" i="2" s="1"/>
  <c r="BF32" i="2"/>
  <c r="BF62" i="2" s="1"/>
  <c r="BG32" i="2"/>
  <c r="BG62" i="2" s="1"/>
  <c r="BH32" i="2"/>
  <c r="BH62" i="2" s="1"/>
  <c r="BI32" i="2"/>
  <c r="BI62" i="2" s="1"/>
  <c r="BJ32" i="2"/>
  <c r="BJ62" i="2" s="1"/>
  <c r="BK32" i="2"/>
  <c r="BK62" i="2" s="1"/>
  <c r="BL32" i="2"/>
  <c r="BL62" i="2" s="1"/>
  <c r="BM32" i="2"/>
  <c r="BM62" i="2" s="1"/>
  <c r="BN32" i="2"/>
  <c r="BN62" i="2" s="1"/>
  <c r="BO32" i="2"/>
  <c r="BO62" i="2" s="1"/>
  <c r="BP32" i="2"/>
  <c r="BP62" i="2" s="1"/>
  <c r="BQ32" i="2"/>
  <c r="BQ62" i="2" s="1"/>
  <c r="BR32" i="2"/>
  <c r="BR62" i="2" s="1"/>
  <c r="BS32" i="2"/>
  <c r="BS62" i="2" s="1"/>
  <c r="K66" i="12" l="1"/>
  <c r="K41" i="12"/>
  <c r="R109" i="11"/>
  <c r="R48" i="11" s="1"/>
  <c r="E51" i="12"/>
  <c r="H82" i="12"/>
  <c r="H83" i="12" s="1"/>
  <c r="H84" i="12" s="1"/>
  <c r="G40" i="12"/>
  <c r="G44" i="12" s="1"/>
  <c r="V33" i="12"/>
  <c r="W31" i="12"/>
  <c r="H74" i="12"/>
  <c r="H75" i="12" s="1"/>
  <c r="V80" i="12"/>
  <c r="M135" i="12"/>
  <c r="L137" i="12"/>
  <c r="L138" i="12" s="1"/>
  <c r="T63" i="12"/>
  <c r="U61" i="12"/>
  <c r="S107" i="12"/>
  <c r="R108" i="12" s="1"/>
  <c r="S106" i="12" s="1"/>
  <c r="Q109" i="12"/>
  <c r="Q48" i="12" s="1"/>
  <c r="L135" i="11"/>
  <c r="J137" i="11"/>
  <c r="J138" i="11" s="1"/>
  <c r="J41" i="11" s="1"/>
  <c r="H76" i="11"/>
  <c r="H77" i="11" s="1"/>
  <c r="H68" i="11" s="1"/>
  <c r="I73" i="11"/>
  <c r="H82" i="11"/>
  <c r="H83" i="11" s="1"/>
  <c r="H84" i="11" s="1"/>
  <c r="G44" i="11"/>
  <c r="T107" i="11"/>
  <c r="S108" i="11" s="1"/>
  <c r="T106" i="11" s="1"/>
  <c r="V61" i="11"/>
  <c r="U63" i="11"/>
  <c r="V33" i="11"/>
  <c r="H85" i="11"/>
  <c r="H67" i="11"/>
  <c r="H47" i="11"/>
  <c r="V80" i="11"/>
  <c r="F135" i="2"/>
  <c r="E137" i="2"/>
  <c r="E138" i="2" s="1"/>
  <c r="BH65" i="2"/>
  <c r="AZ65" i="2"/>
  <c r="AB65" i="2"/>
  <c r="BI65" i="2"/>
  <c r="BA65" i="2"/>
  <c r="AS65" i="2"/>
  <c r="AC65" i="2"/>
  <c r="AK65" i="2"/>
  <c r="AR65" i="2"/>
  <c r="R65" i="2"/>
  <c r="BM65" i="2"/>
  <c r="BE65" i="2"/>
  <c r="AO65" i="2"/>
  <c r="BR65" i="2"/>
  <c r="AW65" i="2"/>
  <c r="S65" i="2"/>
  <c r="AJ65" i="2"/>
  <c r="BQ65" i="2"/>
  <c r="BO65" i="2"/>
  <c r="BG65" i="2"/>
  <c r="AY65" i="2"/>
  <c r="AQ65" i="2"/>
  <c r="AI65" i="2"/>
  <c r="AA65" i="2"/>
  <c r="BN65" i="2"/>
  <c r="BF65" i="2"/>
  <c r="AX65" i="2"/>
  <c r="AP65" i="2"/>
  <c r="AH65" i="2"/>
  <c r="Z65" i="2"/>
  <c r="AG65" i="2"/>
  <c r="Y65" i="2"/>
  <c r="Q65" i="2"/>
  <c r="BL65" i="2"/>
  <c r="BD65" i="2"/>
  <c r="AV65" i="2"/>
  <c r="AN65" i="2"/>
  <c r="AF65" i="2"/>
  <c r="X65" i="2"/>
  <c r="P65" i="2"/>
  <c r="U65" i="2"/>
  <c r="BS65" i="2"/>
  <c r="BK65" i="2"/>
  <c r="BC65" i="2"/>
  <c r="AU65" i="2"/>
  <c r="AM65" i="2"/>
  <c r="AE65" i="2"/>
  <c r="W65" i="2"/>
  <c r="O65" i="2"/>
  <c r="BH31" i="2"/>
  <c r="BI31" i="2" s="1"/>
  <c r="BJ31" i="2" s="1"/>
  <c r="BK31" i="2" s="1"/>
  <c r="BL31" i="2" s="1"/>
  <c r="BM31" i="2" s="1"/>
  <c r="BN31" i="2" s="1"/>
  <c r="BO31" i="2" s="1"/>
  <c r="BP31" i="2" s="1"/>
  <c r="BQ31" i="2" s="1"/>
  <c r="BR31" i="2" s="1"/>
  <c r="BS31" i="2" s="1"/>
  <c r="BJ65" i="2"/>
  <c r="AL65" i="2"/>
  <c r="BB65" i="2"/>
  <c r="AD65" i="2"/>
  <c r="V65" i="2"/>
  <c r="AT65" i="2"/>
  <c r="BP65" i="2"/>
  <c r="T65" i="2"/>
  <c r="E32" i="2"/>
  <c r="E62" i="2" s="1"/>
  <c r="L66" i="12" l="1"/>
  <c r="L41" i="12"/>
  <c r="X31" i="12"/>
  <c r="W33" i="12"/>
  <c r="X80" i="12" s="1"/>
  <c r="H76" i="12"/>
  <c r="H77" i="12" s="1"/>
  <c r="H68" i="12" s="1"/>
  <c r="I73" i="12"/>
  <c r="W80" i="12"/>
  <c r="M137" i="12"/>
  <c r="M138" i="12" s="1"/>
  <c r="N135" i="12"/>
  <c r="G45" i="12"/>
  <c r="G46" i="12" s="1"/>
  <c r="H85" i="12"/>
  <c r="H86" i="12" s="1"/>
  <c r="H87" i="12" s="1"/>
  <c r="H67" i="12"/>
  <c r="H47" i="12"/>
  <c r="V61" i="12"/>
  <c r="U63" i="12"/>
  <c r="T107" i="12"/>
  <c r="S108" i="12" s="1"/>
  <c r="T106" i="12" s="1"/>
  <c r="R109" i="12"/>
  <c r="R48" i="12" s="1"/>
  <c r="J66" i="11"/>
  <c r="L137" i="11"/>
  <c r="L138" i="11" s="1"/>
  <c r="L41" i="11" s="1"/>
  <c r="K137" i="11"/>
  <c r="K138" i="11" s="1"/>
  <c r="K41" i="11" s="1"/>
  <c r="W80" i="11"/>
  <c r="S109" i="11"/>
  <c r="S48" i="11" s="1"/>
  <c r="U107" i="11"/>
  <c r="T108" i="11" s="1"/>
  <c r="U106" i="11" s="1"/>
  <c r="G45" i="11"/>
  <c r="G46" i="11" s="1"/>
  <c r="W61" i="11"/>
  <c r="V63" i="11"/>
  <c r="H86" i="11"/>
  <c r="H87" i="11" s="1"/>
  <c r="I74" i="11"/>
  <c r="I75" i="11" s="1"/>
  <c r="W33" i="11"/>
  <c r="H69" i="11"/>
  <c r="H70" i="11" s="1"/>
  <c r="H40" i="11" s="1"/>
  <c r="E66" i="2"/>
  <c r="F137" i="2"/>
  <c r="F138" i="2" s="1"/>
  <c r="AB81" i="2"/>
  <c r="AD81" i="2"/>
  <c r="AJ81" i="2"/>
  <c r="AY81" i="2"/>
  <c r="AF81" i="2"/>
  <c r="AP81" i="2"/>
  <c r="AZ81" i="2"/>
  <c r="Z81" i="2"/>
  <c r="AO81" i="2"/>
  <c r="AW81" i="2"/>
  <c r="Y81" i="2"/>
  <c r="BQ81" i="2"/>
  <c r="BK81" i="2"/>
  <c r="BE81" i="2"/>
  <c r="T81" i="2"/>
  <c r="BS81" i="2"/>
  <c r="AC81" i="2"/>
  <c r="AL81" i="2"/>
  <c r="AN81" i="2"/>
  <c r="BB81" i="2"/>
  <c r="AH81" i="2"/>
  <c r="AI81" i="2"/>
  <c r="AR81" i="2"/>
  <c r="AK81" i="2"/>
  <c r="AE81" i="2"/>
  <c r="AV81" i="2"/>
  <c r="AX81" i="2"/>
  <c r="W81" i="2"/>
  <c r="V81" i="2"/>
  <c r="AA81" i="2"/>
  <c r="AM81" i="2"/>
  <c r="BD81" i="2"/>
  <c r="AT81" i="2"/>
  <c r="BF81" i="2"/>
  <c r="AQ81" i="2"/>
  <c r="BH81" i="2"/>
  <c r="BA81" i="2"/>
  <c r="AU81" i="2"/>
  <c r="BL81" i="2"/>
  <c r="BJ81" i="2"/>
  <c r="BN81" i="2"/>
  <c r="BM81" i="2"/>
  <c r="U81" i="2"/>
  <c r="X81" i="2"/>
  <c r="BG81" i="2"/>
  <c r="AS81" i="2"/>
  <c r="BO81" i="2"/>
  <c r="BP81" i="2"/>
  <c r="BI81" i="2"/>
  <c r="BC81" i="2"/>
  <c r="BR81" i="2"/>
  <c r="AG81" i="2"/>
  <c r="G135" i="2"/>
  <c r="M66" i="12" l="1"/>
  <c r="M41" i="12"/>
  <c r="H69" i="12"/>
  <c r="G51" i="12"/>
  <c r="V63" i="12"/>
  <c r="W61" i="12"/>
  <c r="S109" i="12"/>
  <c r="S48" i="12" s="1"/>
  <c r="I74" i="12"/>
  <c r="I75" i="12" s="1"/>
  <c r="N137" i="12"/>
  <c r="N138" i="12" s="1"/>
  <c r="O135" i="12"/>
  <c r="U107" i="12"/>
  <c r="T108" i="12" s="1"/>
  <c r="U106" i="12" s="1"/>
  <c r="X33" i="12"/>
  <c r="Y80" i="12" s="1"/>
  <c r="Y31" i="12"/>
  <c r="G51" i="11"/>
  <c r="K66" i="11"/>
  <c r="L66" i="11"/>
  <c r="M135" i="11"/>
  <c r="J73" i="11"/>
  <c r="I76" i="11"/>
  <c r="I77" i="11" s="1"/>
  <c r="I68" i="11" s="1"/>
  <c r="I82" i="11"/>
  <c r="I83" i="11" s="1"/>
  <c r="I84" i="11" s="1"/>
  <c r="H44" i="11"/>
  <c r="V107" i="11"/>
  <c r="U108" i="11" s="1"/>
  <c r="V106" i="11" s="1"/>
  <c r="I85" i="11"/>
  <c r="I67" i="11"/>
  <c r="I47" i="11"/>
  <c r="T109" i="11"/>
  <c r="T48" i="11" s="1"/>
  <c r="W63" i="11"/>
  <c r="X61" i="11"/>
  <c r="X80" i="11"/>
  <c r="X33" i="11"/>
  <c r="Y80" i="11" s="1"/>
  <c r="F66" i="2"/>
  <c r="G137" i="2"/>
  <c r="G138" i="2" s="1"/>
  <c r="H70" i="12" l="1"/>
  <c r="H40" i="12" s="1"/>
  <c r="H44" i="12" s="1"/>
  <c r="H45" i="12" s="1"/>
  <c r="H46" i="12" s="1"/>
  <c r="I86" i="11"/>
  <c r="I87" i="11" s="1"/>
  <c r="N66" i="12"/>
  <c r="N41" i="12"/>
  <c r="I76" i="12"/>
  <c r="I77" i="12" s="1"/>
  <c r="I68" i="12" s="1"/>
  <c r="J73" i="12"/>
  <c r="Y33" i="12"/>
  <c r="Z80" i="12" s="1"/>
  <c r="Z31" i="12"/>
  <c r="T109" i="12"/>
  <c r="T48" i="12" s="1"/>
  <c r="O137" i="12"/>
  <c r="O138" i="12" s="1"/>
  <c r="P135" i="12"/>
  <c r="X61" i="12"/>
  <c r="W63" i="12"/>
  <c r="V107" i="12"/>
  <c r="U108" i="12" s="1"/>
  <c r="V106" i="12" s="1"/>
  <c r="I85" i="12"/>
  <c r="I67" i="12"/>
  <c r="I47" i="12"/>
  <c r="I69" i="11"/>
  <c r="M137" i="11"/>
  <c r="M138" i="11" s="1"/>
  <c r="M41" i="11" s="1"/>
  <c r="N135" i="11"/>
  <c r="W107" i="11"/>
  <c r="V108" i="11" s="1"/>
  <c r="W106" i="11" s="1"/>
  <c r="Y33" i="11"/>
  <c r="Z80" i="11" s="1"/>
  <c r="X63" i="11"/>
  <c r="Y61" i="11"/>
  <c r="U109" i="11"/>
  <c r="U48" i="11" s="1"/>
  <c r="H45" i="11"/>
  <c r="H46" i="11" s="1"/>
  <c r="J74" i="11"/>
  <c r="J75" i="11" s="1"/>
  <c r="G66" i="2"/>
  <c r="H135" i="2"/>
  <c r="I82" i="12" l="1"/>
  <c r="I83" i="12" s="1"/>
  <c r="I84" i="12" s="1"/>
  <c r="I86" i="12" s="1"/>
  <c r="I87" i="12" s="1"/>
  <c r="I70" i="11"/>
  <c r="I40" i="11" s="1"/>
  <c r="I44" i="11" s="1"/>
  <c r="I45" i="11" s="1"/>
  <c r="I46" i="11" s="1"/>
  <c r="I51" i="11" s="1"/>
  <c r="U109" i="12"/>
  <c r="U48" i="12" s="1"/>
  <c r="I69" i="12"/>
  <c r="O66" i="12"/>
  <c r="O41" i="12"/>
  <c r="H51" i="12"/>
  <c r="AA31" i="12"/>
  <c r="Z33" i="12"/>
  <c r="W107" i="12"/>
  <c r="V108" i="12" s="1"/>
  <c r="W106" i="12" s="1"/>
  <c r="X63" i="12"/>
  <c r="Y61" i="12"/>
  <c r="Q135" i="12"/>
  <c r="P137" i="12"/>
  <c r="P138" i="12" s="1"/>
  <c r="J74" i="12"/>
  <c r="H51" i="11"/>
  <c r="M66" i="11"/>
  <c r="O135" i="11"/>
  <c r="O137" i="11" s="1"/>
  <c r="O138" i="11" s="1"/>
  <c r="O41" i="11" s="1"/>
  <c r="N137" i="11"/>
  <c r="N138" i="11" s="1"/>
  <c r="N41" i="11" s="1"/>
  <c r="X107" i="11"/>
  <c r="W108" i="11" s="1"/>
  <c r="X106" i="11" s="1"/>
  <c r="K73" i="11"/>
  <c r="J76" i="11"/>
  <c r="J77" i="11" s="1"/>
  <c r="J68" i="11" s="1"/>
  <c r="Z33" i="11"/>
  <c r="AA80" i="11" s="1"/>
  <c r="Z61" i="11"/>
  <c r="Y63" i="11"/>
  <c r="J85" i="11"/>
  <c r="J67" i="11"/>
  <c r="J47" i="11"/>
  <c r="V109" i="11"/>
  <c r="V48" i="11" s="1"/>
  <c r="H137" i="2"/>
  <c r="H138" i="2" s="1"/>
  <c r="I70" i="12" l="1"/>
  <c r="J82" i="12" s="1"/>
  <c r="J83" i="12" s="1"/>
  <c r="J84" i="12" s="1"/>
  <c r="J82" i="11"/>
  <c r="J83" i="11" s="1"/>
  <c r="J84" i="11" s="1"/>
  <c r="J86" i="11" s="1"/>
  <c r="J87" i="11" s="1"/>
  <c r="P66" i="12"/>
  <c r="P41" i="12"/>
  <c r="W109" i="11"/>
  <c r="W48" i="11" s="1"/>
  <c r="Y63" i="12"/>
  <c r="Z61" i="12"/>
  <c r="X107" i="12"/>
  <c r="W108" i="12" s="1"/>
  <c r="X106" i="12" s="1"/>
  <c r="Q137" i="12"/>
  <c r="Q138" i="12" s="1"/>
  <c r="R135" i="12"/>
  <c r="AA80" i="12"/>
  <c r="AA33" i="12"/>
  <c r="AB31" i="12"/>
  <c r="J85" i="12"/>
  <c r="J47" i="12"/>
  <c r="J67" i="12"/>
  <c r="J75" i="12"/>
  <c r="V109" i="12"/>
  <c r="V48" i="12" s="1"/>
  <c r="O66" i="11"/>
  <c r="N66" i="11"/>
  <c r="J69" i="11"/>
  <c r="J70" i="11" s="1"/>
  <c r="J40" i="11" s="1"/>
  <c r="P135" i="11"/>
  <c r="AA33" i="11"/>
  <c r="AB80" i="11" s="1"/>
  <c r="K74" i="11"/>
  <c r="Y107" i="11"/>
  <c r="X108" i="11" s="1"/>
  <c r="Y106" i="11" s="1"/>
  <c r="AA61" i="11"/>
  <c r="Z63" i="11"/>
  <c r="H66" i="2"/>
  <c r="I135" i="2"/>
  <c r="G91" i="2"/>
  <c r="G93" i="2" s="1"/>
  <c r="G42" i="2" s="1"/>
  <c r="H91" i="2"/>
  <c r="H93" i="2" s="1"/>
  <c r="H42" i="2" s="1"/>
  <c r="I91" i="2"/>
  <c r="I93" i="2" s="1"/>
  <c r="I42" i="2" s="1"/>
  <c r="J91" i="2"/>
  <c r="J93" i="2" s="1"/>
  <c r="J42" i="2" s="1"/>
  <c r="K91" i="2"/>
  <c r="K93" i="2" s="1"/>
  <c r="K42" i="2" s="1"/>
  <c r="L91" i="2"/>
  <c r="L93" i="2" s="1"/>
  <c r="L42" i="2" s="1"/>
  <c r="M91" i="2"/>
  <c r="M93" i="2" s="1"/>
  <c r="M42" i="2" s="1"/>
  <c r="N91" i="2"/>
  <c r="N93" i="2" s="1"/>
  <c r="N42" i="2" s="1"/>
  <c r="E91" i="2"/>
  <c r="E93" i="2" s="1"/>
  <c r="E42" i="2" s="1"/>
  <c r="F91" i="2"/>
  <c r="F93" i="2" s="1"/>
  <c r="F42" i="2" s="1"/>
  <c r="F38" i="2"/>
  <c r="G38" i="2"/>
  <c r="H38" i="2"/>
  <c r="I38" i="2"/>
  <c r="J38" i="2"/>
  <c r="K38" i="2"/>
  <c r="L38" i="2"/>
  <c r="M38" i="2"/>
  <c r="N38" i="2"/>
  <c r="E38" i="2"/>
  <c r="F37" i="2"/>
  <c r="G37" i="2"/>
  <c r="H37" i="2"/>
  <c r="I37" i="2"/>
  <c r="J37" i="2"/>
  <c r="K37" i="2"/>
  <c r="L37" i="2"/>
  <c r="M37" i="2"/>
  <c r="N37" i="2"/>
  <c r="E37" i="2"/>
  <c r="F36" i="2"/>
  <c r="G36" i="2"/>
  <c r="H36" i="2"/>
  <c r="I36" i="2"/>
  <c r="J36" i="2"/>
  <c r="K36" i="2"/>
  <c r="L36" i="2"/>
  <c r="M36" i="2"/>
  <c r="N36" i="2"/>
  <c r="E36" i="2"/>
  <c r="F35" i="2"/>
  <c r="G35" i="2"/>
  <c r="H35" i="2"/>
  <c r="I35" i="2"/>
  <c r="J35" i="2"/>
  <c r="K35" i="2"/>
  <c r="L35" i="2"/>
  <c r="M35" i="2"/>
  <c r="E35" i="2"/>
  <c r="K32" i="2"/>
  <c r="K62" i="2" s="1"/>
  <c r="L32" i="2"/>
  <c r="L62" i="2" s="1"/>
  <c r="M32" i="2"/>
  <c r="M62" i="2" s="1"/>
  <c r="N32" i="2"/>
  <c r="N62" i="2" s="1"/>
  <c r="K61" i="2"/>
  <c r="J61" i="2"/>
  <c r="I61" i="2"/>
  <c r="H61" i="2"/>
  <c r="G61" i="2"/>
  <c r="F61" i="2"/>
  <c r="E61" i="2"/>
  <c r="I40" i="12" l="1"/>
  <c r="I44" i="12" s="1"/>
  <c r="I45" i="12" s="1"/>
  <c r="I46" i="12" s="1"/>
  <c r="I51" i="12" s="1"/>
  <c r="J86" i="12"/>
  <c r="J87" i="12" s="1"/>
  <c r="Q66" i="12"/>
  <c r="Q41" i="12"/>
  <c r="E65" i="2"/>
  <c r="E81" i="2" s="1"/>
  <c r="J44" i="11"/>
  <c r="J45" i="11" s="1"/>
  <c r="J46" i="11" s="1"/>
  <c r="S135" i="12"/>
  <c r="R137" i="12"/>
  <c r="R138" i="12" s="1"/>
  <c r="J76" i="12"/>
  <c r="J77" i="12" s="1"/>
  <c r="J68" i="12" s="1"/>
  <c r="J69" i="12" s="1"/>
  <c r="J70" i="12" s="1"/>
  <c r="K73" i="12"/>
  <c r="W109" i="12"/>
  <c r="W48" i="12" s="1"/>
  <c r="Z63" i="12"/>
  <c r="AA61" i="12"/>
  <c r="AB33" i="12"/>
  <c r="AC31" i="12"/>
  <c r="Y107" i="12"/>
  <c r="X108" i="12" s="1"/>
  <c r="Y106" i="12" s="1"/>
  <c r="AB80" i="12"/>
  <c r="K82" i="11"/>
  <c r="K83" i="11" s="1"/>
  <c r="K84" i="11" s="1"/>
  <c r="Q135" i="11"/>
  <c r="AA63" i="11"/>
  <c r="AB61" i="11"/>
  <c r="Z107" i="11"/>
  <c r="Y108" i="11" s="1"/>
  <c r="Z106" i="11" s="1"/>
  <c r="X109" i="11"/>
  <c r="X48" i="11" s="1"/>
  <c r="K85" i="11"/>
  <c r="K67" i="11"/>
  <c r="K47" i="11"/>
  <c r="AB33" i="11"/>
  <c r="K75" i="11"/>
  <c r="I137" i="2"/>
  <c r="I138" i="2" s="1"/>
  <c r="N65" i="2"/>
  <c r="S81" i="2" s="1"/>
  <c r="N33" i="2"/>
  <c r="N61" i="2"/>
  <c r="M33" i="2"/>
  <c r="M65" i="2"/>
  <c r="K65" i="2"/>
  <c r="I65" i="2"/>
  <c r="G65" i="2"/>
  <c r="L33" i="2"/>
  <c r="F65" i="2"/>
  <c r="H65" i="2"/>
  <c r="L65" i="2"/>
  <c r="J65" i="2"/>
  <c r="K33" i="2"/>
  <c r="M61" i="2"/>
  <c r="M63" i="2" s="1"/>
  <c r="M107" i="2" s="1"/>
  <c r="K63" i="2"/>
  <c r="K107" i="2" s="1"/>
  <c r="L61" i="2"/>
  <c r="L63" i="2" s="1"/>
  <c r="L107" i="2" s="1"/>
  <c r="D128" i="2"/>
  <c r="E128" i="2" s="1"/>
  <c r="E129" i="2"/>
  <c r="X109" i="12" l="1"/>
  <c r="X48" i="12" s="1"/>
  <c r="R66" i="12"/>
  <c r="R41" i="12"/>
  <c r="K82" i="12"/>
  <c r="K83" i="12" s="1"/>
  <c r="K84" i="12" s="1"/>
  <c r="J40" i="12"/>
  <c r="J44" i="12" s="1"/>
  <c r="K74" i="12"/>
  <c r="AC33" i="12"/>
  <c r="AD31" i="12"/>
  <c r="AC80" i="12"/>
  <c r="AA63" i="12"/>
  <c r="AB61" i="12"/>
  <c r="S137" i="12"/>
  <c r="S138" i="12" s="1"/>
  <c r="T135" i="12"/>
  <c r="Z107" i="12"/>
  <c r="Y108" i="12" s="1"/>
  <c r="Z106" i="12" s="1"/>
  <c r="J51" i="11"/>
  <c r="K86" i="11"/>
  <c r="K87" i="11" s="1"/>
  <c r="P137" i="11"/>
  <c r="P138" i="11" s="1"/>
  <c r="P41" i="11" s="1"/>
  <c r="R135" i="11"/>
  <c r="K76" i="11"/>
  <c r="K77" i="11" s="1"/>
  <c r="K68" i="11" s="1"/>
  <c r="K69" i="11" s="1"/>
  <c r="K70" i="11" s="1"/>
  <c r="K40" i="11" s="1"/>
  <c r="L73" i="11"/>
  <c r="AC33" i="11"/>
  <c r="AD80" i="11" s="1"/>
  <c r="AC61" i="11"/>
  <c r="AB63" i="11"/>
  <c r="AA107" i="11"/>
  <c r="Z108" i="11" s="1"/>
  <c r="AA106" i="11" s="1"/>
  <c r="Y109" i="11"/>
  <c r="Y48" i="11" s="1"/>
  <c r="AC80" i="11"/>
  <c r="I66" i="2"/>
  <c r="N81" i="2"/>
  <c r="K81" i="2"/>
  <c r="F81" i="2"/>
  <c r="L81" i="2"/>
  <c r="J81" i="2"/>
  <c r="I81" i="2"/>
  <c r="G81" i="2"/>
  <c r="H81" i="2"/>
  <c r="O81" i="2"/>
  <c r="P81" i="2"/>
  <c r="Q81" i="2"/>
  <c r="R81" i="2"/>
  <c r="M81" i="2"/>
  <c r="J135" i="2"/>
  <c r="O33" i="2"/>
  <c r="N63" i="2"/>
  <c r="O61" i="2"/>
  <c r="D129" i="2"/>
  <c r="D131" i="2" s="1"/>
  <c r="D120" i="2"/>
  <c r="S66" i="12" l="1"/>
  <c r="S41" i="12"/>
  <c r="D54" i="12"/>
  <c r="D54" i="11"/>
  <c r="AB63" i="12"/>
  <c r="AC61" i="12"/>
  <c r="AD80" i="12"/>
  <c r="K85" i="12"/>
  <c r="K86" i="12" s="1"/>
  <c r="K87" i="12" s="1"/>
  <c r="K67" i="12"/>
  <c r="K47" i="12"/>
  <c r="K75" i="12"/>
  <c r="J45" i="12"/>
  <c r="J46" i="12" s="1"/>
  <c r="AD33" i="12"/>
  <c r="AE31" i="12"/>
  <c r="AA107" i="12"/>
  <c r="Z108" i="12" s="1"/>
  <c r="AA106" i="12" s="1"/>
  <c r="Y109" i="12"/>
  <c r="Y48" i="12" s="1"/>
  <c r="U135" i="12"/>
  <c r="T137" i="12"/>
  <c r="T138" i="12" s="1"/>
  <c r="P66" i="11"/>
  <c r="Q137" i="11"/>
  <c r="Q138" i="11" s="1"/>
  <c r="Q41" i="11" s="1"/>
  <c r="R137" i="11"/>
  <c r="R138" i="11" s="1"/>
  <c r="R41" i="11" s="1"/>
  <c r="AB107" i="11"/>
  <c r="AA108" i="11" s="1"/>
  <c r="AB106" i="11" s="1"/>
  <c r="AC63" i="11"/>
  <c r="AD61" i="11"/>
  <c r="AD33" i="11"/>
  <c r="Z109" i="11"/>
  <c r="Z48" i="11" s="1"/>
  <c r="L74" i="11"/>
  <c r="L75" i="11" s="1"/>
  <c r="L82" i="11"/>
  <c r="L83" i="11" s="1"/>
  <c r="L84" i="11" s="1"/>
  <c r="K44" i="11"/>
  <c r="J137" i="2"/>
  <c r="J138" i="2" s="1"/>
  <c r="P80" i="2"/>
  <c r="O63" i="2"/>
  <c r="O107" i="2" s="1"/>
  <c r="P61" i="2"/>
  <c r="N107" i="2"/>
  <c r="P33" i="2"/>
  <c r="D125" i="2"/>
  <c r="AA109" i="11" l="1"/>
  <c r="AA48" i="11" s="1"/>
  <c r="T66" i="12"/>
  <c r="T41" i="12"/>
  <c r="J51" i="12"/>
  <c r="Z109" i="12"/>
  <c r="Z48" i="12" s="1"/>
  <c r="AE80" i="12"/>
  <c r="L73" i="12"/>
  <c r="K76" i="12"/>
  <c r="K77" i="12" s="1"/>
  <c r="K68" i="12" s="1"/>
  <c r="K69" i="12" s="1"/>
  <c r="K70" i="12" s="1"/>
  <c r="AD61" i="12"/>
  <c r="AC63" i="12"/>
  <c r="U137" i="12"/>
  <c r="U138" i="12" s="1"/>
  <c r="V135" i="12"/>
  <c r="AB107" i="12"/>
  <c r="AA108" i="12" s="1"/>
  <c r="AB106" i="12" s="1"/>
  <c r="AF31" i="12"/>
  <c r="AE33" i="12"/>
  <c r="AF80" i="12" s="1"/>
  <c r="Q66" i="11"/>
  <c r="R66" i="11"/>
  <c r="S135" i="11"/>
  <c r="S137" i="11" s="1"/>
  <c r="S138" i="11" s="1"/>
  <c r="S41" i="11" s="1"/>
  <c r="L76" i="11"/>
  <c r="L77" i="11" s="1"/>
  <c r="L68" i="11" s="1"/>
  <c r="M73" i="11"/>
  <c r="AE80" i="11"/>
  <c r="L85" i="11"/>
  <c r="L86" i="11" s="1"/>
  <c r="L87" i="11" s="1"/>
  <c r="L67" i="11"/>
  <c r="L47" i="11"/>
  <c r="AE61" i="11"/>
  <c r="AD63" i="11"/>
  <c r="AC107" i="11"/>
  <c r="AB108" i="11" s="1"/>
  <c r="AC106" i="11" s="1"/>
  <c r="K45" i="11"/>
  <c r="K46" i="11" s="1"/>
  <c r="K51" i="11" s="1"/>
  <c r="AE33" i="11"/>
  <c r="AF80" i="11" s="1"/>
  <c r="J66" i="2"/>
  <c r="K135" i="2"/>
  <c r="Q80" i="2"/>
  <c r="Q61" i="2"/>
  <c r="P63" i="2"/>
  <c r="P107" i="2" s="1"/>
  <c r="Q33" i="2"/>
  <c r="J32" i="2"/>
  <c r="D49" i="2"/>
  <c r="BT49" i="2" s="1"/>
  <c r="L69" i="11" l="1"/>
  <c r="U66" i="12"/>
  <c r="U41" i="12"/>
  <c r="AB109" i="11"/>
  <c r="AB48" i="11" s="1"/>
  <c r="V137" i="12"/>
  <c r="V138" i="12" s="1"/>
  <c r="W135" i="12"/>
  <c r="L82" i="12"/>
  <c r="L83" i="12" s="1"/>
  <c r="L84" i="12" s="1"/>
  <c r="K40" i="12"/>
  <c r="K44" i="12" s="1"/>
  <c r="AD63" i="12"/>
  <c r="AE61" i="12"/>
  <c r="AF33" i="12"/>
  <c r="AG31" i="12"/>
  <c r="AC107" i="12"/>
  <c r="AB108" i="12" s="1"/>
  <c r="AC106" i="12" s="1"/>
  <c r="AA109" i="12"/>
  <c r="AA48" i="12" s="1"/>
  <c r="L74" i="12"/>
  <c r="L75" i="12" s="1"/>
  <c r="S66" i="11"/>
  <c r="T135" i="11"/>
  <c r="T137" i="11" s="1"/>
  <c r="T138" i="11" s="1"/>
  <c r="T41" i="11" s="1"/>
  <c r="AD107" i="11"/>
  <c r="AC108" i="11" s="1"/>
  <c r="AD106" i="11" s="1"/>
  <c r="AE63" i="11"/>
  <c r="AF61" i="11"/>
  <c r="M74" i="11"/>
  <c r="AF33" i="11"/>
  <c r="AG80" i="11" s="1"/>
  <c r="K137" i="2"/>
  <c r="K138" i="2" s="1"/>
  <c r="L135" i="2"/>
  <c r="R80" i="2"/>
  <c r="R33" i="2"/>
  <c r="R61" i="2"/>
  <c r="Q63" i="2"/>
  <c r="Q107" i="2" s="1"/>
  <c r="J62" i="2"/>
  <c r="J63" i="2" s="1"/>
  <c r="J107" i="2" s="1"/>
  <c r="J33" i="2"/>
  <c r="I100" i="2"/>
  <c r="I101" i="2" s="1"/>
  <c r="I103" i="2" s="1"/>
  <c r="H100" i="2"/>
  <c r="H101" i="2" s="1"/>
  <c r="H103" i="2" s="1"/>
  <c r="G100" i="2"/>
  <c r="G101" i="2" s="1"/>
  <c r="G103" i="2" s="1"/>
  <c r="F100" i="2"/>
  <c r="F101" i="2" s="1"/>
  <c r="F103" i="2" s="1"/>
  <c r="E100" i="2"/>
  <c r="E101" i="2" s="1"/>
  <c r="E103" i="2" s="1"/>
  <c r="D100" i="2"/>
  <c r="D101" i="2" s="1"/>
  <c r="D103" i="2" s="1"/>
  <c r="L70" i="11" l="1"/>
  <c r="L40" i="11" s="1"/>
  <c r="L44" i="11" s="1"/>
  <c r="L45" i="11" s="1"/>
  <c r="L46" i="11" s="1"/>
  <c r="L51" i="11" s="1"/>
  <c r="O80" i="2"/>
  <c r="U135" i="11"/>
  <c r="U137" i="11" s="1"/>
  <c r="U138" i="11" s="1"/>
  <c r="U41" i="11" s="1"/>
  <c r="V66" i="12"/>
  <c r="V41" i="12"/>
  <c r="AD107" i="12"/>
  <c r="AC108" i="12" s="1"/>
  <c r="AD106" i="12" s="1"/>
  <c r="K45" i="12"/>
  <c r="K46" i="12" s="1"/>
  <c r="K51" i="12" s="1"/>
  <c r="L85" i="12"/>
  <c r="L86" i="12" s="1"/>
  <c r="L87" i="12" s="1"/>
  <c r="L67" i="12"/>
  <c r="L47" i="12"/>
  <c r="AG80" i="12"/>
  <c r="W137" i="12"/>
  <c r="W138" i="12" s="1"/>
  <c r="X135" i="12"/>
  <c r="M73" i="12"/>
  <c r="L76" i="12"/>
  <c r="L77" i="12" s="1"/>
  <c r="L68" i="12" s="1"/>
  <c r="AB109" i="12"/>
  <c r="AB48" i="12" s="1"/>
  <c r="AG33" i="12"/>
  <c r="AH31" i="12"/>
  <c r="AF61" i="12"/>
  <c r="AE63" i="12"/>
  <c r="T66" i="11"/>
  <c r="AE107" i="11"/>
  <c r="AD108" i="11" s="1"/>
  <c r="AE106" i="11" s="1"/>
  <c r="M85" i="11"/>
  <c r="M67" i="11"/>
  <c r="M47" i="11"/>
  <c r="AG61" i="11"/>
  <c r="AF63" i="11"/>
  <c r="AG33" i="11"/>
  <c r="AC109" i="11"/>
  <c r="AC48" i="11" s="1"/>
  <c r="M75" i="11"/>
  <c r="K66" i="2"/>
  <c r="L137" i="2"/>
  <c r="L138" i="2" s="1"/>
  <c r="S80" i="2"/>
  <c r="S33" i="2"/>
  <c r="S61" i="2"/>
  <c r="R63" i="2"/>
  <c r="R107" i="2" s="1"/>
  <c r="K103" i="2"/>
  <c r="BS108" i="2" s="1"/>
  <c r="M82" i="11" l="1"/>
  <c r="M83" i="11" s="1"/>
  <c r="M84" i="11" s="1"/>
  <c r="M86" i="11" s="1"/>
  <c r="M87" i="11" s="1"/>
  <c r="W66" i="12"/>
  <c r="W41" i="12"/>
  <c r="AC109" i="12"/>
  <c r="AC48" i="12" s="1"/>
  <c r="AI31" i="12"/>
  <c r="AH33" i="12"/>
  <c r="AI80" i="12" s="1"/>
  <c r="Y135" i="12"/>
  <c r="X137" i="12"/>
  <c r="X138" i="12" s="1"/>
  <c r="AE107" i="12"/>
  <c r="AD108" i="12" s="1"/>
  <c r="AE106" i="12" s="1"/>
  <c r="L69" i="12"/>
  <c r="L70" i="12" s="1"/>
  <c r="AG61" i="12"/>
  <c r="AF63" i="12"/>
  <c r="M74" i="12"/>
  <c r="M75" i="12" s="1"/>
  <c r="AH80" i="12"/>
  <c r="U66" i="11"/>
  <c r="V135" i="11"/>
  <c r="AD109" i="11"/>
  <c r="AD48" i="11" s="1"/>
  <c r="AH33" i="11"/>
  <c r="AF107" i="11"/>
  <c r="AE108" i="11" s="1"/>
  <c r="AF106" i="11" s="1"/>
  <c r="AH80" i="11"/>
  <c r="M76" i="11"/>
  <c r="M77" i="11" s="1"/>
  <c r="M68" i="11" s="1"/>
  <c r="M69" i="11" s="1"/>
  <c r="M70" i="11" s="1"/>
  <c r="M40" i="11" s="1"/>
  <c r="N73" i="11"/>
  <c r="AG63" i="11"/>
  <c r="AH61" i="11"/>
  <c r="L66" i="2"/>
  <c r="M135" i="2"/>
  <c r="T80" i="2"/>
  <c r="Q108" i="2"/>
  <c r="R106" i="2" s="1"/>
  <c r="O108" i="2"/>
  <c r="P106" i="2" s="1"/>
  <c r="P108" i="2"/>
  <c r="Q106" i="2" s="1"/>
  <c r="T61" i="2"/>
  <c r="S63" i="2"/>
  <c r="S107" i="2" s="1"/>
  <c r="R108" i="2" s="1"/>
  <c r="S106" i="2" s="1"/>
  <c r="T33" i="2"/>
  <c r="N108" i="2"/>
  <c r="O106" i="2" s="1"/>
  <c r="L108" i="2"/>
  <c r="M106" i="2" s="1"/>
  <c r="K108" i="2"/>
  <c r="L106" i="2" s="1"/>
  <c r="J108" i="2"/>
  <c r="K106" i="2" s="1"/>
  <c r="M108" i="2"/>
  <c r="N106" i="2" s="1"/>
  <c r="I108" i="2"/>
  <c r="J106" i="2" s="1"/>
  <c r="AE109" i="11" l="1"/>
  <c r="AE48" i="11" s="1"/>
  <c r="X66" i="12"/>
  <c r="X41" i="12"/>
  <c r="M76" i="12"/>
  <c r="M77" i="12" s="1"/>
  <c r="M68" i="12" s="1"/>
  <c r="N73" i="12"/>
  <c r="AD109" i="12"/>
  <c r="AD48" i="12" s="1"/>
  <c r="Y137" i="12"/>
  <c r="Y138" i="12" s="1"/>
  <c r="Z135" i="12"/>
  <c r="AF107" i="12"/>
  <c r="AE108" i="12" s="1"/>
  <c r="AF106" i="12" s="1"/>
  <c r="AG63" i="12"/>
  <c r="AH61" i="12"/>
  <c r="AJ31" i="12"/>
  <c r="AI33" i="12"/>
  <c r="M85" i="12"/>
  <c r="M67" i="12"/>
  <c r="M47" i="12"/>
  <c r="M82" i="12"/>
  <c r="M83" i="12" s="1"/>
  <c r="M84" i="12" s="1"/>
  <c r="L40" i="12"/>
  <c r="L44" i="12" s="1"/>
  <c r="W135" i="11"/>
  <c r="V137" i="11"/>
  <c r="V138" i="11" s="1"/>
  <c r="V41" i="11" s="1"/>
  <c r="N82" i="11"/>
  <c r="N83" i="11" s="1"/>
  <c r="N84" i="11" s="1"/>
  <c r="M44" i="11"/>
  <c r="AI61" i="11"/>
  <c r="AH63" i="11"/>
  <c r="AG107" i="11"/>
  <c r="AF108" i="11" s="1"/>
  <c r="AG106" i="11" s="1"/>
  <c r="AI80" i="11"/>
  <c r="N74" i="11"/>
  <c r="AI33" i="11"/>
  <c r="M137" i="2"/>
  <c r="M138" i="2" s="1"/>
  <c r="N135" i="2"/>
  <c r="U80" i="2"/>
  <c r="O109" i="2"/>
  <c r="O48" i="2" s="1"/>
  <c r="Q109" i="2"/>
  <c r="Q48" i="2" s="1"/>
  <c r="P109" i="2"/>
  <c r="P48" i="2" s="1"/>
  <c r="R109" i="2"/>
  <c r="R48" i="2" s="1"/>
  <c r="U33" i="2"/>
  <c r="K109" i="2"/>
  <c r="K48" i="2" s="1"/>
  <c r="U61" i="2"/>
  <c r="T63" i="2"/>
  <c r="T107" i="2" s="1"/>
  <c r="S108" i="2" s="1"/>
  <c r="T106" i="2" s="1"/>
  <c r="N109" i="2"/>
  <c r="N48" i="2" s="1"/>
  <c r="J109" i="2"/>
  <c r="J48" i="2" s="1"/>
  <c r="L109" i="2"/>
  <c r="L48" i="2" s="1"/>
  <c r="M109" i="2"/>
  <c r="M48" i="2" s="1"/>
  <c r="E73" i="2"/>
  <c r="E74" i="2" s="1"/>
  <c r="E43" i="2" s="1"/>
  <c r="F32" i="2"/>
  <c r="G32" i="2"/>
  <c r="H32" i="2"/>
  <c r="I32" i="2"/>
  <c r="M69" i="12" l="1"/>
  <c r="M86" i="12"/>
  <c r="M87" i="12" s="1"/>
  <c r="AF109" i="11"/>
  <c r="AF48" i="11" s="1"/>
  <c r="Y66" i="12"/>
  <c r="Y41" i="12"/>
  <c r="AE109" i="12"/>
  <c r="AE48" i="12" s="1"/>
  <c r="L45" i="12"/>
  <c r="L46" i="12" s="1"/>
  <c r="L51" i="12" s="1"/>
  <c r="AG107" i="12"/>
  <c r="AF108" i="12" s="1"/>
  <c r="AG106" i="12" s="1"/>
  <c r="AJ80" i="12"/>
  <c r="N74" i="12"/>
  <c r="N75" i="12" s="1"/>
  <c r="AI61" i="12"/>
  <c r="AH63" i="12"/>
  <c r="AK31" i="12"/>
  <c r="AJ33" i="12"/>
  <c r="AK80" i="12" s="1"/>
  <c r="AA135" i="12"/>
  <c r="Z137" i="12"/>
  <c r="Z138" i="12" s="1"/>
  <c r="V66" i="11"/>
  <c r="W137" i="11"/>
  <c r="W138" i="11" s="1"/>
  <c r="W41" i="11" s="1"/>
  <c r="X135" i="11"/>
  <c r="X137" i="11" s="1"/>
  <c r="X138" i="11" s="1"/>
  <c r="X41" i="11" s="1"/>
  <c r="AJ80" i="11"/>
  <c r="AI63" i="11"/>
  <c r="AJ61" i="11"/>
  <c r="AJ33" i="11"/>
  <c r="M45" i="11"/>
  <c r="M46" i="11" s="1"/>
  <c r="M51" i="11" s="1"/>
  <c r="N85" i="11"/>
  <c r="N86" i="11" s="1"/>
  <c r="N87" i="11" s="1"/>
  <c r="N67" i="11"/>
  <c r="N47" i="11"/>
  <c r="N75" i="11"/>
  <c r="AH107" i="11"/>
  <c r="AG108" i="11" s="1"/>
  <c r="AH106" i="11" s="1"/>
  <c r="M66" i="2"/>
  <c r="N137" i="2"/>
  <c r="N138" i="2" s="1"/>
  <c r="O135" i="2"/>
  <c r="V80" i="2"/>
  <c r="V33" i="2"/>
  <c r="V61" i="2"/>
  <c r="U63" i="2"/>
  <c r="U107" i="2" s="1"/>
  <c r="T108" i="2" s="1"/>
  <c r="U106" i="2" s="1"/>
  <c r="S109" i="2"/>
  <c r="S48" i="2" s="1"/>
  <c r="E63" i="2"/>
  <c r="E107" i="2" s="1"/>
  <c r="D108" i="2" s="1"/>
  <c r="E33" i="2"/>
  <c r="H62" i="2"/>
  <c r="H63" i="2" s="1"/>
  <c r="H107" i="2" s="1"/>
  <c r="G108" i="2" s="1"/>
  <c r="H106" i="2" s="1"/>
  <c r="H33" i="2"/>
  <c r="G62" i="2"/>
  <c r="G63" i="2" s="1"/>
  <c r="G107" i="2" s="1"/>
  <c r="F108" i="2" s="1"/>
  <c r="G106" i="2" s="1"/>
  <c r="G33" i="2"/>
  <c r="F62" i="2"/>
  <c r="F63" i="2" s="1"/>
  <c r="F107" i="2" s="1"/>
  <c r="E108" i="2" s="1"/>
  <c r="F33" i="2"/>
  <c r="I62" i="2"/>
  <c r="I63" i="2" s="1"/>
  <c r="I107" i="2" s="1"/>
  <c r="H108" i="2" s="1"/>
  <c r="I106" i="2" s="1"/>
  <c r="I109" i="2" s="1"/>
  <c r="I48" i="2" s="1"/>
  <c r="I33" i="2"/>
  <c r="M70" i="12" l="1"/>
  <c r="M40" i="12" s="1"/>
  <c r="M44" i="12" s="1"/>
  <c r="M45" i="12" s="1"/>
  <c r="M46" i="12" s="1"/>
  <c r="M51" i="12" s="1"/>
  <c r="W80" i="2"/>
  <c r="N80" i="2"/>
  <c r="E80" i="2"/>
  <c r="E83" i="2" s="1"/>
  <c r="Y135" i="11"/>
  <c r="Z66" i="12"/>
  <c r="Z41" i="12"/>
  <c r="AF109" i="12"/>
  <c r="AF48" i="12" s="1"/>
  <c r="N76" i="12"/>
  <c r="N77" i="12" s="1"/>
  <c r="N68" i="12" s="1"/>
  <c r="O73" i="12"/>
  <c r="AJ61" i="12"/>
  <c r="AI63" i="12"/>
  <c r="AL31" i="12"/>
  <c r="AK33" i="12"/>
  <c r="N85" i="12"/>
  <c r="N67" i="12"/>
  <c r="N47" i="12"/>
  <c r="AA137" i="12"/>
  <c r="AA138" i="12" s="1"/>
  <c r="AB135" i="12"/>
  <c r="AH107" i="12"/>
  <c r="AG108" i="12" s="1"/>
  <c r="AH106" i="12" s="1"/>
  <c r="W66" i="11"/>
  <c r="X66" i="11"/>
  <c r="Y137" i="11"/>
  <c r="Y138" i="11" s="1"/>
  <c r="Y41" i="11" s="1"/>
  <c r="AJ63" i="11"/>
  <c r="AK61" i="11"/>
  <c r="O73" i="11"/>
  <c r="N76" i="11"/>
  <c r="N77" i="11" s="1"/>
  <c r="N68" i="11" s="1"/>
  <c r="N69" i="11" s="1"/>
  <c r="N70" i="11" s="1"/>
  <c r="N40" i="11" s="1"/>
  <c r="AK33" i="11"/>
  <c r="AL80" i="11" s="1"/>
  <c r="AK80" i="11"/>
  <c r="AI107" i="11"/>
  <c r="AH108" i="11" s="1"/>
  <c r="AI106" i="11" s="1"/>
  <c r="AG109" i="11"/>
  <c r="AG48" i="11" s="1"/>
  <c r="E67" i="2"/>
  <c r="E75" i="2"/>
  <c r="E76" i="2" s="1"/>
  <c r="E77" i="2" s="1"/>
  <c r="E68" i="2" s="1"/>
  <c r="E85" i="2"/>
  <c r="N66" i="2"/>
  <c r="O137" i="2"/>
  <c r="O138" i="2" s="1"/>
  <c r="P135" i="2"/>
  <c r="M80" i="2"/>
  <c r="L80" i="2"/>
  <c r="H80" i="2"/>
  <c r="I80" i="2"/>
  <c r="J80" i="2"/>
  <c r="G80" i="2"/>
  <c r="F80" i="2"/>
  <c r="K80" i="2"/>
  <c r="F106" i="2"/>
  <c r="F109" i="2" s="1"/>
  <c r="F48" i="2" s="1"/>
  <c r="W33" i="2"/>
  <c r="W61" i="2"/>
  <c r="V63" i="2"/>
  <c r="V107" i="2" s="1"/>
  <c r="U108" i="2" s="1"/>
  <c r="V106" i="2" s="1"/>
  <c r="T109" i="2"/>
  <c r="T48" i="2" s="1"/>
  <c r="E47" i="2"/>
  <c r="G109" i="2"/>
  <c r="G48" i="2" s="1"/>
  <c r="H109" i="2"/>
  <c r="H48" i="2" s="1"/>
  <c r="N82" i="12" l="1"/>
  <c r="N83" i="12" s="1"/>
  <c r="N84" i="12" s="1"/>
  <c r="N86" i="12" s="1"/>
  <c r="N87" i="12" s="1"/>
  <c r="E69" i="2"/>
  <c r="E70" i="2" s="1"/>
  <c r="E40" i="2" s="1"/>
  <c r="X80" i="2"/>
  <c r="N69" i="12"/>
  <c r="AA66" i="12"/>
  <c r="AA41" i="12"/>
  <c r="AJ63" i="12"/>
  <c r="AK61" i="12"/>
  <c r="AL80" i="12"/>
  <c r="AG109" i="12"/>
  <c r="AG48" i="12" s="1"/>
  <c r="AL33" i="12"/>
  <c r="AM31" i="12"/>
  <c r="AC135" i="12"/>
  <c r="AB137" i="12"/>
  <c r="AB138" i="12" s="1"/>
  <c r="O74" i="12"/>
  <c r="AI107" i="12"/>
  <c r="AH108" i="12" s="1"/>
  <c r="AI106" i="12" s="1"/>
  <c r="Y66" i="11"/>
  <c r="Z135" i="11"/>
  <c r="AA135" i="11" s="1"/>
  <c r="O82" i="11"/>
  <c r="O83" i="11" s="1"/>
  <c r="O84" i="11" s="1"/>
  <c r="N44" i="11"/>
  <c r="AL61" i="11"/>
  <c r="AK63" i="11"/>
  <c r="O74" i="11"/>
  <c r="O75" i="11" s="1"/>
  <c r="AL33" i="11"/>
  <c r="AM80" i="11" s="1"/>
  <c r="AJ107" i="11"/>
  <c r="AI108" i="11" s="1"/>
  <c r="AJ106" i="11" s="1"/>
  <c r="AH109" i="11"/>
  <c r="AH48" i="11" s="1"/>
  <c r="F73" i="2"/>
  <c r="F74" i="2" s="1"/>
  <c r="F85" i="2" s="1"/>
  <c r="E84" i="2"/>
  <c r="O66" i="2"/>
  <c r="P137" i="2"/>
  <c r="P138" i="2" s="1"/>
  <c r="Q135" i="2"/>
  <c r="U109" i="2"/>
  <c r="U48" i="2" s="1"/>
  <c r="X61" i="2"/>
  <c r="W63" i="2"/>
  <c r="W107" i="2" s="1"/>
  <c r="V108" i="2" s="1"/>
  <c r="W106" i="2" s="1"/>
  <c r="X33" i="2"/>
  <c r="E106" i="2"/>
  <c r="D109" i="2"/>
  <c r="N70" i="12" l="1"/>
  <c r="N40" i="12" s="1"/>
  <c r="N44" i="12" s="1"/>
  <c r="N45" i="12" s="1"/>
  <c r="N46" i="12" s="1"/>
  <c r="N51" i="12" s="1"/>
  <c r="Z137" i="11"/>
  <c r="Z138" i="11" s="1"/>
  <c r="Z41" i="11" s="1"/>
  <c r="AB66" i="12"/>
  <c r="AB41" i="12"/>
  <c r="AH109" i="12"/>
  <c r="AH48" i="12" s="1"/>
  <c r="O85" i="12"/>
  <c r="O67" i="12"/>
  <c r="O47" i="12"/>
  <c r="O75" i="12"/>
  <c r="AC137" i="12"/>
  <c r="AC138" i="12" s="1"/>
  <c r="AD135" i="12"/>
  <c r="AL61" i="12"/>
  <c r="AK63" i="12"/>
  <c r="AM80" i="12"/>
  <c r="AM33" i="12"/>
  <c r="AN31" i="12"/>
  <c r="AJ107" i="12"/>
  <c r="AI108" i="12" s="1"/>
  <c r="AJ106" i="12" s="1"/>
  <c r="AB135" i="11"/>
  <c r="AA137" i="11"/>
  <c r="AA138" i="11" s="1"/>
  <c r="AA41" i="11" s="1"/>
  <c r="AK107" i="11"/>
  <c r="AJ108" i="11" s="1"/>
  <c r="AK106" i="11" s="1"/>
  <c r="O76" i="11"/>
  <c r="O77" i="11" s="1"/>
  <c r="O68" i="11" s="1"/>
  <c r="P73" i="11"/>
  <c r="AM61" i="11"/>
  <c r="AL63" i="11"/>
  <c r="N45" i="11"/>
  <c r="N46" i="11" s="1"/>
  <c r="N51" i="11" s="1"/>
  <c r="AM33" i="11"/>
  <c r="AI109" i="11"/>
  <c r="AI48" i="11" s="1"/>
  <c r="O85" i="11"/>
  <c r="O86" i="11" s="1"/>
  <c r="O87" i="11" s="1"/>
  <c r="O67" i="11"/>
  <c r="O47" i="11"/>
  <c r="E109" i="2"/>
  <c r="E48" i="2" s="1"/>
  <c r="E86" i="2"/>
  <c r="E87" i="2" s="1"/>
  <c r="P66" i="2"/>
  <c r="Q137" i="2"/>
  <c r="Q138" i="2" s="1"/>
  <c r="Y80" i="2"/>
  <c r="R135" i="2"/>
  <c r="V109" i="2"/>
  <c r="V48" i="2" s="1"/>
  <c r="Y33" i="2"/>
  <c r="Y61" i="2"/>
  <c r="X63" i="2"/>
  <c r="X107" i="2" s="1"/>
  <c r="W108" i="2" s="1"/>
  <c r="X106" i="2" s="1"/>
  <c r="F43" i="2"/>
  <c r="F47" i="2" s="1"/>
  <c r="F67" i="2"/>
  <c r="F75" i="2"/>
  <c r="D50" i="2"/>
  <c r="BT50" i="2" s="1"/>
  <c r="F82" i="2"/>
  <c r="F83" i="2" s="1"/>
  <c r="F84" i="2" s="1"/>
  <c r="E41" i="2" l="1"/>
  <c r="E44" i="2" s="1"/>
  <c r="O82" i="12"/>
  <c r="O83" i="12" s="1"/>
  <c r="O84" i="12" s="1"/>
  <c r="O86" i="12" s="1"/>
  <c r="O87" i="12" s="1"/>
  <c r="Z80" i="2"/>
  <c r="O69" i="11"/>
  <c r="AJ109" i="11"/>
  <c r="AJ48" i="11" s="1"/>
  <c r="AC66" i="12"/>
  <c r="AC41" i="12"/>
  <c r="Z66" i="11"/>
  <c r="O76" i="12"/>
  <c r="O77" i="12" s="1"/>
  <c r="O68" i="12" s="1"/>
  <c r="O69" i="12" s="1"/>
  <c r="O70" i="12" s="1"/>
  <c r="P73" i="12"/>
  <c r="AK107" i="12"/>
  <c r="AJ108" i="12" s="1"/>
  <c r="AK106" i="12" s="1"/>
  <c r="AL63" i="12"/>
  <c r="AM61" i="12"/>
  <c r="AN33" i="12"/>
  <c r="AO31" i="12"/>
  <c r="AD137" i="12"/>
  <c r="AD138" i="12" s="1"/>
  <c r="AE135" i="12"/>
  <c r="AN80" i="12"/>
  <c r="AI109" i="12"/>
  <c r="AI48" i="12" s="1"/>
  <c r="AA66" i="11"/>
  <c r="AC135" i="11"/>
  <c r="AB137" i="11"/>
  <c r="AB138" i="11" s="1"/>
  <c r="AB41" i="11" s="1"/>
  <c r="P74" i="11"/>
  <c r="P75" i="11" s="1"/>
  <c r="AN80" i="11"/>
  <c r="AN33" i="11"/>
  <c r="AO80" i="11" s="1"/>
  <c r="AL107" i="11"/>
  <c r="AK108" i="11" s="1"/>
  <c r="AL106" i="11" s="1"/>
  <c r="AM63" i="11"/>
  <c r="AN61" i="11"/>
  <c r="F86" i="2"/>
  <c r="F87" i="2" s="1"/>
  <c r="F41" i="2" s="1"/>
  <c r="Q66" i="2"/>
  <c r="R137" i="2"/>
  <c r="R138" i="2" s="1"/>
  <c r="Z61" i="2"/>
  <c r="Y63" i="2"/>
  <c r="Y107" i="2" s="1"/>
  <c r="X108" i="2" s="1"/>
  <c r="Y106" i="2" s="1"/>
  <c r="Z33" i="2"/>
  <c r="W109" i="2"/>
  <c r="W48" i="2" s="1"/>
  <c r="F76" i="2"/>
  <c r="F77" i="2" s="1"/>
  <c r="F68" i="2" s="1"/>
  <c r="F69" i="2" s="1"/>
  <c r="F70" i="2" s="1"/>
  <c r="G73" i="2"/>
  <c r="G74" i="2" s="1"/>
  <c r="D51" i="2"/>
  <c r="O70" i="11" l="1"/>
  <c r="O40" i="11" s="1"/>
  <c r="O44" i="11" s="1"/>
  <c r="O45" i="11" s="1"/>
  <c r="O46" i="11" s="1"/>
  <c r="O51" i="11" s="1"/>
  <c r="AJ109" i="12"/>
  <c r="AJ48" i="12" s="1"/>
  <c r="AD66" i="12"/>
  <c r="AD41" i="12"/>
  <c r="AO33" i="12"/>
  <c r="AP31" i="12"/>
  <c r="P74" i="12"/>
  <c r="AO80" i="12"/>
  <c r="AN61" i="12"/>
  <c r="AM63" i="12"/>
  <c r="P82" i="12"/>
  <c r="P83" i="12" s="1"/>
  <c r="P84" i="12" s="1"/>
  <c r="O40" i="12"/>
  <c r="O44" i="12" s="1"/>
  <c r="AE137" i="12"/>
  <c r="AE138" i="12" s="1"/>
  <c r="AF135" i="12"/>
  <c r="AL107" i="12"/>
  <c r="AK108" i="12" s="1"/>
  <c r="AL106" i="12" s="1"/>
  <c r="AB66" i="11"/>
  <c r="AD135" i="11"/>
  <c r="AC137" i="11"/>
  <c r="AC138" i="11" s="1"/>
  <c r="AC41" i="11" s="1"/>
  <c r="P85" i="11"/>
  <c r="P67" i="11"/>
  <c r="P47" i="11"/>
  <c r="P76" i="11"/>
  <c r="P77" i="11" s="1"/>
  <c r="P68" i="11" s="1"/>
  <c r="Q73" i="11"/>
  <c r="AN63" i="11"/>
  <c r="AO61" i="11"/>
  <c r="AO33" i="11"/>
  <c r="AM107" i="11"/>
  <c r="AL108" i="11" s="1"/>
  <c r="AM106" i="11" s="1"/>
  <c r="AK109" i="11"/>
  <c r="AK48" i="11" s="1"/>
  <c r="G75" i="2"/>
  <c r="G76" i="2" s="1"/>
  <c r="G77" i="2" s="1"/>
  <c r="G68" i="2" s="1"/>
  <c r="G85" i="2"/>
  <c r="R66" i="2"/>
  <c r="S135" i="2"/>
  <c r="AA80" i="2"/>
  <c r="AA33" i="2"/>
  <c r="X109" i="2"/>
  <c r="X48" i="2" s="1"/>
  <c r="AA61" i="2"/>
  <c r="Z63" i="2"/>
  <c r="Z107" i="2" s="1"/>
  <c r="Y108" i="2" s="1"/>
  <c r="Z106" i="2" s="1"/>
  <c r="G43" i="2"/>
  <c r="G47" i="2" s="1"/>
  <c r="G67" i="2"/>
  <c r="F40" i="2"/>
  <c r="F44" i="2" s="1"/>
  <c r="D16" i="3"/>
  <c r="C16" i="3"/>
  <c r="B16" i="3"/>
  <c r="D15" i="3"/>
  <c r="C15" i="3"/>
  <c r="B15" i="3"/>
  <c r="C5" i="3"/>
  <c r="C4" i="3"/>
  <c r="P82" i="11" l="1"/>
  <c r="P83" i="11" s="1"/>
  <c r="P84" i="11" s="1"/>
  <c r="P86" i="11" s="1"/>
  <c r="P87" i="11" s="1"/>
  <c r="AL109" i="11"/>
  <c r="AL48" i="11" s="1"/>
  <c r="AE66" i="12"/>
  <c r="AE41" i="12"/>
  <c r="AM107" i="12"/>
  <c r="AL108" i="12" s="1"/>
  <c r="AM106" i="12" s="1"/>
  <c r="P85" i="12"/>
  <c r="P86" i="12" s="1"/>
  <c r="P87" i="12" s="1"/>
  <c r="P67" i="12"/>
  <c r="P47" i="12"/>
  <c r="AN63" i="12"/>
  <c r="AO61" i="12"/>
  <c r="AP33" i="12"/>
  <c r="AQ31" i="12"/>
  <c r="O45" i="12"/>
  <c r="O46" i="12" s="1"/>
  <c r="O51" i="12" s="1"/>
  <c r="AG135" i="12"/>
  <c r="AF137" i="12"/>
  <c r="AF138" i="12" s="1"/>
  <c r="AP80" i="12"/>
  <c r="P75" i="12"/>
  <c r="AK109" i="12"/>
  <c r="AK48" i="12" s="1"/>
  <c r="AC66" i="11"/>
  <c r="AD137" i="11"/>
  <c r="AD138" i="11" s="1"/>
  <c r="AD41" i="11" s="1"/>
  <c r="AE135" i="11"/>
  <c r="AN107" i="11"/>
  <c r="AM108" i="11" s="1"/>
  <c r="AN106" i="11" s="1"/>
  <c r="Q74" i="11"/>
  <c r="Q75" i="11" s="1"/>
  <c r="P69" i="11"/>
  <c r="P70" i="11" s="1"/>
  <c r="P40" i="11" s="1"/>
  <c r="AP33" i="11"/>
  <c r="AQ80" i="11" s="1"/>
  <c r="AP80" i="11"/>
  <c r="AP61" i="11"/>
  <c r="AO63" i="11"/>
  <c r="H73" i="2"/>
  <c r="S137" i="2"/>
  <c r="S138" i="2" s="1"/>
  <c r="AB80" i="2"/>
  <c r="Y109" i="2"/>
  <c r="Y48" i="2" s="1"/>
  <c r="AB61" i="2"/>
  <c r="AA63" i="2"/>
  <c r="AA107" i="2" s="1"/>
  <c r="Z108" i="2" s="1"/>
  <c r="AA106" i="2" s="1"/>
  <c r="AB33" i="2"/>
  <c r="AL109" i="12" l="1"/>
  <c r="AL48" i="12" s="1"/>
  <c r="AM109" i="11"/>
  <c r="AM48" i="11" s="1"/>
  <c r="AF66" i="12"/>
  <c r="AF41" i="12"/>
  <c r="AG137" i="12"/>
  <c r="AG138" i="12" s="1"/>
  <c r="AH135" i="12"/>
  <c r="AO63" i="12"/>
  <c r="AP61" i="12"/>
  <c r="AR31" i="12"/>
  <c r="AQ33" i="12"/>
  <c r="P76" i="12"/>
  <c r="P77" i="12" s="1"/>
  <c r="P68" i="12" s="1"/>
  <c r="P69" i="12" s="1"/>
  <c r="P70" i="12" s="1"/>
  <c r="Q73" i="12"/>
  <c r="AQ80" i="12"/>
  <c r="AN107" i="12"/>
  <c r="AM108" i="12" s="1"/>
  <c r="AN106" i="12" s="1"/>
  <c r="AD66" i="11"/>
  <c r="AE137" i="11"/>
  <c r="AE138" i="11" s="1"/>
  <c r="AE41" i="11" s="1"/>
  <c r="AF135" i="11"/>
  <c r="Q85" i="11"/>
  <c r="Q67" i="11"/>
  <c r="Q47" i="11"/>
  <c r="AR33" i="11"/>
  <c r="AQ33" i="11"/>
  <c r="AR80" i="11" s="1"/>
  <c r="Q82" i="11"/>
  <c r="Q83" i="11" s="1"/>
  <c r="Q84" i="11" s="1"/>
  <c r="P44" i="11"/>
  <c r="Q76" i="11"/>
  <c r="Q77" i="11" s="1"/>
  <c r="Q68" i="11" s="1"/>
  <c r="R73" i="11"/>
  <c r="AO107" i="11"/>
  <c r="AN108" i="11" s="1"/>
  <c r="AO106" i="11" s="1"/>
  <c r="AQ61" i="11"/>
  <c r="AP63" i="11"/>
  <c r="H74" i="2"/>
  <c r="H85" i="2" s="1"/>
  <c r="S66" i="2"/>
  <c r="T135" i="2"/>
  <c r="AC80" i="2"/>
  <c r="Z109" i="2"/>
  <c r="Z48" i="2" s="1"/>
  <c r="AC33" i="2"/>
  <c r="AC61" i="2"/>
  <c r="AB63" i="2"/>
  <c r="AB107" i="2" s="1"/>
  <c r="AA108" i="2" s="1"/>
  <c r="AB106" i="2" s="1"/>
  <c r="F45" i="2"/>
  <c r="F46" i="2" s="1"/>
  <c r="F51" i="2" s="1"/>
  <c r="AN109" i="11" l="1"/>
  <c r="AN48" i="11" s="1"/>
  <c r="AG66" i="12"/>
  <c r="AG41" i="12"/>
  <c r="AM109" i="12"/>
  <c r="AM48" i="12" s="1"/>
  <c r="Q82" i="12"/>
  <c r="Q83" i="12" s="1"/>
  <c r="Q84" i="12" s="1"/>
  <c r="P40" i="12"/>
  <c r="P44" i="12" s="1"/>
  <c r="AP63" i="12"/>
  <c r="AQ61" i="12"/>
  <c r="AO107" i="12"/>
  <c r="AN108" i="12" s="1"/>
  <c r="AO106" i="12" s="1"/>
  <c r="Q74" i="12"/>
  <c r="Q75" i="12" s="1"/>
  <c r="AI135" i="12"/>
  <c r="AH137" i="12"/>
  <c r="AH138" i="12" s="1"/>
  <c r="AR80" i="12"/>
  <c r="AS31" i="12"/>
  <c r="AR33" i="12"/>
  <c r="AE66" i="11"/>
  <c r="AG135" i="11"/>
  <c r="AF137" i="11"/>
  <c r="AF138" i="11" s="1"/>
  <c r="AF41" i="11" s="1"/>
  <c r="R74" i="11"/>
  <c r="R75" i="11" s="1"/>
  <c r="Q69" i="11"/>
  <c r="Q70" i="11" s="1"/>
  <c r="Q40" i="11" s="1"/>
  <c r="P45" i="11"/>
  <c r="P46" i="11" s="1"/>
  <c r="P51" i="11" s="1"/>
  <c r="Q86" i="11"/>
  <c r="Q87" i="11" s="1"/>
  <c r="AQ63" i="11"/>
  <c r="AR61" i="11"/>
  <c r="AR63" i="11" s="1"/>
  <c r="AP107" i="11"/>
  <c r="AO108" i="11" s="1"/>
  <c r="AP106" i="11" s="1"/>
  <c r="H43" i="2"/>
  <c r="H47" i="2" s="1"/>
  <c r="H67" i="2"/>
  <c r="H75" i="2"/>
  <c r="T137" i="2"/>
  <c r="T138" i="2" s="1"/>
  <c r="U135" i="2"/>
  <c r="AD80" i="2"/>
  <c r="AA109" i="2"/>
  <c r="AA48" i="2" s="1"/>
  <c r="AD61" i="2"/>
  <c r="AC63" i="2"/>
  <c r="AC107" i="2" s="1"/>
  <c r="AB108" i="2" s="1"/>
  <c r="AC106" i="2" s="1"/>
  <c r="AD33" i="2"/>
  <c r="G82" i="2"/>
  <c r="G83" i="2" s="1"/>
  <c r="AE80" i="2" l="1"/>
  <c r="AH66" i="12"/>
  <c r="AH41" i="12"/>
  <c r="AN109" i="12"/>
  <c r="AN48" i="12" s="1"/>
  <c r="Q76" i="12"/>
  <c r="Q77" i="12" s="1"/>
  <c r="Q68" i="12" s="1"/>
  <c r="R73" i="12"/>
  <c r="AQ63" i="12"/>
  <c r="AR61" i="12"/>
  <c r="Q85" i="12"/>
  <c r="Q86" i="12" s="1"/>
  <c r="Q87" i="12" s="1"/>
  <c r="Q67" i="12"/>
  <c r="Q47" i="12"/>
  <c r="AS80" i="12"/>
  <c r="AI137" i="12"/>
  <c r="AI138" i="12" s="1"/>
  <c r="AJ135" i="12"/>
  <c r="AP107" i="12"/>
  <c r="AO108" i="12" s="1"/>
  <c r="AP106" i="12" s="1"/>
  <c r="AT31" i="12"/>
  <c r="AS33" i="12"/>
  <c r="P45" i="12"/>
  <c r="P46" i="12" s="1"/>
  <c r="P51" i="12" s="1"/>
  <c r="AF66" i="11"/>
  <c r="AH135" i="11"/>
  <c r="AG137" i="11"/>
  <c r="AG138" i="11" s="1"/>
  <c r="AG41" i="11" s="1"/>
  <c r="AR107" i="11"/>
  <c r="AQ108" i="11" s="1"/>
  <c r="AR106" i="11" s="1"/>
  <c r="AR109" i="11" s="1"/>
  <c r="AR48" i="11" s="1"/>
  <c r="R82" i="11"/>
  <c r="R83" i="11" s="1"/>
  <c r="R84" i="11" s="1"/>
  <c r="Q44" i="11"/>
  <c r="S73" i="11"/>
  <c r="R76" i="11"/>
  <c r="R77" i="11" s="1"/>
  <c r="R68" i="11" s="1"/>
  <c r="AQ107" i="11"/>
  <c r="AP108" i="11" s="1"/>
  <c r="AQ106" i="11" s="1"/>
  <c r="R85" i="11"/>
  <c r="R67" i="11"/>
  <c r="R47" i="11"/>
  <c r="AO109" i="11"/>
  <c r="AO48" i="11" s="1"/>
  <c r="I73" i="2"/>
  <c r="I74" i="2" s="1"/>
  <c r="I43" i="2" s="1"/>
  <c r="I47" i="2" s="1"/>
  <c r="H76" i="2"/>
  <c r="H77" i="2" s="1"/>
  <c r="H68" i="2" s="1"/>
  <c r="T66" i="2"/>
  <c r="U137" i="2"/>
  <c r="U138" i="2" s="1"/>
  <c r="V135" i="2"/>
  <c r="AE33" i="2"/>
  <c r="AE61" i="2"/>
  <c r="AD63" i="2"/>
  <c r="AD107" i="2" s="1"/>
  <c r="AC108" i="2" s="1"/>
  <c r="AD106" i="2" s="1"/>
  <c r="AB109" i="2"/>
  <c r="AB48" i="2" s="1"/>
  <c r="G84" i="2"/>
  <c r="R86" i="11" l="1"/>
  <c r="R87" i="11" s="1"/>
  <c r="AI66" i="12"/>
  <c r="AI41" i="12"/>
  <c r="Q69" i="12"/>
  <c r="AO109" i="12"/>
  <c r="AO48" i="12" s="1"/>
  <c r="AR63" i="12"/>
  <c r="AS61" i="12"/>
  <c r="AT80" i="12"/>
  <c r="AQ107" i="12"/>
  <c r="AP108" i="12" s="1"/>
  <c r="AQ106" i="12" s="1"/>
  <c r="AT33" i="12"/>
  <c r="AU31" i="12"/>
  <c r="R74" i="12"/>
  <c r="R75" i="12" s="1"/>
  <c r="AK135" i="12"/>
  <c r="AJ137" i="12"/>
  <c r="AJ138" i="12" s="1"/>
  <c r="AG66" i="11"/>
  <c r="R69" i="11"/>
  <c r="R70" i="11" s="1"/>
  <c r="R40" i="11" s="1"/>
  <c r="AH137" i="11"/>
  <c r="AH138" i="11" s="1"/>
  <c r="AH41" i="11" s="1"/>
  <c r="S74" i="11"/>
  <c r="Q45" i="11"/>
  <c r="Q46" i="11" s="1"/>
  <c r="Q51" i="11" s="1"/>
  <c r="AQ109" i="11"/>
  <c r="AQ48" i="11" s="1"/>
  <c r="AP109" i="11"/>
  <c r="AP48" i="11" s="1"/>
  <c r="I85" i="2"/>
  <c r="I67" i="2"/>
  <c r="I75" i="2"/>
  <c r="I76" i="2" s="1"/>
  <c r="I77" i="2" s="1"/>
  <c r="I68" i="2" s="1"/>
  <c r="G86" i="2"/>
  <c r="G87" i="2" s="1"/>
  <c r="G41" i="2" s="1"/>
  <c r="U66" i="2"/>
  <c r="V137" i="2"/>
  <c r="V138" i="2" s="1"/>
  <c r="W135" i="2"/>
  <c r="AF80" i="2"/>
  <c r="AC109" i="2"/>
  <c r="AC48" i="2" s="1"/>
  <c r="AF61" i="2"/>
  <c r="AE63" i="2"/>
  <c r="AE107" i="2" s="1"/>
  <c r="AD108" i="2" s="1"/>
  <c r="AE106" i="2" s="1"/>
  <c r="AF33" i="2"/>
  <c r="G69" i="2"/>
  <c r="G70" i="2" s="1"/>
  <c r="G40" i="2" s="1"/>
  <c r="Q70" i="12" l="1"/>
  <c r="R82" i="12" s="1"/>
  <c r="R83" i="12" s="1"/>
  <c r="R84" i="12" s="1"/>
  <c r="G44" i="2"/>
  <c r="AS48" i="11"/>
  <c r="AJ66" i="12"/>
  <c r="AJ41" i="12"/>
  <c r="S82" i="11"/>
  <c r="S83" i="11" s="1"/>
  <c r="S84" i="11" s="1"/>
  <c r="R44" i="11"/>
  <c r="R45" i="11" s="1"/>
  <c r="R46" i="11" s="1"/>
  <c r="R51" i="11" s="1"/>
  <c r="R76" i="12"/>
  <c r="R77" i="12" s="1"/>
  <c r="R68" i="12" s="1"/>
  <c r="S73" i="12"/>
  <c r="AU33" i="12"/>
  <c r="AV31" i="12"/>
  <c r="AT61" i="12"/>
  <c r="AS63" i="12"/>
  <c r="AR107" i="12"/>
  <c r="AQ108" i="12" s="1"/>
  <c r="AR106" i="12" s="1"/>
  <c r="R85" i="12"/>
  <c r="R67" i="12"/>
  <c r="R47" i="12"/>
  <c r="AP109" i="12"/>
  <c r="AP48" i="12" s="1"/>
  <c r="AU80" i="12"/>
  <c r="AK137" i="12"/>
  <c r="AK138" i="12" s="1"/>
  <c r="AL135" i="12"/>
  <c r="AH66" i="11"/>
  <c r="AI135" i="11"/>
  <c r="S85" i="11"/>
  <c r="S67" i="11"/>
  <c r="S47" i="11"/>
  <c r="S75" i="11"/>
  <c r="J73" i="2"/>
  <c r="J74" i="2" s="1"/>
  <c r="J85" i="2" s="1"/>
  <c r="V66" i="2"/>
  <c r="W137" i="2"/>
  <c r="W138" i="2" s="1"/>
  <c r="AG80" i="2"/>
  <c r="AG33" i="2"/>
  <c r="AG61" i="2"/>
  <c r="AF63" i="2"/>
  <c r="AF107" i="2" s="1"/>
  <c r="AE108" i="2" s="1"/>
  <c r="AF106" i="2" s="1"/>
  <c r="AD109" i="2"/>
  <c r="AD48" i="2" s="1"/>
  <c r="H82" i="2"/>
  <c r="H83" i="2" s="1"/>
  <c r="H84" i="2" s="1"/>
  <c r="H86" i="2" s="1"/>
  <c r="H87" i="2" s="1"/>
  <c r="H41" i="2" s="1"/>
  <c r="Q40" i="12" l="1"/>
  <c r="Q44" i="12" s="1"/>
  <c r="Q45" i="12" s="1"/>
  <c r="Q46" i="12" s="1"/>
  <c r="Q51" i="12" s="1"/>
  <c r="R86" i="12"/>
  <c r="R87" i="12" s="1"/>
  <c r="R69" i="12"/>
  <c r="AK66" i="12"/>
  <c r="AK41" i="12"/>
  <c r="S86" i="11"/>
  <c r="S87" i="11" s="1"/>
  <c r="AU61" i="12"/>
  <c r="AT63" i="12"/>
  <c r="AV33" i="12"/>
  <c r="AW31" i="12"/>
  <c r="AL137" i="12"/>
  <c r="AL138" i="12" s="1"/>
  <c r="AM135" i="12"/>
  <c r="S74" i="12"/>
  <c r="AS107" i="12"/>
  <c r="AR108" i="12" s="1"/>
  <c r="AS106" i="12" s="1"/>
  <c r="AV80" i="12"/>
  <c r="AQ109" i="12"/>
  <c r="AQ48" i="12" s="1"/>
  <c r="AJ135" i="11"/>
  <c r="AI137" i="11"/>
  <c r="AI138" i="11" s="1"/>
  <c r="AI41" i="11" s="1"/>
  <c r="S76" i="11"/>
  <c r="S77" i="11" s="1"/>
  <c r="S68" i="11" s="1"/>
  <c r="S69" i="11" s="1"/>
  <c r="S70" i="11" s="1"/>
  <c r="S40" i="11" s="1"/>
  <c r="T73" i="11"/>
  <c r="J75" i="2"/>
  <c r="K73" i="2" s="1"/>
  <c r="K74" i="2" s="1"/>
  <c r="J67" i="2"/>
  <c r="J43" i="2"/>
  <c r="J47" i="2" s="1"/>
  <c r="H69" i="2"/>
  <c r="H70" i="2" s="1"/>
  <c r="H40" i="2" s="1"/>
  <c r="H44" i="2" s="1"/>
  <c r="W66" i="2"/>
  <c r="X135" i="2"/>
  <c r="AH80" i="2"/>
  <c r="AH61" i="2"/>
  <c r="AG63" i="2"/>
  <c r="AG107" i="2" s="1"/>
  <c r="AF108" i="2" s="1"/>
  <c r="AG106" i="2" s="1"/>
  <c r="AE109" i="2"/>
  <c r="AE48" i="2" s="1"/>
  <c r="AH33" i="2"/>
  <c r="G45" i="2"/>
  <c r="G46" i="2" s="1"/>
  <c r="G51" i="2" s="1"/>
  <c r="R70" i="12" l="1"/>
  <c r="S82" i="12" s="1"/>
  <c r="S83" i="12" s="1"/>
  <c r="S84" i="12" s="1"/>
  <c r="AR109" i="12"/>
  <c r="AR48" i="12" s="1"/>
  <c r="AL66" i="12"/>
  <c r="AL41" i="12"/>
  <c r="S85" i="12"/>
  <c r="S67" i="12"/>
  <c r="S47" i="12"/>
  <c r="S75" i="12"/>
  <c r="AV61" i="12"/>
  <c r="AU63" i="12"/>
  <c r="AM137" i="12"/>
  <c r="AM138" i="12" s="1"/>
  <c r="AN135" i="12"/>
  <c r="AW33" i="12"/>
  <c r="AX31" i="12"/>
  <c r="AT107" i="12"/>
  <c r="AS108" i="12" s="1"/>
  <c r="AT106" i="12" s="1"/>
  <c r="AW80" i="12"/>
  <c r="AI66" i="11"/>
  <c r="AK135" i="11"/>
  <c r="T82" i="11"/>
  <c r="T83" i="11" s="1"/>
  <c r="T84" i="11" s="1"/>
  <c r="S44" i="11"/>
  <c r="T74" i="11"/>
  <c r="T75" i="11" s="1"/>
  <c r="J76" i="2"/>
  <c r="J77" i="2" s="1"/>
  <c r="J68" i="2" s="1"/>
  <c r="I82" i="2"/>
  <c r="I83" i="2" s="1"/>
  <c r="I84" i="2" s="1"/>
  <c r="H45" i="2"/>
  <c r="H46" i="2" s="1"/>
  <c r="H51" i="2" s="1"/>
  <c r="X137" i="2"/>
  <c r="X138" i="2" s="1"/>
  <c r="AI80" i="2"/>
  <c r="AI33" i="2"/>
  <c r="AI61" i="2"/>
  <c r="AH63" i="2"/>
  <c r="AH107" i="2" s="1"/>
  <c r="AG108" i="2" s="1"/>
  <c r="AH106" i="2" s="1"/>
  <c r="AF109" i="2"/>
  <c r="AF48" i="2" s="1"/>
  <c r="R40" i="12" l="1"/>
  <c r="R44" i="12" s="1"/>
  <c r="R45" i="12" s="1"/>
  <c r="R46" i="12" s="1"/>
  <c r="R51" i="12" s="1"/>
  <c r="S86" i="12"/>
  <c r="S87" i="12" s="1"/>
  <c r="AM66" i="12"/>
  <c r="AM41" i="12"/>
  <c r="S76" i="12"/>
  <c r="S77" i="12" s="1"/>
  <c r="S68" i="12" s="1"/>
  <c r="S69" i="12" s="1"/>
  <c r="S70" i="12" s="1"/>
  <c r="T73" i="12"/>
  <c r="AX33" i="12"/>
  <c r="AY31" i="12"/>
  <c r="AV63" i="12"/>
  <c r="AW61" i="12"/>
  <c r="AS109" i="12"/>
  <c r="AS48" i="12" s="1"/>
  <c r="AU107" i="12"/>
  <c r="AT108" i="12" s="1"/>
  <c r="AU106" i="12" s="1"/>
  <c r="AO135" i="12"/>
  <c r="AN137" i="12"/>
  <c r="AN138" i="12" s="1"/>
  <c r="AX80" i="12"/>
  <c r="AL135" i="11"/>
  <c r="AM135" i="11" s="1"/>
  <c r="AK137" i="11"/>
  <c r="AK138" i="11" s="1"/>
  <c r="AK41" i="11" s="1"/>
  <c r="AJ137" i="11"/>
  <c r="AJ138" i="11" s="1"/>
  <c r="AJ41" i="11" s="1"/>
  <c r="U73" i="11"/>
  <c r="T76" i="11"/>
  <c r="T77" i="11" s="1"/>
  <c r="T68" i="11" s="1"/>
  <c r="T85" i="11"/>
  <c r="T86" i="11" s="1"/>
  <c r="T87" i="11" s="1"/>
  <c r="T67" i="11"/>
  <c r="T47" i="11"/>
  <c r="S45" i="11"/>
  <c r="S46" i="11" s="1"/>
  <c r="S51" i="11" s="1"/>
  <c r="K75" i="2"/>
  <c r="L73" i="2" s="1"/>
  <c r="L74" i="2" s="1"/>
  <c r="K85" i="2"/>
  <c r="I86" i="2"/>
  <c r="I87" i="2" s="1"/>
  <c r="I41" i="2" s="1"/>
  <c r="X66" i="2"/>
  <c r="Y135" i="2"/>
  <c r="AJ80" i="2"/>
  <c r="I69" i="2"/>
  <c r="I70" i="2" s="1"/>
  <c r="I40" i="2" s="1"/>
  <c r="AG109" i="2"/>
  <c r="AG48" i="2" s="1"/>
  <c r="AJ33" i="2"/>
  <c r="AJ61" i="2"/>
  <c r="AI63" i="2"/>
  <c r="AI107" i="2" s="1"/>
  <c r="AH108" i="2" s="1"/>
  <c r="AI106" i="2" s="1"/>
  <c r="K43" i="2"/>
  <c r="K47" i="2" s="1"/>
  <c r="K67" i="2"/>
  <c r="I44" i="2" l="1"/>
  <c r="I45" i="2" s="1"/>
  <c r="I46" i="2" s="1"/>
  <c r="I51" i="2" s="1"/>
  <c r="K76" i="2"/>
  <c r="K77" i="2" s="1"/>
  <c r="K68" i="2" s="1"/>
  <c r="AN66" i="12"/>
  <c r="AN41" i="12"/>
  <c r="T74" i="12"/>
  <c r="T75" i="12" s="1"/>
  <c r="AT109" i="12"/>
  <c r="AT48" i="12" s="1"/>
  <c r="T82" i="12"/>
  <c r="T83" i="12" s="1"/>
  <c r="T84" i="12" s="1"/>
  <c r="S40" i="12"/>
  <c r="S44" i="12" s="1"/>
  <c r="AO137" i="12"/>
  <c r="AO138" i="12" s="1"/>
  <c r="AP135" i="12"/>
  <c r="AW63" i="12"/>
  <c r="AX61" i="12"/>
  <c r="AV107" i="12"/>
  <c r="AU108" i="12" s="1"/>
  <c r="AV106" i="12" s="1"/>
  <c r="AY80" i="12"/>
  <c r="AZ31" i="12"/>
  <c r="AY33" i="12"/>
  <c r="AZ80" i="12" s="1"/>
  <c r="AJ66" i="11"/>
  <c r="AK66" i="11"/>
  <c r="T69" i="11"/>
  <c r="T70" i="11" s="1"/>
  <c r="T40" i="11" s="1"/>
  <c r="AL137" i="11"/>
  <c r="AL138" i="11" s="1"/>
  <c r="AL41" i="11" s="1"/>
  <c r="AN135" i="11"/>
  <c r="AM137" i="11"/>
  <c r="AM138" i="11" s="1"/>
  <c r="AM41" i="11" s="1"/>
  <c r="U74" i="11"/>
  <c r="U75" i="11" s="1"/>
  <c r="Y137" i="2"/>
  <c r="Y138" i="2" s="1"/>
  <c r="AK80" i="2"/>
  <c r="J82" i="2"/>
  <c r="J83" i="2" s="1"/>
  <c r="J84" i="2" s="1"/>
  <c r="AH109" i="2"/>
  <c r="AH48" i="2" s="1"/>
  <c r="AK61" i="2"/>
  <c r="AJ63" i="2"/>
  <c r="AJ107" i="2" s="1"/>
  <c r="AI108" i="2" s="1"/>
  <c r="AJ106" i="2" s="1"/>
  <c r="AK33" i="2"/>
  <c r="L85" i="2"/>
  <c r="AO66" i="12" l="1"/>
  <c r="AO41" i="12"/>
  <c r="U82" i="11"/>
  <c r="U83" i="11" s="1"/>
  <c r="U84" i="11" s="1"/>
  <c r="T44" i="11"/>
  <c r="T45" i="11" s="1"/>
  <c r="T46" i="11" s="1"/>
  <c r="T51" i="11" s="1"/>
  <c r="T76" i="12"/>
  <c r="T77" i="12" s="1"/>
  <c r="T68" i="12" s="1"/>
  <c r="U73" i="12"/>
  <c r="S45" i="12"/>
  <c r="S46" i="12" s="1"/>
  <c r="S51" i="12" s="1"/>
  <c r="AZ33" i="12"/>
  <c r="BA80" i="12" s="1"/>
  <c r="BA31" i="12"/>
  <c r="T67" i="12"/>
  <c r="T85" i="12"/>
  <c r="T86" i="12" s="1"/>
  <c r="T87" i="12" s="1"/>
  <c r="T47" i="12"/>
  <c r="AW107" i="12"/>
  <c r="AV108" i="12" s="1"/>
  <c r="AW106" i="12" s="1"/>
  <c r="AQ135" i="12"/>
  <c r="AP137" i="12"/>
  <c r="AP138" i="12" s="1"/>
  <c r="AY61" i="12"/>
  <c r="AX63" i="12"/>
  <c r="AU109" i="12"/>
  <c r="AU48" i="12" s="1"/>
  <c r="AM66" i="11"/>
  <c r="AL66" i="11"/>
  <c r="AO135" i="11"/>
  <c r="V73" i="11"/>
  <c r="U76" i="11"/>
  <c r="U77" i="11" s="1"/>
  <c r="U68" i="11" s="1"/>
  <c r="U85" i="11"/>
  <c r="U67" i="11"/>
  <c r="U47" i="11"/>
  <c r="J86" i="2"/>
  <c r="J87" i="2" s="1"/>
  <c r="J41" i="2" s="1"/>
  <c r="Y66" i="2"/>
  <c r="Z135" i="2"/>
  <c r="AL80" i="2"/>
  <c r="AL33" i="2"/>
  <c r="AL61" i="2"/>
  <c r="AK63" i="2"/>
  <c r="AK107" i="2" s="1"/>
  <c r="AJ108" i="2" s="1"/>
  <c r="AK106" i="2" s="1"/>
  <c r="AI109" i="2"/>
  <c r="AI48" i="2" s="1"/>
  <c r="L43" i="2"/>
  <c r="L47" i="2" s="1"/>
  <c r="L67" i="2"/>
  <c r="L75" i="2"/>
  <c r="M73" i="2" s="1"/>
  <c r="M74" i="2" s="1"/>
  <c r="J69" i="2"/>
  <c r="J70" i="2" s="1"/>
  <c r="J40" i="2" s="1"/>
  <c r="J44" i="2" s="1"/>
  <c r="AM80" i="2" l="1"/>
  <c r="U69" i="11"/>
  <c r="U86" i="11"/>
  <c r="U87" i="11" s="1"/>
  <c r="AP66" i="12"/>
  <c r="AP41" i="12"/>
  <c r="T69" i="12"/>
  <c r="BA33" i="12"/>
  <c r="BB80" i="12" s="1"/>
  <c r="BB31" i="12"/>
  <c r="BB33" i="12" s="1"/>
  <c r="AX107" i="12"/>
  <c r="AW108" i="12" s="1"/>
  <c r="AX106" i="12" s="1"/>
  <c r="AY63" i="12"/>
  <c r="AZ61" i="12"/>
  <c r="U74" i="12"/>
  <c r="AV109" i="12"/>
  <c r="AV48" i="12" s="1"/>
  <c r="AQ137" i="12"/>
  <c r="AQ138" i="12" s="1"/>
  <c r="AR135" i="12"/>
  <c r="AN137" i="11"/>
  <c r="AN138" i="11" s="1"/>
  <c r="AN41" i="11" s="1"/>
  <c r="AP135" i="11"/>
  <c r="AO137" i="11"/>
  <c r="AO138" i="11" s="1"/>
  <c r="AO41" i="11" s="1"/>
  <c r="V74" i="11"/>
  <c r="V75" i="11" s="1"/>
  <c r="Z137" i="2"/>
  <c r="Z138" i="2" s="1"/>
  <c r="AM33" i="2"/>
  <c r="AJ109" i="2"/>
  <c r="AJ48" i="2" s="1"/>
  <c r="AM61" i="2"/>
  <c r="AL63" i="2"/>
  <c r="AL107" i="2" s="1"/>
  <c r="AK108" i="2" s="1"/>
  <c r="AL106" i="2" s="1"/>
  <c r="L76" i="2"/>
  <c r="L77" i="2" s="1"/>
  <c r="L68" i="2" s="1"/>
  <c r="K82" i="2"/>
  <c r="K83" i="2" s="1"/>
  <c r="K84" i="2" s="1"/>
  <c r="T70" i="12" l="1"/>
  <c r="U82" i="12" s="1"/>
  <c r="U83" i="12" s="1"/>
  <c r="U84" i="12" s="1"/>
  <c r="U70" i="11"/>
  <c r="U40" i="11" s="1"/>
  <c r="U44" i="11" s="1"/>
  <c r="U45" i="11" s="1"/>
  <c r="U46" i="11" s="1"/>
  <c r="U51" i="11" s="1"/>
  <c r="AQ66" i="12"/>
  <c r="AQ41" i="12"/>
  <c r="AS135" i="12"/>
  <c r="AR137" i="12"/>
  <c r="AR138" i="12" s="1"/>
  <c r="AZ63" i="12"/>
  <c r="BA61" i="12"/>
  <c r="AW109" i="12"/>
  <c r="AW48" i="12" s="1"/>
  <c r="U85" i="12"/>
  <c r="U47" i="12"/>
  <c r="U67" i="12"/>
  <c r="AY107" i="12"/>
  <c r="AX108" i="12" s="1"/>
  <c r="AY106" i="12" s="1"/>
  <c r="U75" i="12"/>
  <c r="AO66" i="11"/>
  <c r="AN66" i="11"/>
  <c r="AP137" i="11"/>
  <c r="AP138" i="11" s="1"/>
  <c r="AP41" i="11" s="1"/>
  <c r="W73" i="11"/>
  <c r="V76" i="11"/>
  <c r="V77" i="11" s="1"/>
  <c r="V68" i="11" s="1"/>
  <c r="V85" i="11"/>
  <c r="V67" i="11"/>
  <c r="V47" i="11"/>
  <c r="K86" i="2"/>
  <c r="K87" i="2" s="1"/>
  <c r="K41" i="2" s="1"/>
  <c r="Z66" i="2"/>
  <c r="AA135" i="2"/>
  <c r="AN80" i="2"/>
  <c r="AN33" i="2"/>
  <c r="AN61" i="2"/>
  <c r="AM63" i="2"/>
  <c r="AM107" i="2" s="1"/>
  <c r="AL108" i="2" s="1"/>
  <c r="AM106" i="2" s="1"/>
  <c r="AK109" i="2"/>
  <c r="AK48" i="2" s="1"/>
  <c r="J45" i="2"/>
  <c r="J46" i="2" s="1"/>
  <c r="J51" i="2" s="1"/>
  <c r="K69" i="2"/>
  <c r="K70" i="2" s="1"/>
  <c r="K40" i="2" s="1"/>
  <c r="T40" i="12" l="1"/>
  <c r="T44" i="12" s="1"/>
  <c r="T45" i="12" s="1"/>
  <c r="T46" i="12" s="1"/>
  <c r="T51" i="12" s="1"/>
  <c r="U86" i="12"/>
  <c r="U87" i="12" s="1"/>
  <c r="V82" i="11"/>
  <c r="V83" i="11" s="1"/>
  <c r="V84" i="11" s="1"/>
  <c r="V86" i="11" s="1"/>
  <c r="V87" i="11" s="1"/>
  <c r="K44" i="2"/>
  <c r="V69" i="11"/>
  <c r="AR66" i="12"/>
  <c r="AR41" i="12"/>
  <c r="AZ107" i="12"/>
  <c r="AY108" i="12" s="1"/>
  <c r="AZ106" i="12" s="1"/>
  <c r="U76" i="12"/>
  <c r="U77" i="12" s="1"/>
  <c r="U68" i="12" s="1"/>
  <c r="U69" i="12" s="1"/>
  <c r="U70" i="12" s="1"/>
  <c r="V73" i="12"/>
  <c r="AX109" i="12"/>
  <c r="AX48" i="12" s="1"/>
  <c r="AS137" i="12"/>
  <c r="AS138" i="12" s="1"/>
  <c r="AT135" i="12"/>
  <c r="BB61" i="12"/>
  <c r="BB63" i="12" s="1"/>
  <c r="BA63" i="12"/>
  <c r="AP66" i="11"/>
  <c r="AQ135" i="11"/>
  <c r="W74" i="11"/>
  <c r="W75" i="11" s="1"/>
  <c r="M75" i="2"/>
  <c r="M76" i="2" s="1"/>
  <c r="M77" i="2" s="1"/>
  <c r="M68" i="2" s="1"/>
  <c r="M85" i="2"/>
  <c r="AA137" i="2"/>
  <c r="AA138" i="2" s="1"/>
  <c r="AO80" i="2"/>
  <c r="AO61" i="2"/>
  <c r="AN63" i="2"/>
  <c r="AN107" i="2" s="1"/>
  <c r="AM108" i="2" s="1"/>
  <c r="AN106" i="2" s="1"/>
  <c r="AL109" i="2"/>
  <c r="AL48" i="2" s="1"/>
  <c r="AO33" i="2"/>
  <c r="M43" i="2"/>
  <c r="M47" i="2" s="1"/>
  <c r="M67" i="2"/>
  <c r="L82" i="2"/>
  <c r="L83" i="2" s="1"/>
  <c r="L84" i="2" s="1"/>
  <c r="V70" i="11" l="1"/>
  <c r="V40" i="11" s="1"/>
  <c r="V44" i="11" s="1"/>
  <c r="V45" i="11" s="1"/>
  <c r="V46" i="11" s="1"/>
  <c r="V51" i="11" s="1"/>
  <c r="AY109" i="12"/>
  <c r="AY48" i="12" s="1"/>
  <c r="AS66" i="12"/>
  <c r="AS41" i="12"/>
  <c r="V74" i="12"/>
  <c r="V75" i="12" s="1"/>
  <c r="BB107" i="12"/>
  <c r="BA108" i="12" s="1"/>
  <c r="BB106" i="12" s="1"/>
  <c r="BB109" i="12" s="1"/>
  <c r="BB48" i="12" s="1"/>
  <c r="V82" i="12"/>
  <c r="V83" i="12" s="1"/>
  <c r="V84" i="12" s="1"/>
  <c r="U40" i="12"/>
  <c r="U44" i="12" s="1"/>
  <c r="BA107" i="12"/>
  <c r="AZ108" i="12" s="1"/>
  <c r="BA106" i="12" s="1"/>
  <c r="AT137" i="12"/>
  <c r="AT138" i="12" s="1"/>
  <c r="AU135" i="12"/>
  <c r="AR135" i="11"/>
  <c r="AQ137" i="11"/>
  <c r="AQ138" i="11" s="1"/>
  <c r="AQ41" i="11" s="1"/>
  <c r="W76" i="11"/>
  <c r="W77" i="11" s="1"/>
  <c r="W68" i="11" s="1"/>
  <c r="X73" i="11"/>
  <c r="W85" i="11"/>
  <c r="W67" i="11"/>
  <c r="W47" i="11"/>
  <c r="N73" i="2"/>
  <c r="N74" i="2" s="1"/>
  <c r="N85" i="2" s="1"/>
  <c r="L86" i="2"/>
  <c r="L87" i="2" s="1"/>
  <c r="L41" i="2" s="1"/>
  <c r="AA66" i="2"/>
  <c r="AB135" i="2"/>
  <c r="AP80" i="2"/>
  <c r="AP33" i="2"/>
  <c r="AP61" i="2"/>
  <c r="AO63" i="2"/>
  <c r="AO107" i="2" s="1"/>
  <c r="AN108" i="2" s="1"/>
  <c r="AO106" i="2" s="1"/>
  <c r="AM109" i="2"/>
  <c r="AM48" i="2" s="1"/>
  <c r="K45" i="2"/>
  <c r="K46" i="2" s="1"/>
  <c r="K51" i="2" s="1"/>
  <c r="L69" i="2"/>
  <c r="L70" i="2" s="1"/>
  <c r="L40" i="2" s="1"/>
  <c r="L44" i="2" s="1"/>
  <c r="W82" i="11" l="1"/>
  <c r="W83" i="11" s="1"/>
  <c r="W84" i="11" s="1"/>
  <c r="W86" i="11" s="1"/>
  <c r="W87" i="11" s="1"/>
  <c r="W69" i="11"/>
  <c r="BA109" i="12"/>
  <c r="BA48" i="12" s="1"/>
  <c r="AT66" i="12"/>
  <c r="AT41" i="12"/>
  <c r="W73" i="12"/>
  <c r="V76" i="12"/>
  <c r="V77" i="12" s="1"/>
  <c r="V68" i="12" s="1"/>
  <c r="U45" i="12"/>
  <c r="U46" i="12" s="1"/>
  <c r="U51" i="12" s="1"/>
  <c r="AU137" i="12"/>
  <c r="AU138" i="12" s="1"/>
  <c r="AV135" i="12"/>
  <c r="AZ109" i="12"/>
  <c r="AZ48" i="12" s="1"/>
  <c r="V67" i="12"/>
  <c r="V85" i="12"/>
  <c r="V86" i="12" s="1"/>
  <c r="V87" i="12" s="1"/>
  <c r="V47" i="12"/>
  <c r="AQ66" i="11"/>
  <c r="AR137" i="11"/>
  <c r="AR138" i="11" s="1"/>
  <c r="AR41" i="11" s="1"/>
  <c r="X74" i="11"/>
  <c r="X75" i="11" s="1"/>
  <c r="AB137" i="2"/>
  <c r="AB138" i="2" s="1"/>
  <c r="AQ80" i="2"/>
  <c r="AQ61" i="2"/>
  <c r="AP63" i="2"/>
  <c r="AP107" i="2" s="1"/>
  <c r="AO108" i="2" s="1"/>
  <c r="AP106" i="2" s="1"/>
  <c r="AN109" i="2"/>
  <c r="AN48" i="2" s="1"/>
  <c r="N43" i="2"/>
  <c r="N47" i="2" s="1"/>
  <c r="N67" i="2"/>
  <c r="AQ33" i="2"/>
  <c r="N75" i="2"/>
  <c r="M82" i="2"/>
  <c r="M83" i="2" s="1"/>
  <c r="M84" i="2" s="1"/>
  <c r="W70" i="11" l="1"/>
  <c r="W40" i="11" s="1"/>
  <c r="W44" i="11" s="1"/>
  <c r="W45" i="11" s="1"/>
  <c r="W46" i="11" s="1"/>
  <c r="W51" i="11" s="1"/>
  <c r="BC48" i="12"/>
  <c r="AU66" i="12"/>
  <c r="AU41" i="12"/>
  <c r="V69" i="12"/>
  <c r="AW135" i="12"/>
  <c r="AV137" i="12"/>
  <c r="AV138" i="12" s="1"/>
  <c r="W74" i="12"/>
  <c r="AR66" i="11"/>
  <c r="X76" i="11"/>
  <c r="X77" i="11" s="1"/>
  <c r="X68" i="11" s="1"/>
  <c r="Y73" i="11"/>
  <c r="X85" i="11"/>
  <c r="X67" i="11"/>
  <c r="X47" i="11"/>
  <c r="M86" i="2"/>
  <c r="M87" i="2" s="1"/>
  <c r="M41" i="2" s="1"/>
  <c r="AB66" i="2"/>
  <c r="AC135" i="2"/>
  <c r="AR80" i="2"/>
  <c r="AO109" i="2"/>
  <c r="AO48" i="2" s="1"/>
  <c r="AR33" i="2"/>
  <c r="AR61" i="2"/>
  <c r="AQ63" i="2"/>
  <c r="AQ107" i="2" s="1"/>
  <c r="AP108" i="2" s="1"/>
  <c r="AQ106" i="2" s="1"/>
  <c r="N76" i="2"/>
  <c r="N77" i="2" s="1"/>
  <c r="N68" i="2" s="1"/>
  <c r="O73" i="2"/>
  <c r="L45" i="2"/>
  <c r="L46" i="2" s="1"/>
  <c r="L51" i="2" s="1"/>
  <c r="M69" i="2"/>
  <c r="M70" i="2" s="1"/>
  <c r="X82" i="11" l="1"/>
  <c r="X83" i="11" s="1"/>
  <c r="X84" i="11" s="1"/>
  <c r="X86" i="11" s="1"/>
  <c r="X87" i="11" s="1"/>
  <c r="V70" i="12"/>
  <c r="W82" i="12" s="1"/>
  <c r="W83" i="12" s="1"/>
  <c r="W84" i="12" s="1"/>
  <c r="X69" i="11"/>
  <c r="AV66" i="12"/>
  <c r="AV41" i="12"/>
  <c r="W85" i="12"/>
  <c r="W47" i="12"/>
  <c r="W67" i="12"/>
  <c r="W75" i="12"/>
  <c r="AW137" i="12"/>
  <c r="AW138" i="12" s="1"/>
  <c r="AX135" i="12"/>
  <c r="Y74" i="11"/>
  <c r="Y75" i="11" s="1"/>
  <c r="O74" i="2"/>
  <c r="O85" i="2" s="1"/>
  <c r="N82" i="2"/>
  <c r="N83" i="2" s="1"/>
  <c r="N84" i="2" s="1"/>
  <c r="M40" i="2"/>
  <c r="M44" i="2" s="1"/>
  <c r="AC137" i="2"/>
  <c r="AC138" i="2" s="1"/>
  <c r="AS80" i="2"/>
  <c r="AS61" i="2"/>
  <c r="AR63" i="2"/>
  <c r="AR107" i="2" s="1"/>
  <c r="AQ108" i="2" s="1"/>
  <c r="AR106" i="2" s="1"/>
  <c r="AS33" i="2"/>
  <c r="AP109" i="2"/>
  <c r="AP48" i="2" s="1"/>
  <c r="N69" i="2"/>
  <c r="N70" i="2" s="1"/>
  <c r="V40" i="12" l="1"/>
  <c r="V44" i="12" s="1"/>
  <c r="V45" i="12" s="1"/>
  <c r="V46" i="12" s="1"/>
  <c r="V51" i="12" s="1"/>
  <c r="W86" i="12"/>
  <c r="W87" i="12" s="1"/>
  <c r="X70" i="11"/>
  <c r="X40" i="11" s="1"/>
  <c r="X44" i="11" s="1"/>
  <c r="X45" i="11" s="1"/>
  <c r="X46" i="11" s="1"/>
  <c r="X51" i="11" s="1"/>
  <c r="AT80" i="2"/>
  <c r="AW66" i="12"/>
  <c r="AW41" i="12"/>
  <c r="W76" i="12"/>
  <c r="W77" i="12" s="1"/>
  <c r="W68" i="12" s="1"/>
  <c r="W69" i="12" s="1"/>
  <c r="W70" i="12" s="1"/>
  <c r="X73" i="12"/>
  <c r="AY135" i="12"/>
  <c r="AX137" i="12"/>
  <c r="AX138" i="12" s="1"/>
  <c r="Y76" i="11"/>
  <c r="Y77" i="11" s="1"/>
  <c r="Y68" i="11" s="1"/>
  <c r="Z73" i="11"/>
  <c r="Y85" i="11"/>
  <c r="Y67" i="11"/>
  <c r="Y47" i="11"/>
  <c r="O43" i="2"/>
  <c r="O47" i="2" s="1"/>
  <c r="O67" i="2"/>
  <c r="O75" i="2"/>
  <c r="O76" i="2" s="1"/>
  <c r="O77" i="2" s="1"/>
  <c r="O68" i="2" s="1"/>
  <c r="N86" i="2"/>
  <c r="N87" i="2" s="1"/>
  <c r="N41" i="2" s="1"/>
  <c r="AC66" i="2"/>
  <c r="O82" i="2"/>
  <c r="O83" i="2" s="1"/>
  <c r="O84" i="2" s="1"/>
  <c r="N40" i="2"/>
  <c r="N44" i="2" s="1"/>
  <c r="AD135" i="2"/>
  <c r="AT33" i="2"/>
  <c r="AT61" i="2"/>
  <c r="AS63" i="2"/>
  <c r="AS107" i="2" s="1"/>
  <c r="AR108" i="2" s="1"/>
  <c r="AS106" i="2" s="1"/>
  <c r="AQ109" i="2"/>
  <c r="AQ48" i="2" s="1"/>
  <c r="M45" i="2"/>
  <c r="M46" i="2" s="1"/>
  <c r="M51" i="2" s="1"/>
  <c r="Y82" i="11" l="1"/>
  <c r="Y83" i="11" s="1"/>
  <c r="Y84" i="11" s="1"/>
  <c r="AU80" i="2"/>
  <c r="Y86" i="11"/>
  <c r="Y87" i="11" s="1"/>
  <c r="AX66" i="12"/>
  <c r="AX41" i="12"/>
  <c r="Y69" i="11"/>
  <c r="O69" i="2"/>
  <c r="O70" i="2" s="1"/>
  <c r="O40" i="2" s="1"/>
  <c r="AY137" i="12"/>
  <c r="AY138" i="12" s="1"/>
  <c r="AZ135" i="12"/>
  <c r="X82" i="12"/>
  <c r="X83" i="12" s="1"/>
  <c r="X84" i="12" s="1"/>
  <c r="W40" i="12"/>
  <c r="W44" i="12" s="1"/>
  <c r="X74" i="12"/>
  <c r="X75" i="12" s="1"/>
  <c r="Z74" i="11"/>
  <c r="P73" i="2"/>
  <c r="P74" i="2" s="1"/>
  <c r="P85" i="2" s="1"/>
  <c r="O86" i="2"/>
  <c r="O87" i="2" s="1"/>
  <c r="O41" i="2" s="1"/>
  <c r="AD137" i="2"/>
  <c r="AD138" i="2" s="1"/>
  <c r="AR109" i="2"/>
  <c r="AR48" i="2" s="1"/>
  <c r="AU61" i="2"/>
  <c r="AT63" i="2"/>
  <c r="AT107" i="2" s="1"/>
  <c r="AS108" i="2" s="1"/>
  <c r="AT106" i="2" s="1"/>
  <c r="AU33" i="2"/>
  <c r="N45" i="2"/>
  <c r="N46" i="2" s="1"/>
  <c r="Y70" i="11" l="1"/>
  <c r="Y40" i="11" s="1"/>
  <c r="Y44" i="11" s="1"/>
  <c r="Y45" i="11" s="1"/>
  <c r="Y46" i="11" s="1"/>
  <c r="Y51" i="11" s="1"/>
  <c r="O44" i="2"/>
  <c r="O45" i="2" s="1"/>
  <c r="O46" i="2" s="1"/>
  <c r="O51" i="2" s="1"/>
  <c r="AY66" i="12"/>
  <c r="AY41" i="12"/>
  <c r="X85" i="12"/>
  <c r="X86" i="12" s="1"/>
  <c r="X87" i="12" s="1"/>
  <c r="X47" i="12"/>
  <c r="X67" i="12"/>
  <c r="BA135" i="12"/>
  <c r="AZ137" i="12"/>
  <c r="AZ138" i="12" s="1"/>
  <c r="X76" i="12"/>
  <c r="X77" i="12" s="1"/>
  <c r="X68" i="12" s="1"/>
  <c r="Y73" i="12"/>
  <c r="W45" i="12"/>
  <c r="W46" i="12" s="1"/>
  <c r="W51" i="12" s="1"/>
  <c r="Z85" i="11"/>
  <c r="Z67" i="11"/>
  <c r="Z47" i="11"/>
  <c r="Z75" i="11"/>
  <c r="P67" i="2"/>
  <c r="P43" i="2"/>
  <c r="P47" i="2" s="1"/>
  <c r="P75" i="2"/>
  <c r="Q73" i="2" s="1"/>
  <c r="Q74" i="2" s="1"/>
  <c r="Q85" i="2" s="1"/>
  <c r="AD66" i="2"/>
  <c r="AE135" i="2"/>
  <c r="AV80" i="2"/>
  <c r="AV33" i="2"/>
  <c r="AV61" i="2"/>
  <c r="AU63" i="2"/>
  <c r="AU107" i="2" s="1"/>
  <c r="AT108" i="2" s="1"/>
  <c r="AU106" i="2" s="1"/>
  <c r="AS109" i="2"/>
  <c r="AS48" i="2" s="1"/>
  <c r="N51" i="2"/>
  <c r="P82" i="2"/>
  <c r="P83" i="2" s="1"/>
  <c r="P84" i="2" s="1"/>
  <c r="Z82" i="11" l="1"/>
  <c r="Z83" i="11" s="1"/>
  <c r="Z84" i="11" s="1"/>
  <c r="AW80" i="2"/>
  <c r="Z86" i="11"/>
  <c r="Z87" i="11" s="1"/>
  <c r="AZ66" i="12"/>
  <c r="AZ41" i="12"/>
  <c r="X69" i="12"/>
  <c r="Y74" i="12"/>
  <c r="Y75" i="12" s="1"/>
  <c r="BA137" i="12"/>
  <c r="BA138" i="12" s="1"/>
  <c r="BB135" i="12"/>
  <c r="AA73" i="11"/>
  <c r="Z76" i="11"/>
  <c r="Z77" i="11" s="1"/>
  <c r="Z68" i="11" s="1"/>
  <c r="Z69" i="11" s="1"/>
  <c r="Z70" i="11" s="1"/>
  <c r="Z40" i="11" s="1"/>
  <c r="P76" i="2"/>
  <c r="P77" i="2" s="1"/>
  <c r="P68" i="2" s="1"/>
  <c r="P69" i="2" s="1"/>
  <c r="P70" i="2" s="1"/>
  <c r="P40" i="2" s="1"/>
  <c r="Q43" i="2"/>
  <c r="Q47" i="2" s="1"/>
  <c r="Q67" i="2"/>
  <c r="Q75" i="2"/>
  <c r="Q76" i="2" s="1"/>
  <c r="Q77" i="2" s="1"/>
  <c r="Q68" i="2" s="1"/>
  <c r="P86" i="2"/>
  <c r="P87" i="2" s="1"/>
  <c r="P41" i="2" s="1"/>
  <c r="AE137" i="2"/>
  <c r="AE138" i="2" s="1"/>
  <c r="AT109" i="2"/>
  <c r="AT48" i="2" s="1"/>
  <c r="AW33" i="2"/>
  <c r="AW61" i="2"/>
  <c r="AV63" i="2"/>
  <c r="AV107" i="2" s="1"/>
  <c r="AU108" i="2" s="1"/>
  <c r="AV106" i="2" s="1"/>
  <c r="X70" i="12" l="1"/>
  <c r="X40" i="12" s="1"/>
  <c r="X44" i="12" s="1"/>
  <c r="X45" i="12" s="1"/>
  <c r="X46" i="12" s="1"/>
  <c r="X51" i="12" s="1"/>
  <c r="P44" i="2"/>
  <c r="Y82" i="12"/>
  <c r="Y83" i="12" s="1"/>
  <c r="Y84" i="12" s="1"/>
  <c r="BA66" i="12"/>
  <c r="BA41" i="12"/>
  <c r="R73" i="2"/>
  <c r="R74" i="2" s="1"/>
  <c r="R67" i="2" s="1"/>
  <c r="Y76" i="12"/>
  <c r="Y77" i="12" s="1"/>
  <c r="Y68" i="12" s="1"/>
  <c r="Z73" i="12"/>
  <c r="BB137" i="12"/>
  <c r="BB138" i="12" s="1"/>
  <c r="Y85" i="12"/>
  <c r="Y67" i="12"/>
  <c r="Y47" i="12"/>
  <c r="AA82" i="11"/>
  <c r="AA83" i="11" s="1"/>
  <c r="AA84" i="11" s="1"/>
  <c r="Z44" i="11"/>
  <c r="AA74" i="11"/>
  <c r="AA75" i="11" s="1"/>
  <c r="R43" i="2"/>
  <c r="R47" i="2" s="1"/>
  <c r="AE66" i="2"/>
  <c r="AF135" i="2"/>
  <c r="AX80" i="2"/>
  <c r="AU109" i="2"/>
  <c r="AU48" i="2" s="1"/>
  <c r="AX33" i="2"/>
  <c r="Q82" i="2"/>
  <c r="Q83" i="2" s="1"/>
  <c r="Q84" i="2" s="1"/>
  <c r="AX61" i="2"/>
  <c r="AW63" i="2"/>
  <c r="AW107" i="2" s="1"/>
  <c r="AV108" i="2" s="1"/>
  <c r="AW106" i="2" s="1"/>
  <c r="R85" i="2" l="1"/>
  <c r="AY80" i="2"/>
  <c r="Y86" i="12"/>
  <c r="Y87" i="12" s="1"/>
  <c r="BB66" i="12"/>
  <c r="BB41" i="12"/>
  <c r="R75" i="2"/>
  <c r="R76" i="2" s="1"/>
  <c r="R77" i="2" s="1"/>
  <c r="R68" i="2" s="1"/>
  <c r="Y69" i="12"/>
  <c r="Z74" i="12"/>
  <c r="Z75" i="12" s="1"/>
  <c r="AA76" i="11"/>
  <c r="AA77" i="11" s="1"/>
  <c r="AA68" i="11" s="1"/>
  <c r="AB73" i="11"/>
  <c r="AA85" i="11"/>
  <c r="AA86" i="11" s="1"/>
  <c r="AA87" i="11" s="1"/>
  <c r="AA67" i="11"/>
  <c r="AA47" i="11"/>
  <c r="Z45" i="11"/>
  <c r="Z46" i="11" s="1"/>
  <c r="Z51" i="11" s="1"/>
  <c r="Q86" i="2"/>
  <c r="Q87" i="2" s="1"/>
  <c r="Q41" i="2" s="1"/>
  <c r="AF137" i="2"/>
  <c r="AF138" i="2" s="1"/>
  <c r="AG135" i="2"/>
  <c r="AV109" i="2"/>
  <c r="AV48" i="2" s="1"/>
  <c r="P45" i="2"/>
  <c r="P46" i="2" s="1"/>
  <c r="AY33" i="2"/>
  <c r="Q69" i="2"/>
  <c r="Q70" i="2" s="1"/>
  <c r="Q40" i="2" s="1"/>
  <c r="AY61" i="2"/>
  <c r="AX63" i="2"/>
  <c r="AX107" i="2" s="1"/>
  <c r="AW108" i="2" s="1"/>
  <c r="AX106" i="2" s="1"/>
  <c r="Y70" i="12" l="1"/>
  <c r="Z82" i="12" s="1"/>
  <c r="Z83" i="12" s="1"/>
  <c r="Z84" i="12" s="1"/>
  <c r="Q44" i="2"/>
  <c r="S73" i="2"/>
  <c r="S74" i="2" s="1"/>
  <c r="S43" i="2" s="1"/>
  <c r="S47" i="2" s="1"/>
  <c r="Z76" i="12"/>
  <c r="Z77" i="12" s="1"/>
  <c r="Z68" i="12" s="1"/>
  <c r="AA73" i="12"/>
  <c r="Z85" i="12"/>
  <c r="Z67" i="12"/>
  <c r="Z47" i="12"/>
  <c r="AA69" i="11"/>
  <c r="AA70" i="11" s="1"/>
  <c r="AA40" i="11" s="1"/>
  <c r="AB74" i="11"/>
  <c r="AB75" i="11" s="1"/>
  <c r="AF66" i="2"/>
  <c r="AG137" i="2"/>
  <c r="AG138" i="2" s="1"/>
  <c r="S75" i="2"/>
  <c r="S67" i="2"/>
  <c r="AH135" i="2"/>
  <c r="AZ80" i="2"/>
  <c r="AZ33" i="2"/>
  <c r="AW109" i="2"/>
  <c r="AW48" i="2" s="1"/>
  <c r="P51" i="2"/>
  <c r="AZ61" i="2"/>
  <c r="AY63" i="2"/>
  <c r="AY107" i="2" s="1"/>
  <c r="AX108" i="2" s="1"/>
  <c r="AY106" i="2" s="1"/>
  <c r="R82" i="2"/>
  <c r="R83" i="2" s="1"/>
  <c r="R84" i="2" s="1"/>
  <c r="Q45" i="2"/>
  <c r="Q46" i="2" s="1"/>
  <c r="Q51" i="2" s="1"/>
  <c r="Y40" i="12" l="1"/>
  <c r="Y44" i="12" s="1"/>
  <c r="Y45" i="12" s="1"/>
  <c r="Y46" i="12" s="1"/>
  <c r="Y51" i="12" s="1"/>
  <c r="Z86" i="12"/>
  <c r="Z87" i="12" s="1"/>
  <c r="S85" i="2"/>
  <c r="Z69" i="12"/>
  <c r="AA74" i="12"/>
  <c r="AB76" i="11"/>
  <c r="AB77" i="11" s="1"/>
  <c r="AB68" i="11" s="1"/>
  <c r="AC73" i="11"/>
  <c r="AB85" i="11"/>
  <c r="AB67" i="11"/>
  <c r="AB47" i="11"/>
  <c r="AB82" i="11"/>
  <c r="AB83" i="11" s="1"/>
  <c r="AB84" i="11" s="1"/>
  <c r="AA44" i="11"/>
  <c r="R86" i="2"/>
  <c r="R87" i="2" s="1"/>
  <c r="R41" i="2" s="1"/>
  <c r="AG66" i="2"/>
  <c r="AH137" i="2"/>
  <c r="AH138" i="2" s="1"/>
  <c r="S76" i="2"/>
  <c r="S77" i="2" s="1"/>
  <c r="S68" i="2" s="1"/>
  <c r="T73" i="2"/>
  <c r="T74" i="2" s="1"/>
  <c r="AI135" i="2"/>
  <c r="BA80" i="2"/>
  <c r="BA61" i="2"/>
  <c r="AZ63" i="2"/>
  <c r="AZ107" i="2" s="1"/>
  <c r="AY108" i="2" s="1"/>
  <c r="AZ106" i="2" s="1"/>
  <c r="AX109" i="2"/>
  <c r="AX48" i="2" s="1"/>
  <c r="R69" i="2"/>
  <c r="R70" i="2" s="1"/>
  <c r="R40" i="2" s="1"/>
  <c r="R44" i="2" s="1"/>
  <c r="BA33" i="2"/>
  <c r="AB69" i="11" l="1"/>
  <c r="AB70" i="11" s="1"/>
  <c r="AB40" i="11" s="1"/>
  <c r="Z70" i="12"/>
  <c r="AA82" i="12" s="1"/>
  <c r="AA83" i="12" s="1"/>
  <c r="AA84" i="12" s="1"/>
  <c r="AB86" i="11"/>
  <c r="AB87" i="11" s="1"/>
  <c r="AA67" i="12"/>
  <c r="AA85" i="12"/>
  <c r="AA47" i="12"/>
  <c r="AA75" i="12"/>
  <c r="AA45" i="11"/>
  <c r="AA46" i="11" s="1"/>
  <c r="AA51" i="11" s="1"/>
  <c r="AC82" i="11"/>
  <c r="AC83" i="11" s="1"/>
  <c r="AC84" i="11" s="1"/>
  <c r="AB44" i="11"/>
  <c r="AC74" i="11"/>
  <c r="T67" i="2"/>
  <c r="T85" i="2"/>
  <c r="T75" i="2"/>
  <c r="T76" i="2" s="1"/>
  <c r="T77" i="2" s="1"/>
  <c r="T68" i="2" s="1"/>
  <c r="AH66" i="2"/>
  <c r="T43" i="2"/>
  <c r="T47" i="2" s="1"/>
  <c r="AI137" i="2"/>
  <c r="AI138" i="2" s="1"/>
  <c r="BB80" i="2"/>
  <c r="BB33" i="2"/>
  <c r="BB61" i="2"/>
  <c r="BA63" i="2"/>
  <c r="BA107" i="2" s="1"/>
  <c r="AZ108" i="2" s="1"/>
  <c r="BA106" i="2" s="1"/>
  <c r="AY109" i="2"/>
  <c r="AY48" i="2" s="1"/>
  <c r="S82" i="2"/>
  <c r="S83" i="2" s="1"/>
  <c r="S84" i="2" s="1"/>
  <c r="R45" i="2"/>
  <c r="R46" i="2" s="1"/>
  <c r="Z40" i="12" l="1"/>
  <c r="Z44" i="12" s="1"/>
  <c r="Z45" i="12" s="1"/>
  <c r="Z46" i="12" s="1"/>
  <c r="Z51" i="12" s="1"/>
  <c r="AA86" i="12"/>
  <c r="AA87" i="12" s="1"/>
  <c r="BC80" i="2"/>
  <c r="AB73" i="12"/>
  <c r="AA76" i="12"/>
  <c r="AA77" i="12" s="1"/>
  <c r="AA68" i="12" s="1"/>
  <c r="AA69" i="12" s="1"/>
  <c r="AA70" i="12" s="1"/>
  <c r="AC85" i="11"/>
  <c r="AC86" i="11" s="1"/>
  <c r="AC87" i="11" s="1"/>
  <c r="AC67" i="11"/>
  <c r="AC47" i="11"/>
  <c r="AB45" i="11"/>
  <c r="AB46" i="11" s="1"/>
  <c r="AB51" i="11" s="1"/>
  <c r="AC75" i="11"/>
  <c r="U73" i="2"/>
  <c r="S86" i="2"/>
  <c r="S87" i="2" s="1"/>
  <c r="S41" i="2" s="1"/>
  <c r="AI66" i="2"/>
  <c r="AJ135" i="2"/>
  <c r="BC61" i="2"/>
  <c r="BB63" i="2"/>
  <c r="BB107" i="2" s="1"/>
  <c r="BA108" i="2" s="1"/>
  <c r="BB106" i="2" s="1"/>
  <c r="S69" i="2"/>
  <c r="S70" i="2" s="1"/>
  <c r="S40" i="2" s="1"/>
  <c r="R51" i="2"/>
  <c r="BC33" i="2"/>
  <c r="AZ109" i="2"/>
  <c r="AZ48" i="2" s="1"/>
  <c r="S44" i="2" l="1"/>
  <c r="AB82" i="12"/>
  <c r="AB83" i="12" s="1"/>
  <c r="AB84" i="12" s="1"/>
  <c r="AA40" i="12"/>
  <c r="AA44" i="12" s="1"/>
  <c r="AB74" i="12"/>
  <c r="AB75" i="12" s="1"/>
  <c r="AC76" i="11"/>
  <c r="AC77" i="11" s="1"/>
  <c r="AC68" i="11" s="1"/>
  <c r="AC69" i="11" s="1"/>
  <c r="AC70" i="11" s="1"/>
  <c r="AC40" i="11" s="1"/>
  <c r="AD73" i="11"/>
  <c r="U74" i="2"/>
  <c r="U67" i="2" s="1"/>
  <c r="AJ137" i="2"/>
  <c r="AJ138" i="2" s="1"/>
  <c r="BD80" i="2"/>
  <c r="T82" i="2"/>
  <c r="T83" i="2" s="1"/>
  <c r="T84" i="2" s="1"/>
  <c r="BD33" i="2"/>
  <c r="BD61" i="2"/>
  <c r="BC63" i="2"/>
  <c r="BC107" i="2" s="1"/>
  <c r="BB108" i="2" s="1"/>
  <c r="BC106" i="2" s="1"/>
  <c r="BA109" i="2"/>
  <c r="BA48" i="2" s="1"/>
  <c r="BE80" i="2" l="1"/>
  <c r="AB76" i="12"/>
  <c r="AB77" i="12" s="1"/>
  <c r="AB68" i="12" s="1"/>
  <c r="AC73" i="12"/>
  <c r="AB85" i="12"/>
  <c r="AB86" i="12" s="1"/>
  <c r="AB87" i="12" s="1"/>
  <c r="AB67" i="12"/>
  <c r="AB47" i="12"/>
  <c r="AA45" i="12"/>
  <c r="AA46" i="12" s="1"/>
  <c r="AA51" i="12" s="1"/>
  <c r="AD82" i="11"/>
  <c r="AD83" i="11" s="1"/>
  <c r="AD84" i="11" s="1"/>
  <c r="AC44" i="11"/>
  <c r="AD74" i="11"/>
  <c r="U43" i="2"/>
  <c r="U47" i="2" s="1"/>
  <c r="U85" i="2"/>
  <c r="U75" i="2"/>
  <c r="U76" i="2" s="1"/>
  <c r="U77" i="2" s="1"/>
  <c r="U68" i="2" s="1"/>
  <c r="T86" i="2"/>
  <c r="T87" i="2" s="1"/>
  <c r="T41" i="2" s="1"/>
  <c r="AJ66" i="2"/>
  <c r="AK135" i="2"/>
  <c r="BB109" i="2"/>
  <c r="BB48" i="2" s="1"/>
  <c r="BE61" i="2"/>
  <c r="BD63" i="2"/>
  <c r="BD107" i="2" s="1"/>
  <c r="BC108" i="2" s="1"/>
  <c r="BD106" i="2" s="1"/>
  <c r="BE33" i="2"/>
  <c r="S45" i="2"/>
  <c r="S46" i="2" s="1"/>
  <c r="T69" i="2"/>
  <c r="T70" i="2" s="1"/>
  <c r="T40" i="2" s="1"/>
  <c r="T44" i="2" l="1"/>
  <c r="AB69" i="12"/>
  <c r="AC74" i="12"/>
  <c r="AC75" i="12" s="1"/>
  <c r="AD85" i="11"/>
  <c r="AD86" i="11" s="1"/>
  <c r="AD87" i="11" s="1"/>
  <c r="AD67" i="11"/>
  <c r="AD47" i="11"/>
  <c r="AD75" i="11"/>
  <c r="AC45" i="11"/>
  <c r="AC46" i="11" s="1"/>
  <c r="AC51" i="11" s="1"/>
  <c r="V73" i="2"/>
  <c r="V74" i="2" s="1"/>
  <c r="V43" i="2" s="1"/>
  <c r="V47" i="2" s="1"/>
  <c r="AK137" i="2"/>
  <c r="AK138" i="2" s="1"/>
  <c r="BF80" i="2"/>
  <c r="S51" i="2"/>
  <c r="BF33" i="2"/>
  <c r="BC109" i="2"/>
  <c r="BC48" i="2" s="1"/>
  <c r="U82" i="2"/>
  <c r="U83" i="2" s="1"/>
  <c r="U84" i="2" s="1"/>
  <c r="BF61" i="2"/>
  <c r="BE63" i="2"/>
  <c r="BE107" i="2" s="1"/>
  <c r="BD108" i="2" s="1"/>
  <c r="BE106" i="2" s="1"/>
  <c r="AB70" i="12" l="1"/>
  <c r="AC82" i="12" s="1"/>
  <c r="AC83" i="12" s="1"/>
  <c r="AC84" i="12" s="1"/>
  <c r="BG80" i="2"/>
  <c r="AC76" i="12"/>
  <c r="AC77" i="12" s="1"/>
  <c r="AC68" i="12" s="1"/>
  <c r="AD73" i="12"/>
  <c r="AC85" i="12"/>
  <c r="AC67" i="12"/>
  <c r="AC47" i="12"/>
  <c r="AE73" i="11"/>
  <c r="AD76" i="11"/>
  <c r="AD77" i="11" s="1"/>
  <c r="AD68" i="11" s="1"/>
  <c r="AD69" i="11" s="1"/>
  <c r="AD70" i="11" s="1"/>
  <c r="AD40" i="11" s="1"/>
  <c r="V85" i="2"/>
  <c r="V75" i="2"/>
  <c r="V76" i="2" s="1"/>
  <c r="V77" i="2" s="1"/>
  <c r="V68" i="2" s="1"/>
  <c r="V67" i="2"/>
  <c r="U86" i="2"/>
  <c r="U87" i="2" s="1"/>
  <c r="U41" i="2" s="1"/>
  <c r="AK66" i="2"/>
  <c r="AL135" i="2"/>
  <c r="BG33" i="2"/>
  <c r="BG61" i="2"/>
  <c r="BF63" i="2"/>
  <c r="BF107" i="2" s="1"/>
  <c r="BE108" i="2" s="1"/>
  <c r="BF106" i="2" s="1"/>
  <c r="BD109" i="2"/>
  <c r="BD48" i="2" s="1"/>
  <c r="U69" i="2"/>
  <c r="U70" i="2" s="1"/>
  <c r="U40" i="2" s="1"/>
  <c r="T45" i="2"/>
  <c r="T46" i="2" s="1"/>
  <c r="W73" i="2" l="1"/>
  <c r="W74" i="2" s="1"/>
  <c r="AC86" i="12"/>
  <c r="AC87" i="12" s="1"/>
  <c r="AB40" i="12"/>
  <c r="AB44" i="12" s="1"/>
  <c r="AB45" i="12" s="1"/>
  <c r="AB46" i="12" s="1"/>
  <c r="AB51" i="12" s="1"/>
  <c r="U44" i="2"/>
  <c r="U45" i="2" s="1"/>
  <c r="U46" i="2" s="1"/>
  <c r="U51" i="2" s="1"/>
  <c r="AC69" i="12"/>
  <c r="AD74" i="12"/>
  <c r="AE82" i="11"/>
  <c r="AE83" i="11" s="1"/>
  <c r="AE84" i="11" s="1"/>
  <c r="AD44" i="11"/>
  <c r="AE74" i="11"/>
  <c r="W75" i="2"/>
  <c r="X73" i="2" s="1"/>
  <c r="X74" i="2" s="1"/>
  <c r="W85" i="2"/>
  <c r="AL137" i="2"/>
  <c r="AL138" i="2" s="1"/>
  <c r="BH80" i="2"/>
  <c r="W43" i="2"/>
  <c r="W47" i="2" s="1"/>
  <c r="W67" i="2"/>
  <c r="T51" i="2"/>
  <c r="V82" i="2"/>
  <c r="V83" i="2" s="1"/>
  <c r="V84" i="2" s="1"/>
  <c r="BH61" i="2"/>
  <c r="BG63" i="2"/>
  <c r="BG107" i="2" s="1"/>
  <c r="BF108" i="2" s="1"/>
  <c r="BG106" i="2" s="1"/>
  <c r="BH33" i="2"/>
  <c r="BE109" i="2"/>
  <c r="BE48" i="2" s="1"/>
  <c r="AC70" i="12" l="1"/>
  <c r="AD82" i="12" s="1"/>
  <c r="AD83" i="12" s="1"/>
  <c r="AD84" i="12" s="1"/>
  <c r="BI80" i="2"/>
  <c r="AD85" i="12"/>
  <c r="AD67" i="12"/>
  <c r="AD47" i="12"/>
  <c r="AD75" i="12"/>
  <c r="AE85" i="11"/>
  <c r="AE86" i="11" s="1"/>
  <c r="AE87" i="11" s="1"/>
  <c r="AE67" i="11"/>
  <c r="AE47" i="11"/>
  <c r="AE75" i="11"/>
  <c r="AD45" i="11"/>
  <c r="AD46" i="11" s="1"/>
  <c r="AD51" i="11" s="1"/>
  <c r="W76" i="2"/>
  <c r="W77" i="2" s="1"/>
  <c r="W68" i="2" s="1"/>
  <c r="V86" i="2"/>
  <c r="V87" i="2" s="1"/>
  <c r="V41" i="2" s="1"/>
  <c r="AL66" i="2"/>
  <c r="AM135" i="2"/>
  <c r="BF109" i="2"/>
  <c r="BF48" i="2" s="1"/>
  <c r="BI61" i="2"/>
  <c r="BH63" i="2"/>
  <c r="BH107" i="2" s="1"/>
  <c r="BG108" i="2" s="1"/>
  <c r="BH106" i="2" s="1"/>
  <c r="V69" i="2"/>
  <c r="V70" i="2" s="1"/>
  <c r="V40" i="2" s="1"/>
  <c r="BI33" i="2"/>
  <c r="AC40" i="12" l="1"/>
  <c r="AC44" i="12" s="1"/>
  <c r="AC45" i="12" s="1"/>
  <c r="AC46" i="12" s="1"/>
  <c r="AC51" i="12" s="1"/>
  <c r="AD86" i="12"/>
  <c r="AD87" i="12" s="1"/>
  <c r="V44" i="2"/>
  <c r="V45" i="2" s="1"/>
  <c r="V46" i="2" s="1"/>
  <c r="V51" i="2" s="1"/>
  <c r="AD76" i="12"/>
  <c r="AD77" i="12" s="1"/>
  <c r="AD68" i="12" s="1"/>
  <c r="AD69" i="12" s="1"/>
  <c r="AD70" i="12" s="1"/>
  <c r="AE73" i="12"/>
  <c r="AE76" i="11"/>
  <c r="AE77" i="11" s="1"/>
  <c r="AE68" i="11" s="1"/>
  <c r="AE69" i="11" s="1"/>
  <c r="AE70" i="11" s="1"/>
  <c r="AE40" i="11" s="1"/>
  <c r="AF73" i="11"/>
  <c r="X75" i="2"/>
  <c r="X76" i="2" s="1"/>
  <c r="X77" i="2" s="1"/>
  <c r="X68" i="2" s="1"/>
  <c r="X85" i="2"/>
  <c r="AM137" i="2"/>
  <c r="AM138" i="2" s="1"/>
  <c r="BJ80" i="2"/>
  <c r="X43" i="2"/>
  <c r="X47" i="2" s="1"/>
  <c r="X67" i="2"/>
  <c r="BJ33" i="2"/>
  <c r="W82" i="2"/>
  <c r="W83" i="2" s="1"/>
  <c r="W84" i="2" s="1"/>
  <c r="BJ61" i="2"/>
  <c r="BI63" i="2"/>
  <c r="BI107" i="2" s="1"/>
  <c r="BH108" i="2" s="1"/>
  <c r="BI106" i="2" s="1"/>
  <c r="BG109" i="2"/>
  <c r="BG48" i="2" s="1"/>
  <c r="BK80" i="2" l="1"/>
  <c r="AE82" i="12"/>
  <c r="AE83" i="12" s="1"/>
  <c r="AE84" i="12" s="1"/>
  <c r="AD40" i="12"/>
  <c r="AD44" i="12" s="1"/>
  <c r="AE74" i="12"/>
  <c r="AE75" i="12" s="1"/>
  <c r="AF82" i="11"/>
  <c r="AF83" i="11" s="1"/>
  <c r="AF84" i="11" s="1"/>
  <c r="AE44" i="11"/>
  <c r="AF74" i="11"/>
  <c r="Y73" i="2"/>
  <c r="Y74" i="2" s="1"/>
  <c r="W86" i="2"/>
  <c r="W87" i="2" s="1"/>
  <c r="W41" i="2" s="1"/>
  <c r="AM66" i="2"/>
  <c r="AN135" i="2"/>
  <c r="W69" i="2"/>
  <c r="W70" i="2" s="1"/>
  <c r="W40" i="2" s="1"/>
  <c r="BK33" i="2"/>
  <c r="BK61" i="2"/>
  <c r="BJ63" i="2"/>
  <c r="BJ107" i="2" s="1"/>
  <c r="BI108" i="2" s="1"/>
  <c r="BJ106" i="2" s="1"/>
  <c r="BH109" i="2"/>
  <c r="BH48" i="2" s="1"/>
  <c r="W44" i="2" l="1"/>
  <c r="AE76" i="12"/>
  <c r="AE77" i="12" s="1"/>
  <c r="AE68" i="12" s="1"/>
  <c r="AF73" i="12"/>
  <c r="AE85" i="12"/>
  <c r="AE86" i="12" s="1"/>
  <c r="AE87" i="12" s="1"/>
  <c r="AE67" i="12"/>
  <c r="AE47" i="12"/>
  <c r="AD45" i="12"/>
  <c r="AD46" i="12" s="1"/>
  <c r="AD51" i="12" s="1"/>
  <c r="AF67" i="11"/>
  <c r="AF85" i="11"/>
  <c r="AF86" i="11" s="1"/>
  <c r="AF87" i="11" s="1"/>
  <c r="AF47" i="11"/>
  <c r="AE45" i="11"/>
  <c r="AE46" i="11" s="1"/>
  <c r="AE51" i="11" s="1"/>
  <c r="AF75" i="11"/>
  <c r="Y75" i="2"/>
  <c r="Y76" i="2" s="1"/>
  <c r="Y77" i="2" s="1"/>
  <c r="Y68" i="2" s="1"/>
  <c r="Y85" i="2"/>
  <c r="AN137" i="2"/>
  <c r="AN138" i="2" s="1"/>
  <c r="BL80" i="2"/>
  <c r="Y67" i="2"/>
  <c r="Y43" i="2"/>
  <c r="Y47" i="2" s="1"/>
  <c r="BI109" i="2"/>
  <c r="BI48" i="2" s="1"/>
  <c r="BL33" i="2"/>
  <c r="BL61" i="2"/>
  <c r="BK63" i="2"/>
  <c r="BK107" i="2" s="1"/>
  <c r="BJ108" i="2" s="1"/>
  <c r="BK106" i="2" s="1"/>
  <c r="X82" i="2"/>
  <c r="X83" i="2" s="1"/>
  <c r="X84" i="2" s="1"/>
  <c r="AE69" i="12" l="1"/>
  <c r="AF74" i="12"/>
  <c r="AF76" i="11"/>
  <c r="AF77" i="11" s="1"/>
  <c r="AF68" i="11" s="1"/>
  <c r="AF69" i="11" s="1"/>
  <c r="AF70" i="11" s="1"/>
  <c r="AF40" i="11" s="1"/>
  <c r="AG73" i="11"/>
  <c r="Z73" i="2"/>
  <c r="Z74" i="2" s="1"/>
  <c r="X86" i="2"/>
  <c r="X87" i="2" s="1"/>
  <c r="X41" i="2" s="1"/>
  <c r="AN66" i="2"/>
  <c r="AO135" i="2"/>
  <c r="BM80" i="2"/>
  <c r="BJ109" i="2"/>
  <c r="BJ48" i="2" s="1"/>
  <c r="X69" i="2"/>
  <c r="X70" i="2" s="1"/>
  <c r="X40" i="2" s="1"/>
  <c r="W45" i="2"/>
  <c r="W46" i="2" s="1"/>
  <c r="W51" i="2" s="1"/>
  <c r="BM61" i="2"/>
  <c r="BL63" i="2"/>
  <c r="BL107" i="2" s="1"/>
  <c r="BK108" i="2" s="1"/>
  <c r="BL106" i="2" s="1"/>
  <c r="BM33" i="2"/>
  <c r="AE70" i="12" l="1"/>
  <c r="AF82" i="12" s="1"/>
  <c r="AF83" i="12" s="1"/>
  <c r="AF84" i="12" s="1"/>
  <c r="X44" i="2"/>
  <c r="AF85" i="12"/>
  <c r="AF67" i="12"/>
  <c r="AF47" i="12"/>
  <c r="AF75" i="12"/>
  <c r="AG82" i="11"/>
  <c r="AG83" i="11" s="1"/>
  <c r="AG84" i="11" s="1"/>
  <c r="AF44" i="11"/>
  <c r="AG74" i="11"/>
  <c r="AG75" i="11" s="1"/>
  <c r="Z75" i="2"/>
  <c r="AA73" i="2" s="1"/>
  <c r="AA74" i="2" s="1"/>
  <c r="Z85" i="2"/>
  <c r="AO137" i="2"/>
  <c r="AO138" i="2" s="1"/>
  <c r="BN80" i="2"/>
  <c r="Z43" i="2"/>
  <c r="Z47" i="2" s="1"/>
  <c r="Z67" i="2"/>
  <c r="BK109" i="2"/>
  <c r="BK48" i="2" s="1"/>
  <c r="Y82" i="2"/>
  <c r="Y83" i="2" s="1"/>
  <c r="Y84" i="2" s="1"/>
  <c r="BN33" i="2"/>
  <c r="BN61" i="2"/>
  <c r="BM63" i="2"/>
  <c r="BM107" i="2" s="1"/>
  <c r="BL108" i="2" s="1"/>
  <c r="BM106" i="2" s="1"/>
  <c r="AF86" i="12" l="1"/>
  <c r="AF87" i="12" s="1"/>
  <c r="AE40" i="12"/>
  <c r="AE44" i="12" s="1"/>
  <c r="AE45" i="12" s="1"/>
  <c r="AE46" i="12" s="1"/>
  <c r="AE51" i="12" s="1"/>
  <c r="AF76" i="12"/>
  <c r="AF77" i="12" s="1"/>
  <c r="AF68" i="12" s="1"/>
  <c r="AF69" i="12" s="1"/>
  <c r="AF70" i="12" s="1"/>
  <c r="AG73" i="12"/>
  <c r="AG85" i="11"/>
  <c r="AG86" i="11" s="1"/>
  <c r="AG87" i="11" s="1"/>
  <c r="AG67" i="11"/>
  <c r="AG47" i="11"/>
  <c r="AF45" i="11"/>
  <c r="AF46" i="11" s="1"/>
  <c r="AF51" i="11" s="1"/>
  <c r="AG76" i="11"/>
  <c r="AG77" i="11" s="1"/>
  <c r="AG68" i="11" s="1"/>
  <c r="AH73" i="11"/>
  <c r="Z76" i="2"/>
  <c r="Z77" i="2" s="1"/>
  <c r="Z68" i="2" s="1"/>
  <c r="Y86" i="2"/>
  <c r="Y87" i="2" s="1"/>
  <c r="Y41" i="2" s="1"/>
  <c r="AO66" i="2"/>
  <c r="AP135" i="2"/>
  <c r="BO80" i="2"/>
  <c r="X45" i="2"/>
  <c r="X46" i="2" s="1"/>
  <c r="X51" i="2" s="1"/>
  <c r="Y69" i="2"/>
  <c r="Y70" i="2" s="1"/>
  <c r="Y40" i="2" s="1"/>
  <c r="BO33" i="2"/>
  <c r="BO61" i="2"/>
  <c r="BN63" i="2"/>
  <c r="BN107" i="2" s="1"/>
  <c r="BM108" i="2" s="1"/>
  <c r="BN106" i="2" s="1"/>
  <c r="BL109" i="2"/>
  <c r="BL48" i="2" s="1"/>
  <c r="Y44" i="2" l="1"/>
  <c r="Y45" i="2" s="1"/>
  <c r="Y46" i="2" s="1"/>
  <c r="Y51" i="2" s="1"/>
  <c r="AG82" i="12"/>
  <c r="AG83" i="12" s="1"/>
  <c r="AG84" i="12" s="1"/>
  <c r="AF40" i="12"/>
  <c r="AF44" i="12" s="1"/>
  <c r="AG74" i="12"/>
  <c r="AH74" i="11"/>
  <c r="AH75" i="11" s="1"/>
  <c r="AG69" i="11"/>
  <c r="AG70" i="11" s="1"/>
  <c r="AG40" i="11" s="1"/>
  <c r="AA75" i="2"/>
  <c r="AB73" i="2" s="1"/>
  <c r="AB74" i="2" s="1"/>
  <c r="AA85" i="2"/>
  <c r="AP137" i="2"/>
  <c r="AP138" i="2" s="1"/>
  <c r="BP80" i="2"/>
  <c r="AA43" i="2"/>
  <c r="AA47" i="2" s="1"/>
  <c r="AA67" i="2"/>
  <c r="BP61" i="2"/>
  <c r="BO63" i="2"/>
  <c r="BO107" i="2" s="1"/>
  <c r="BN108" i="2" s="1"/>
  <c r="BO106" i="2" s="1"/>
  <c r="Z82" i="2"/>
  <c r="Z83" i="2" s="1"/>
  <c r="Z84" i="2" s="1"/>
  <c r="BM109" i="2"/>
  <c r="BM48" i="2" s="1"/>
  <c r="BP33" i="2"/>
  <c r="BQ80" i="2" l="1"/>
  <c r="AG85" i="12"/>
  <c r="AG86" i="12" s="1"/>
  <c r="AG87" i="12" s="1"/>
  <c r="AG67" i="12"/>
  <c r="AG47" i="12"/>
  <c r="AF45" i="12"/>
  <c r="AF46" i="12" s="1"/>
  <c r="AF51" i="12" s="1"/>
  <c r="AG75" i="12"/>
  <c r="AH82" i="11"/>
  <c r="AH83" i="11" s="1"/>
  <c r="AH84" i="11" s="1"/>
  <c r="AG44" i="11"/>
  <c r="AI73" i="11"/>
  <c r="AH76" i="11"/>
  <c r="AH77" i="11" s="1"/>
  <c r="AH68" i="11" s="1"/>
  <c r="AH85" i="11"/>
  <c r="AH47" i="11"/>
  <c r="AH67" i="11"/>
  <c r="AA76" i="2"/>
  <c r="AA77" i="2" s="1"/>
  <c r="AA68" i="2" s="1"/>
  <c r="Z86" i="2"/>
  <c r="Z87" i="2" s="1"/>
  <c r="Z41" i="2" s="1"/>
  <c r="AP66" i="2"/>
  <c r="AQ135" i="2"/>
  <c r="BQ61" i="2"/>
  <c r="BP63" i="2"/>
  <c r="BP107" i="2" s="1"/>
  <c r="BO108" i="2" s="1"/>
  <c r="BP106" i="2" s="1"/>
  <c r="Z69" i="2"/>
  <c r="Z70" i="2" s="1"/>
  <c r="Z40" i="2" s="1"/>
  <c r="BQ33" i="2"/>
  <c r="BN109" i="2"/>
  <c r="BN48" i="2" s="1"/>
  <c r="BR80" i="2" l="1"/>
  <c r="Z44" i="2"/>
  <c r="AH69" i="11"/>
  <c r="AH70" i="11" s="1"/>
  <c r="AH40" i="11" s="1"/>
  <c r="AG76" i="12"/>
  <c r="AG77" i="12" s="1"/>
  <c r="AG68" i="12" s="1"/>
  <c r="AG69" i="12" s="1"/>
  <c r="AG70" i="12" s="1"/>
  <c r="AH73" i="12"/>
  <c r="AI74" i="11"/>
  <c r="AG45" i="11"/>
  <c r="AG46" i="11" s="1"/>
  <c r="AG51" i="11" s="1"/>
  <c r="AH86" i="11"/>
  <c r="AH87" i="11" s="1"/>
  <c r="AB75" i="2"/>
  <c r="AC73" i="2" s="1"/>
  <c r="AC74" i="2" s="1"/>
  <c r="AB85" i="2"/>
  <c r="AQ137" i="2"/>
  <c r="AQ138" i="2" s="1"/>
  <c r="AB67" i="2"/>
  <c r="AB43" i="2"/>
  <c r="AB47" i="2" s="1"/>
  <c r="AA82" i="2"/>
  <c r="AA83" i="2" s="1"/>
  <c r="AA84" i="2" s="1"/>
  <c r="BR61" i="2"/>
  <c r="BQ63" i="2"/>
  <c r="BQ107" i="2" s="1"/>
  <c r="BP108" i="2" s="1"/>
  <c r="BQ106" i="2" s="1"/>
  <c r="BS33" i="2"/>
  <c r="BR33" i="2"/>
  <c r="BO109" i="2"/>
  <c r="BO48" i="2" s="1"/>
  <c r="BS80" i="2" l="1"/>
  <c r="AI82" i="11"/>
  <c r="AI83" i="11" s="1"/>
  <c r="AI84" i="11" s="1"/>
  <c r="AH82" i="12"/>
  <c r="AH83" i="12" s="1"/>
  <c r="AH84" i="12" s="1"/>
  <c r="AG40" i="12"/>
  <c r="AG44" i="12" s="1"/>
  <c r="AH74" i="12"/>
  <c r="AH44" i="11"/>
  <c r="AI85" i="11"/>
  <c r="AI67" i="11"/>
  <c r="AI47" i="11"/>
  <c r="AI75" i="11"/>
  <c r="AB76" i="2"/>
  <c r="AB77" i="2" s="1"/>
  <c r="AB68" i="2" s="1"/>
  <c r="AA86" i="2"/>
  <c r="AA87" i="2" s="1"/>
  <c r="AA41" i="2" s="1"/>
  <c r="AQ66" i="2"/>
  <c r="AR135" i="2"/>
  <c r="BP109" i="2"/>
  <c r="BP48" i="2" s="1"/>
  <c r="AA69" i="2"/>
  <c r="AA70" i="2" s="1"/>
  <c r="AA40" i="2" s="1"/>
  <c r="BS61" i="2"/>
  <c r="BS63" i="2" s="1"/>
  <c r="BS107" i="2" s="1"/>
  <c r="BR108" i="2" s="1"/>
  <c r="BS106" i="2" s="1"/>
  <c r="BS109" i="2" s="1"/>
  <c r="BS48" i="2" s="1"/>
  <c r="BR63" i="2"/>
  <c r="BR107" i="2" s="1"/>
  <c r="BQ108" i="2" s="1"/>
  <c r="BR106" i="2" s="1"/>
  <c r="Z45" i="2"/>
  <c r="Z46" i="2" s="1"/>
  <c r="Z51" i="2" s="1"/>
  <c r="AA44" i="2" l="1"/>
  <c r="AA45" i="2" s="1"/>
  <c r="AA46" i="2" s="1"/>
  <c r="AA51" i="2" s="1"/>
  <c r="AI86" i="11"/>
  <c r="AI87" i="11" s="1"/>
  <c r="AH85" i="12"/>
  <c r="AH86" i="12" s="1"/>
  <c r="AH87" i="12" s="1"/>
  <c r="AH67" i="12"/>
  <c r="AH47" i="12"/>
  <c r="AG45" i="12"/>
  <c r="AG46" i="12" s="1"/>
  <c r="AG51" i="12" s="1"/>
  <c r="AH75" i="12"/>
  <c r="AH45" i="11"/>
  <c r="AH46" i="11" s="1"/>
  <c r="AH51" i="11" s="1"/>
  <c r="AI76" i="11"/>
  <c r="AI77" i="11" s="1"/>
  <c r="AI68" i="11" s="1"/>
  <c r="AI69" i="11" s="1"/>
  <c r="AI70" i="11" s="1"/>
  <c r="AI40" i="11" s="1"/>
  <c r="AJ73" i="11"/>
  <c r="AC75" i="2"/>
  <c r="AD73" i="2" s="1"/>
  <c r="AD74" i="2" s="1"/>
  <c r="AC85" i="2"/>
  <c r="AR137" i="2"/>
  <c r="AR138" i="2" s="1"/>
  <c r="BR109" i="2"/>
  <c r="BR48" i="2" s="1"/>
  <c r="AC43" i="2"/>
  <c r="AC47" i="2" s="1"/>
  <c r="AC67" i="2"/>
  <c r="BQ109" i="2"/>
  <c r="BQ48" i="2" s="1"/>
  <c r="AB82" i="2"/>
  <c r="AB83" i="2" s="1"/>
  <c r="AB84" i="2" s="1"/>
  <c r="AI73" i="12" l="1"/>
  <c r="AH76" i="12"/>
  <c r="AH77" i="12" s="1"/>
  <c r="AH68" i="12" s="1"/>
  <c r="AH69" i="12" s="1"/>
  <c r="AH70" i="12" s="1"/>
  <c r="AJ82" i="11"/>
  <c r="AJ83" i="11" s="1"/>
  <c r="AJ84" i="11" s="1"/>
  <c r="AI44" i="11"/>
  <c r="AJ74" i="11"/>
  <c r="AC76" i="2"/>
  <c r="AC77" i="2" s="1"/>
  <c r="AC68" i="2" s="1"/>
  <c r="AB86" i="2"/>
  <c r="AB87" i="2" s="1"/>
  <c r="AB41" i="2" s="1"/>
  <c r="AR66" i="2"/>
  <c r="BT48" i="2"/>
  <c r="AS135" i="2"/>
  <c r="AB69" i="2"/>
  <c r="AB70" i="2" s="1"/>
  <c r="AB40" i="2" s="1"/>
  <c r="AB44" i="2" l="1"/>
  <c r="AB45" i="2" s="1"/>
  <c r="AB46" i="2" s="1"/>
  <c r="AB51" i="2" s="1"/>
  <c r="AI82" i="12"/>
  <c r="AI83" i="12" s="1"/>
  <c r="AI84" i="12" s="1"/>
  <c r="AH40" i="12"/>
  <c r="AH44" i="12" s="1"/>
  <c r="AI74" i="12"/>
  <c r="AI75" i="12" s="1"/>
  <c r="AJ85" i="11"/>
  <c r="AJ86" i="11" s="1"/>
  <c r="AJ87" i="11" s="1"/>
  <c r="AJ67" i="11"/>
  <c r="AJ47" i="11"/>
  <c r="AJ75" i="11"/>
  <c r="AI45" i="11"/>
  <c r="AI46" i="11" s="1"/>
  <c r="AI51" i="11" s="1"/>
  <c r="AD75" i="2"/>
  <c r="AE73" i="2" s="1"/>
  <c r="AE74" i="2" s="1"/>
  <c r="AD85" i="2"/>
  <c r="AS137" i="2"/>
  <c r="AS138" i="2" s="1"/>
  <c r="AD67" i="2"/>
  <c r="AD43" i="2"/>
  <c r="AD47" i="2" s="1"/>
  <c r="AC82" i="2"/>
  <c r="AC83" i="2" s="1"/>
  <c r="AC84" i="2" s="1"/>
  <c r="AI76" i="12" l="1"/>
  <c r="AI77" i="12" s="1"/>
  <c r="AI68" i="12" s="1"/>
  <c r="AJ73" i="12"/>
  <c r="AI85" i="12"/>
  <c r="AI86" i="12" s="1"/>
  <c r="AI87" i="12" s="1"/>
  <c r="AI67" i="12"/>
  <c r="AI47" i="12"/>
  <c r="AH45" i="12"/>
  <c r="AH46" i="12" s="1"/>
  <c r="AH51" i="12" s="1"/>
  <c r="AJ76" i="11"/>
  <c r="AJ77" i="11" s="1"/>
  <c r="AJ68" i="11" s="1"/>
  <c r="AJ69" i="11" s="1"/>
  <c r="AJ70" i="11" s="1"/>
  <c r="AJ40" i="11" s="1"/>
  <c r="AK73" i="11"/>
  <c r="AD76" i="2"/>
  <c r="AD77" i="2" s="1"/>
  <c r="AD68" i="2" s="1"/>
  <c r="AC86" i="2"/>
  <c r="AC87" i="2" s="1"/>
  <c r="AC41" i="2" s="1"/>
  <c r="AS66" i="2"/>
  <c r="AT135" i="2"/>
  <c r="AC69" i="2"/>
  <c r="AC70" i="2" s="1"/>
  <c r="AC40" i="2" s="1"/>
  <c r="AC44" i="2" s="1"/>
  <c r="AI69" i="12" l="1"/>
  <c r="AJ74" i="12"/>
  <c r="AJ75" i="12" s="1"/>
  <c r="AK82" i="11"/>
  <c r="AK83" i="11" s="1"/>
  <c r="AK84" i="11" s="1"/>
  <c r="AJ44" i="11"/>
  <c r="AK74" i="11"/>
  <c r="AK75" i="11" s="1"/>
  <c r="AE75" i="2"/>
  <c r="AE76" i="2" s="1"/>
  <c r="AE77" i="2" s="1"/>
  <c r="AE68" i="2" s="1"/>
  <c r="AE85" i="2"/>
  <c r="AT137" i="2"/>
  <c r="AT138" i="2" s="1"/>
  <c r="AE67" i="2"/>
  <c r="AE43" i="2"/>
  <c r="AE47" i="2" s="1"/>
  <c r="AD82" i="2"/>
  <c r="AD83" i="2" s="1"/>
  <c r="AD84" i="2" s="1"/>
  <c r="AC45" i="2"/>
  <c r="AC46" i="2" s="1"/>
  <c r="AC51" i="2" s="1"/>
  <c r="AI70" i="12" l="1"/>
  <c r="AI40" i="12" s="1"/>
  <c r="AI44" i="12" s="1"/>
  <c r="AI45" i="12" s="1"/>
  <c r="AI46" i="12" s="1"/>
  <c r="AI51" i="12" s="1"/>
  <c r="AJ82" i="12"/>
  <c r="AJ83" i="12" s="1"/>
  <c r="AJ84" i="12" s="1"/>
  <c r="AK73" i="12"/>
  <c r="AJ76" i="12"/>
  <c r="AJ77" i="12" s="1"/>
  <c r="AJ68" i="12" s="1"/>
  <c r="AJ85" i="12"/>
  <c r="AJ67" i="12"/>
  <c r="AJ47" i="12"/>
  <c r="AK76" i="11"/>
  <c r="AK77" i="11" s="1"/>
  <c r="AK68" i="11" s="1"/>
  <c r="AL73" i="11"/>
  <c r="AJ45" i="11"/>
  <c r="AJ46" i="11" s="1"/>
  <c r="AJ51" i="11" s="1"/>
  <c r="AK85" i="11"/>
  <c r="AK86" i="11" s="1"/>
  <c r="AK87" i="11" s="1"/>
  <c r="AK67" i="11"/>
  <c r="AK47" i="11"/>
  <c r="AF73" i="2"/>
  <c r="AF74" i="2" s="1"/>
  <c r="AD86" i="2"/>
  <c r="AD87" i="2" s="1"/>
  <c r="AD41" i="2" s="1"/>
  <c r="AT66" i="2"/>
  <c r="AU135" i="2"/>
  <c r="AD69" i="2"/>
  <c r="AD70" i="2" s="1"/>
  <c r="AD40" i="2" s="1"/>
  <c r="AD44" i="2" l="1"/>
  <c r="AD45" i="2" s="1"/>
  <c r="AD46" i="2" s="1"/>
  <c r="AD51" i="2" s="1"/>
  <c r="AJ69" i="12"/>
  <c r="AJ86" i="12"/>
  <c r="AJ87" i="12" s="1"/>
  <c r="AK69" i="11"/>
  <c r="AK74" i="12"/>
  <c r="AL74" i="11"/>
  <c r="AL75" i="11" s="1"/>
  <c r="AF75" i="2"/>
  <c r="AG73" i="2" s="1"/>
  <c r="AG74" i="2" s="1"/>
  <c r="AF85" i="2"/>
  <c r="AU137" i="2"/>
  <c r="AU138" i="2" s="1"/>
  <c r="AF43" i="2"/>
  <c r="AF47" i="2" s="1"/>
  <c r="AF67" i="2"/>
  <c r="AE82" i="2"/>
  <c r="AE83" i="2" s="1"/>
  <c r="AE84" i="2" s="1"/>
  <c r="AJ70" i="12" l="1"/>
  <c r="AJ40" i="12" s="1"/>
  <c r="AJ44" i="12" s="1"/>
  <c r="AJ45" i="12" s="1"/>
  <c r="AJ46" i="12" s="1"/>
  <c r="AJ51" i="12" s="1"/>
  <c r="AK70" i="11"/>
  <c r="AK40" i="11" s="1"/>
  <c r="AK44" i="11" s="1"/>
  <c r="AK45" i="11" s="1"/>
  <c r="AK46" i="11" s="1"/>
  <c r="AK51" i="11" s="1"/>
  <c r="AK85" i="12"/>
  <c r="AK67" i="12"/>
  <c r="AK47" i="12"/>
  <c r="AK75" i="12"/>
  <c r="AM73" i="11"/>
  <c r="AL76" i="11"/>
  <c r="AL77" i="11" s="1"/>
  <c r="AL68" i="11" s="1"/>
  <c r="AL85" i="11"/>
  <c r="AL67" i="11"/>
  <c r="AL47" i="11"/>
  <c r="AF76" i="2"/>
  <c r="AF77" i="2" s="1"/>
  <c r="AF68" i="2" s="1"/>
  <c r="AE86" i="2"/>
  <c r="AE87" i="2" s="1"/>
  <c r="AE41" i="2" s="1"/>
  <c r="AU66" i="2"/>
  <c r="AV135" i="2"/>
  <c r="AE69" i="2"/>
  <c r="AE70" i="2" s="1"/>
  <c r="AE40" i="2" s="1"/>
  <c r="AL82" i="11" l="1"/>
  <c r="AL83" i="11" s="1"/>
  <c r="AL84" i="11" s="1"/>
  <c r="AL86" i="11" s="1"/>
  <c r="AL87" i="11" s="1"/>
  <c r="AK82" i="12"/>
  <c r="AK83" i="12" s="1"/>
  <c r="AK84" i="12" s="1"/>
  <c r="AE44" i="2"/>
  <c r="AK86" i="12"/>
  <c r="AK87" i="12" s="1"/>
  <c r="AL69" i="11"/>
  <c r="AK76" i="12"/>
  <c r="AK77" i="12" s="1"/>
  <c r="AK68" i="12" s="1"/>
  <c r="AK69" i="12" s="1"/>
  <c r="AK70" i="12" s="1"/>
  <c r="AL73" i="12"/>
  <c r="AM74" i="11"/>
  <c r="AM75" i="11" s="1"/>
  <c r="AG75" i="2"/>
  <c r="AG76" i="2" s="1"/>
  <c r="AG77" i="2" s="1"/>
  <c r="AG68" i="2" s="1"/>
  <c r="AG85" i="2"/>
  <c r="AV137" i="2"/>
  <c r="AV138" i="2" s="1"/>
  <c r="AG43" i="2"/>
  <c r="AG47" i="2" s="1"/>
  <c r="AG67" i="2"/>
  <c r="AF82" i="2"/>
  <c r="AF83" i="2" s="1"/>
  <c r="AF84" i="2" s="1"/>
  <c r="AL70" i="11" l="1"/>
  <c r="AL40" i="11" s="1"/>
  <c r="AL44" i="11" s="1"/>
  <c r="AL45" i="11" s="1"/>
  <c r="AL46" i="11" s="1"/>
  <c r="AL51" i="11" s="1"/>
  <c r="AL82" i="12"/>
  <c r="AL83" i="12" s="1"/>
  <c r="AL84" i="12" s="1"/>
  <c r="AK40" i="12"/>
  <c r="AK44" i="12" s="1"/>
  <c r="AL74" i="12"/>
  <c r="AL75" i="12" s="1"/>
  <c r="AM76" i="11"/>
  <c r="AM77" i="11" s="1"/>
  <c r="AM68" i="11" s="1"/>
  <c r="AN73" i="11"/>
  <c r="AM85" i="11"/>
  <c r="AM67" i="11"/>
  <c r="AM47" i="11"/>
  <c r="AH73" i="2"/>
  <c r="AH74" i="2" s="1"/>
  <c r="AH85" i="2" s="1"/>
  <c r="AF86" i="2"/>
  <c r="AF87" i="2" s="1"/>
  <c r="AF41" i="2" s="1"/>
  <c r="AV66" i="2"/>
  <c r="AW135" i="2"/>
  <c r="AF69" i="2"/>
  <c r="AF70" i="2" s="1"/>
  <c r="AF40" i="2" s="1"/>
  <c r="AF44" i="2" s="1"/>
  <c r="AE45" i="2"/>
  <c r="AE46" i="2" s="1"/>
  <c r="AE51" i="2" s="1"/>
  <c r="AM82" i="11" l="1"/>
  <c r="AM83" i="11" s="1"/>
  <c r="AM84" i="11" s="1"/>
  <c r="AM86" i="11" s="1"/>
  <c r="AM87" i="11" s="1"/>
  <c r="AM69" i="11"/>
  <c r="AL76" i="12"/>
  <c r="AL77" i="12" s="1"/>
  <c r="AL68" i="12" s="1"/>
  <c r="AM73" i="12"/>
  <c r="AK45" i="12"/>
  <c r="AK46" i="12" s="1"/>
  <c r="AK51" i="12" s="1"/>
  <c r="AL85" i="12"/>
  <c r="AL86" i="12" s="1"/>
  <c r="AL87" i="12" s="1"/>
  <c r="AL67" i="12"/>
  <c r="AL47" i="12"/>
  <c r="AN74" i="11"/>
  <c r="AN75" i="11" s="1"/>
  <c r="AW137" i="2"/>
  <c r="AW138" i="2" s="1"/>
  <c r="AH67" i="2"/>
  <c r="AH43" i="2"/>
  <c r="AH47" i="2" s="1"/>
  <c r="AH75" i="2"/>
  <c r="AG82" i="2"/>
  <c r="AG83" i="2" s="1"/>
  <c r="AG84" i="2" s="1"/>
  <c r="AM70" i="11" l="1"/>
  <c r="AM40" i="11" s="1"/>
  <c r="AM44" i="11" s="1"/>
  <c r="AM45" i="11" s="1"/>
  <c r="AM46" i="11" s="1"/>
  <c r="AM51" i="11" s="1"/>
  <c r="AN82" i="11"/>
  <c r="AN83" i="11" s="1"/>
  <c r="AN84" i="11" s="1"/>
  <c r="AL69" i="12"/>
  <c r="AM74" i="12"/>
  <c r="AN76" i="11"/>
  <c r="AN77" i="11" s="1"/>
  <c r="AN68" i="11" s="1"/>
  <c r="AO73" i="11"/>
  <c r="AN85" i="11"/>
  <c r="AN67" i="11"/>
  <c r="AN69" i="11" s="1"/>
  <c r="AN70" i="11" s="1"/>
  <c r="AN40" i="11" s="1"/>
  <c r="AN47" i="11"/>
  <c r="AG86" i="2"/>
  <c r="AG87" i="2" s="1"/>
  <c r="AG41" i="2" s="1"/>
  <c r="AW66" i="2"/>
  <c r="AX135" i="2"/>
  <c r="AI73" i="2"/>
  <c r="AI74" i="2" s="1"/>
  <c r="AH76" i="2"/>
  <c r="AH77" i="2" s="1"/>
  <c r="AH68" i="2" s="1"/>
  <c r="AF45" i="2"/>
  <c r="AF46" i="2" s="1"/>
  <c r="AF51" i="2" s="1"/>
  <c r="AG69" i="2"/>
  <c r="AG70" i="2" s="1"/>
  <c r="AG40" i="2" s="1"/>
  <c r="AG44" i="2" s="1"/>
  <c r="AL70" i="12" l="1"/>
  <c r="AM82" i="12" s="1"/>
  <c r="AM83" i="12" s="1"/>
  <c r="AM84" i="12" s="1"/>
  <c r="AN86" i="11"/>
  <c r="AN87" i="11" s="1"/>
  <c r="AM85" i="12"/>
  <c r="AM67" i="12"/>
  <c r="AM47" i="12"/>
  <c r="AM75" i="12"/>
  <c r="AO74" i="11"/>
  <c r="AO75" i="11" s="1"/>
  <c r="AO82" i="11"/>
  <c r="AO83" i="11" s="1"/>
  <c r="AO84" i="11" s="1"/>
  <c r="AN44" i="11"/>
  <c r="AX137" i="2"/>
  <c r="AX138" i="2" s="1"/>
  <c r="AY135" i="2"/>
  <c r="AH82" i="2"/>
  <c r="AH83" i="2" s="1"/>
  <c r="AH84" i="2" s="1"/>
  <c r="AG45" i="2"/>
  <c r="AG46" i="2" s="1"/>
  <c r="AG51" i="2" s="1"/>
  <c r="AL40" i="12" l="1"/>
  <c r="AL44" i="12" s="1"/>
  <c r="AL45" i="12" s="1"/>
  <c r="AL46" i="12" s="1"/>
  <c r="AL51" i="12" s="1"/>
  <c r="AM86" i="12"/>
  <c r="AM87" i="12" s="1"/>
  <c r="AM76" i="12"/>
  <c r="AM77" i="12" s="1"/>
  <c r="AM68" i="12" s="1"/>
  <c r="AM69" i="12" s="1"/>
  <c r="AM70" i="12" s="1"/>
  <c r="AN73" i="12"/>
  <c r="AN45" i="11"/>
  <c r="AN46" i="11" s="1"/>
  <c r="AN51" i="11" s="1"/>
  <c r="AP73" i="11"/>
  <c r="AO76" i="11"/>
  <c r="AO77" i="11" s="1"/>
  <c r="AO68" i="11" s="1"/>
  <c r="AO85" i="11"/>
  <c r="AO86" i="11" s="1"/>
  <c r="AO87" i="11" s="1"/>
  <c r="AO67" i="11"/>
  <c r="AO47" i="11"/>
  <c r="AI75" i="2"/>
  <c r="AJ73" i="2" s="1"/>
  <c r="AJ74" i="2" s="1"/>
  <c r="AI85" i="2"/>
  <c r="AH86" i="2"/>
  <c r="AH87" i="2" s="1"/>
  <c r="AH41" i="2" s="1"/>
  <c r="AX66" i="2"/>
  <c r="AY137" i="2"/>
  <c r="AY138" i="2" s="1"/>
  <c r="AI43" i="2"/>
  <c r="AI47" i="2" s="1"/>
  <c r="AI67" i="2"/>
  <c r="AH69" i="2"/>
  <c r="AH70" i="2" s="1"/>
  <c r="AH40" i="2" s="1"/>
  <c r="AH44" i="2" l="1"/>
  <c r="AH45" i="2" s="1"/>
  <c r="AH46" i="2" s="1"/>
  <c r="AH51" i="2" s="1"/>
  <c r="AO69" i="11"/>
  <c r="AM40" i="12"/>
  <c r="AM44" i="12" s="1"/>
  <c r="AN82" i="12"/>
  <c r="AN83" i="12" s="1"/>
  <c r="AN84" i="12" s="1"/>
  <c r="AN74" i="12"/>
  <c r="AN75" i="12" s="1"/>
  <c r="AP74" i="11"/>
  <c r="AI76" i="2"/>
  <c r="AI77" i="2" s="1"/>
  <c r="AI68" i="2" s="1"/>
  <c r="AY66" i="2"/>
  <c r="AZ135" i="2"/>
  <c r="AI82" i="2"/>
  <c r="AI83" i="2" s="1"/>
  <c r="AI84" i="2" s="1"/>
  <c r="AO70" i="11" l="1"/>
  <c r="AO40" i="11" s="1"/>
  <c r="AO44" i="11" s="1"/>
  <c r="AO45" i="11" s="1"/>
  <c r="AO46" i="11" s="1"/>
  <c r="AO51" i="11" s="1"/>
  <c r="AN76" i="12"/>
  <c r="AN77" i="12" s="1"/>
  <c r="AN68" i="12" s="1"/>
  <c r="AO73" i="12"/>
  <c r="AN85" i="12"/>
  <c r="AN86" i="12" s="1"/>
  <c r="AN87" i="12" s="1"/>
  <c r="AN67" i="12"/>
  <c r="AN47" i="12"/>
  <c r="AM45" i="12"/>
  <c r="AM46" i="12" s="1"/>
  <c r="AM51" i="12" s="1"/>
  <c r="AP85" i="11"/>
  <c r="AP67" i="11"/>
  <c r="AP47" i="11"/>
  <c r="AP75" i="11"/>
  <c r="AJ75" i="2"/>
  <c r="AK73" i="2" s="1"/>
  <c r="AK74" i="2" s="1"/>
  <c r="AJ85" i="2"/>
  <c r="AI86" i="2"/>
  <c r="AI87" i="2" s="1"/>
  <c r="AI41" i="2" s="1"/>
  <c r="AZ137" i="2"/>
  <c r="AZ138" i="2" s="1"/>
  <c r="AJ43" i="2"/>
  <c r="AJ47" i="2" s="1"/>
  <c r="AJ67" i="2"/>
  <c r="AI69" i="2"/>
  <c r="AI70" i="2" s="1"/>
  <c r="AI40" i="2" s="1"/>
  <c r="AP82" i="11" l="1"/>
  <c r="AP83" i="11" s="1"/>
  <c r="AP84" i="11" s="1"/>
  <c r="AP86" i="11" s="1"/>
  <c r="AP87" i="11" s="1"/>
  <c r="AI44" i="2"/>
  <c r="AN69" i="12"/>
  <c r="AO74" i="12"/>
  <c r="AO75" i="12" s="1"/>
  <c r="AQ73" i="11"/>
  <c r="AP76" i="11"/>
  <c r="AP77" i="11" s="1"/>
  <c r="AP68" i="11" s="1"/>
  <c r="AP69" i="11" s="1"/>
  <c r="AP70" i="11" s="1"/>
  <c r="AP40" i="11" s="1"/>
  <c r="AJ76" i="2"/>
  <c r="AJ77" i="2" s="1"/>
  <c r="AJ68" i="2" s="1"/>
  <c r="AZ66" i="2"/>
  <c r="BA135" i="2"/>
  <c r="AJ82" i="2"/>
  <c r="AJ83" i="2" s="1"/>
  <c r="AJ84" i="2" s="1"/>
  <c r="AN70" i="12" l="1"/>
  <c r="AN40" i="12" s="1"/>
  <c r="AN44" i="12" s="1"/>
  <c r="AN45" i="12" s="1"/>
  <c r="AN46" i="12" s="1"/>
  <c r="AN51" i="12" s="1"/>
  <c r="AO76" i="12"/>
  <c r="AO77" i="12" s="1"/>
  <c r="AO68" i="12" s="1"/>
  <c r="AP73" i="12"/>
  <c r="AO85" i="12"/>
  <c r="AO67" i="12"/>
  <c r="AO47" i="12"/>
  <c r="AQ82" i="11"/>
  <c r="AQ83" i="11" s="1"/>
  <c r="AQ84" i="11" s="1"/>
  <c r="AP44" i="11"/>
  <c r="AQ74" i="11"/>
  <c r="AK75" i="2"/>
  <c r="AL73" i="2" s="1"/>
  <c r="AL74" i="2" s="1"/>
  <c r="AK85" i="2"/>
  <c r="AJ86" i="2"/>
  <c r="AJ87" i="2" s="1"/>
  <c r="AJ41" i="2" s="1"/>
  <c r="BA137" i="2"/>
  <c r="BA138" i="2" s="1"/>
  <c r="AK43" i="2"/>
  <c r="AK47" i="2" s="1"/>
  <c r="AK67" i="2"/>
  <c r="AI45" i="2"/>
  <c r="AI46" i="2" s="1"/>
  <c r="AI51" i="2" s="1"/>
  <c r="AJ69" i="2"/>
  <c r="AJ70" i="2" s="1"/>
  <c r="AJ40" i="2" s="1"/>
  <c r="AO82" i="12" l="1"/>
  <c r="AO83" i="12" s="1"/>
  <c r="AO84" i="12" s="1"/>
  <c r="AJ44" i="2"/>
  <c r="AO86" i="12"/>
  <c r="AO87" i="12" s="1"/>
  <c r="AO69" i="12"/>
  <c r="AP74" i="12"/>
  <c r="AQ85" i="11"/>
  <c r="AQ86" i="11" s="1"/>
  <c r="AQ87" i="11" s="1"/>
  <c r="AQ67" i="11"/>
  <c r="AQ47" i="11"/>
  <c r="AQ75" i="11"/>
  <c r="AP45" i="11"/>
  <c r="AP46" i="11" s="1"/>
  <c r="AP51" i="11" s="1"/>
  <c r="AK76" i="2"/>
  <c r="AK77" i="2" s="1"/>
  <c r="AK68" i="2" s="1"/>
  <c r="BA66" i="2"/>
  <c r="BB135" i="2"/>
  <c r="AK82" i="2"/>
  <c r="AK83" i="2" s="1"/>
  <c r="AK84" i="2" s="1"/>
  <c r="AO70" i="12" l="1"/>
  <c r="AP82" i="12" s="1"/>
  <c r="AP83" i="12" s="1"/>
  <c r="AP84" i="12" s="1"/>
  <c r="AP85" i="12"/>
  <c r="AP47" i="12"/>
  <c r="AP67" i="12"/>
  <c r="AP75" i="12"/>
  <c r="AQ76" i="11"/>
  <c r="AQ77" i="11" s="1"/>
  <c r="AQ68" i="11" s="1"/>
  <c r="AQ69" i="11" s="1"/>
  <c r="AQ70" i="11" s="1"/>
  <c r="AQ40" i="11" s="1"/>
  <c r="AR73" i="11"/>
  <c r="AL75" i="2"/>
  <c r="AL76" i="2" s="1"/>
  <c r="AL77" i="2" s="1"/>
  <c r="AL68" i="2" s="1"/>
  <c r="AL85" i="2"/>
  <c r="AK86" i="2"/>
  <c r="AK87" i="2" s="1"/>
  <c r="AK41" i="2" s="1"/>
  <c r="BB137" i="2"/>
  <c r="BB138" i="2" s="1"/>
  <c r="AL43" i="2"/>
  <c r="AL47" i="2" s="1"/>
  <c r="AL67" i="2"/>
  <c r="AJ45" i="2"/>
  <c r="AJ46" i="2" s="1"/>
  <c r="AJ51" i="2" s="1"/>
  <c r="AK69" i="2"/>
  <c r="AK70" i="2" s="1"/>
  <c r="AK40" i="2" s="1"/>
  <c r="AK44" i="2" s="1"/>
  <c r="AP86" i="12" l="1"/>
  <c r="AP87" i="12" s="1"/>
  <c r="AO40" i="12"/>
  <c r="AO44" i="12" s="1"/>
  <c r="AO45" i="12" s="1"/>
  <c r="AO46" i="12" s="1"/>
  <c r="AO51" i="12" s="1"/>
  <c r="AM73" i="2"/>
  <c r="AM74" i="2" s="1"/>
  <c r="AP76" i="12"/>
  <c r="AP77" i="12" s="1"/>
  <c r="AP68" i="12" s="1"/>
  <c r="AP69" i="12" s="1"/>
  <c r="AP70" i="12" s="1"/>
  <c r="AQ73" i="12"/>
  <c r="AR82" i="11"/>
  <c r="AR83" i="11" s="1"/>
  <c r="AR84" i="11" s="1"/>
  <c r="AQ44" i="11"/>
  <c r="AR74" i="11"/>
  <c r="AR75" i="11" s="1"/>
  <c r="AR76" i="11" s="1"/>
  <c r="AR77" i="11" s="1"/>
  <c r="AR68" i="11" s="1"/>
  <c r="BB66" i="2"/>
  <c r="BC135" i="2"/>
  <c r="AL82" i="2"/>
  <c r="AL83" i="2" s="1"/>
  <c r="AL84" i="2" s="1"/>
  <c r="AQ82" i="12" l="1"/>
  <c r="AQ83" i="12" s="1"/>
  <c r="AQ84" i="12" s="1"/>
  <c r="AP40" i="12"/>
  <c r="AP44" i="12" s="1"/>
  <c r="AQ74" i="12"/>
  <c r="AQ75" i="12" s="1"/>
  <c r="AR85" i="11"/>
  <c r="AR47" i="11"/>
  <c r="AS47" i="11" s="1"/>
  <c r="AR67" i="11"/>
  <c r="AR69" i="11" s="1"/>
  <c r="AR70" i="11" s="1"/>
  <c r="AR40" i="11" s="1"/>
  <c r="AQ45" i="11"/>
  <c r="AQ46" i="11" s="1"/>
  <c r="AQ51" i="11" s="1"/>
  <c r="AR86" i="11"/>
  <c r="AR87" i="11" s="1"/>
  <c r="AM75" i="2"/>
  <c r="AN73" i="2" s="1"/>
  <c r="AN74" i="2" s="1"/>
  <c r="AM85" i="2"/>
  <c r="AL86" i="2"/>
  <c r="AL87" i="2" s="1"/>
  <c r="AL41" i="2" s="1"/>
  <c r="BC137" i="2"/>
  <c r="BC138" i="2" s="1"/>
  <c r="AM67" i="2"/>
  <c r="AM43" i="2"/>
  <c r="AM47" i="2" s="1"/>
  <c r="AK45" i="2"/>
  <c r="AK46" i="2" s="1"/>
  <c r="AK51" i="2" s="1"/>
  <c r="AL69" i="2"/>
  <c r="AL70" i="2" s="1"/>
  <c r="AL40" i="2" s="1"/>
  <c r="AL44" i="2" s="1"/>
  <c r="AQ76" i="12" l="1"/>
  <c r="AQ77" i="12" s="1"/>
  <c r="AQ68" i="12" s="1"/>
  <c r="AR73" i="12"/>
  <c r="AQ85" i="12"/>
  <c r="AQ67" i="12"/>
  <c r="AQ47" i="12"/>
  <c r="AP45" i="12"/>
  <c r="AP46" i="12" s="1"/>
  <c r="AP51" i="12" s="1"/>
  <c r="AQ86" i="12"/>
  <c r="AQ87" i="12" s="1"/>
  <c r="AR44" i="11"/>
  <c r="AR45" i="11" s="1"/>
  <c r="AR46" i="11" s="1"/>
  <c r="AM76" i="2"/>
  <c r="AM77" i="2" s="1"/>
  <c r="AM68" i="2" s="1"/>
  <c r="BC66" i="2"/>
  <c r="BD135" i="2"/>
  <c r="AM82" i="2"/>
  <c r="AM83" i="2" s="1"/>
  <c r="AM84" i="2" s="1"/>
  <c r="AL45" i="2"/>
  <c r="AL46" i="2" s="1"/>
  <c r="AL51" i="2" s="1"/>
  <c r="AQ69" i="12" l="1"/>
  <c r="AR74" i="12"/>
  <c r="AR75" i="12" s="1"/>
  <c r="AR51" i="11"/>
  <c r="AS46" i="11"/>
  <c r="AN75" i="2"/>
  <c r="AN76" i="2" s="1"/>
  <c r="AN77" i="2" s="1"/>
  <c r="AN68" i="2" s="1"/>
  <c r="AN85" i="2"/>
  <c r="AM86" i="2"/>
  <c r="AM87" i="2" s="1"/>
  <c r="AM41" i="2" s="1"/>
  <c r="BD137" i="2"/>
  <c r="BD138" i="2" s="1"/>
  <c r="AN43" i="2"/>
  <c r="AN47" i="2" s="1"/>
  <c r="AN67" i="2"/>
  <c r="AM69" i="2"/>
  <c r="AM70" i="2" s="1"/>
  <c r="AM40" i="2" s="1"/>
  <c r="AQ70" i="12" l="1"/>
  <c r="AR82" i="12" s="1"/>
  <c r="AR83" i="12" s="1"/>
  <c r="AR84" i="12" s="1"/>
  <c r="D53" i="11"/>
  <c r="D55" i="11"/>
  <c r="AM44" i="2"/>
  <c r="AQ40" i="12"/>
  <c r="AQ44" i="12" s="1"/>
  <c r="AQ45" i="12" s="1"/>
  <c r="AQ46" i="12" s="1"/>
  <c r="AQ51" i="12" s="1"/>
  <c r="AO73" i="2"/>
  <c r="AO74" i="2" s="1"/>
  <c r="AS51" i="11"/>
  <c r="AS73" i="12"/>
  <c r="AR76" i="12"/>
  <c r="AR77" i="12" s="1"/>
  <c r="AR68" i="12" s="1"/>
  <c r="AR85" i="12"/>
  <c r="AR67" i="12"/>
  <c r="AR47" i="12"/>
  <c r="BD66" i="2"/>
  <c r="BE135" i="2"/>
  <c r="AN82" i="2"/>
  <c r="AN83" i="2" s="1"/>
  <c r="AN84" i="2" s="1"/>
  <c r="AR86" i="12" l="1"/>
  <c r="AR87" i="12" s="1"/>
  <c r="AR69" i="12"/>
  <c r="AS74" i="12"/>
  <c r="AO75" i="2"/>
  <c r="AP73" i="2" s="1"/>
  <c r="AP74" i="2" s="1"/>
  <c r="AO85" i="2"/>
  <c r="AN86" i="2"/>
  <c r="AN87" i="2" s="1"/>
  <c r="AN41" i="2" s="1"/>
  <c r="BE137" i="2"/>
  <c r="BE138" i="2" s="1"/>
  <c r="AO67" i="2"/>
  <c r="AO43" i="2"/>
  <c r="AO47" i="2" s="1"/>
  <c r="AM45" i="2"/>
  <c r="AM46" i="2" s="1"/>
  <c r="AM51" i="2" s="1"/>
  <c r="AN69" i="2"/>
  <c r="AN70" i="2" s="1"/>
  <c r="AN40" i="2" s="1"/>
  <c r="AR70" i="12" l="1"/>
  <c r="AS82" i="12" s="1"/>
  <c r="AS83" i="12" s="1"/>
  <c r="AS84" i="12" s="1"/>
  <c r="AN44" i="2"/>
  <c r="AR40" i="12"/>
  <c r="AR44" i="12" s="1"/>
  <c r="AR45" i="12" s="1"/>
  <c r="AR46" i="12" s="1"/>
  <c r="AR51" i="12" s="1"/>
  <c r="AS85" i="12"/>
  <c r="AS67" i="12"/>
  <c r="AS47" i="12"/>
  <c r="AS75" i="12"/>
  <c r="AO76" i="2"/>
  <c r="AO77" i="2" s="1"/>
  <c r="AO68" i="2" s="1"/>
  <c r="BE66" i="2"/>
  <c r="BF135" i="2"/>
  <c r="AO82" i="2"/>
  <c r="AO83" i="2" s="1"/>
  <c r="AO84" i="2" s="1"/>
  <c r="AS86" i="12" l="1"/>
  <c r="AS87" i="12" s="1"/>
  <c r="AS76" i="12"/>
  <c r="AS77" i="12" s="1"/>
  <c r="AS68" i="12" s="1"/>
  <c r="AS69" i="12" s="1"/>
  <c r="AS70" i="12" s="1"/>
  <c r="AT73" i="12"/>
  <c r="AP75" i="2"/>
  <c r="AP76" i="2" s="1"/>
  <c r="AP77" i="2" s="1"/>
  <c r="AP68" i="2" s="1"/>
  <c r="AP85" i="2"/>
  <c r="AO86" i="2"/>
  <c r="AO87" i="2" s="1"/>
  <c r="AO41" i="2" s="1"/>
  <c r="BF137" i="2"/>
  <c r="BF138" i="2" s="1"/>
  <c r="AP43" i="2"/>
  <c r="AP47" i="2" s="1"/>
  <c r="AP67" i="2"/>
  <c r="AN45" i="2"/>
  <c r="AN46" i="2" s="1"/>
  <c r="AN51" i="2" s="1"/>
  <c r="AO69" i="2"/>
  <c r="AO70" i="2" s="1"/>
  <c r="AO40" i="2" s="1"/>
  <c r="AO44" i="2" l="1"/>
  <c r="AO45" i="2" s="1"/>
  <c r="AO46" i="2" s="1"/>
  <c r="AO51" i="2" s="1"/>
  <c r="AT82" i="12"/>
  <c r="AT83" i="12" s="1"/>
  <c r="AT84" i="12" s="1"/>
  <c r="AS40" i="12"/>
  <c r="AS44" i="12" s="1"/>
  <c r="AT74" i="12"/>
  <c r="AT75" i="12" s="1"/>
  <c r="AQ73" i="2"/>
  <c r="AQ74" i="2" s="1"/>
  <c r="BF66" i="2"/>
  <c r="BG135" i="2"/>
  <c r="AP82" i="2"/>
  <c r="AP83" i="2" s="1"/>
  <c r="AP84" i="2" s="1"/>
  <c r="AT76" i="12" l="1"/>
  <c r="AT77" i="12" s="1"/>
  <c r="AT68" i="12" s="1"/>
  <c r="AU73" i="12"/>
  <c r="AT67" i="12"/>
  <c r="AT85" i="12"/>
  <c r="AT86" i="12" s="1"/>
  <c r="AT87" i="12" s="1"/>
  <c r="AT47" i="12"/>
  <c r="AS45" i="12"/>
  <c r="AS46" i="12" s="1"/>
  <c r="AS51" i="12" s="1"/>
  <c r="AQ75" i="2"/>
  <c r="AR73" i="2" s="1"/>
  <c r="AR74" i="2" s="1"/>
  <c r="AQ85" i="2"/>
  <c r="AP86" i="2"/>
  <c r="AP87" i="2" s="1"/>
  <c r="AP41" i="2" s="1"/>
  <c r="BG137" i="2"/>
  <c r="BG138" i="2" s="1"/>
  <c r="AQ43" i="2"/>
  <c r="AQ47" i="2" s="1"/>
  <c r="AQ67" i="2"/>
  <c r="AP69" i="2"/>
  <c r="AP70" i="2" s="1"/>
  <c r="AP40" i="2" s="1"/>
  <c r="AP44" i="2" l="1"/>
  <c r="AP45" i="2" s="1"/>
  <c r="AP46" i="2" s="1"/>
  <c r="AP51" i="2" s="1"/>
  <c r="AT69" i="12"/>
  <c r="AU74" i="12"/>
  <c r="AU75" i="12" s="1"/>
  <c r="AQ76" i="2"/>
  <c r="AQ77" i="2" s="1"/>
  <c r="AQ68" i="2" s="1"/>
  <c r="BG66" i="2"/>
  <c r="BH135" i="2"/>
  <c r="AQ82" i="2"/>
  <c r="AQ83" i="2" s="1"/>
  <c r="AQ84" i="2" s="1"/>
  <c r="AT70" i="12" l="1"/>
  <c r="AU82" i="12" s="1"/>
  <c r="AU83" i="12" s="1"/>
  <c r="AU84" i="12" s="1"/>
  <c r="AT40" i="12"/>
  <c r="AT44" i="12" s="1"/>
  <c r="AT45" i="12" s="1"/>
  <c r="AT46" i="12" s="1"/>
  <c r="AT51" i="12" s="1"/>
  <c r="AU76" i="12"/>
  <c r="AU77" i="12" s="1"/>
  <c r="AU68" i="12" s="1"/>
  <c r="AV73" i="12"/>
  <c r="AU85" i="12"/>
  <c r="AU67" i="12"/>
  <c r="AU47" i="12"/>
  <c r="AR75" i="2"/>
  <c r="AR76" i="2" s="1"/>
  <c r="AR77" i="2" s="1"/>
  <c r="AR68" i="2" s="1"/>
  <c r="AR85" i="2"/>
  <c r="AQ86" i="2"/>
  <c r="AQ87" i="2" s="1"/>
  <c r="AQ41" i="2" s="1"/>
  <c r="BH137" i="2"/>
  <c r="BH138" i="2" s="1"/>
  <c r="AR43" i="2"/>
  <c r="AR47" i="2" s="1"/>
  <c r="AR67" i="2"/>
  <c r="AQ69" i="2"/>
  <c r="AQ70" i="2" s="1"/>
  <c r="AQ40" i="2" s="1"/>
  <c r="AU86" i="12" l="1"/>
  <c r="AU87" i="12" s="1"/>
  <c r="AQ44" i="2"/>
  <c r="AU69" i="12"/>
  <c r="AV74" i="12"/>
  <c r="AV75" i="12" s="1"/>
  <c r="AS73" i="2"/>
  <c r="AS74" i="2" s="1"/>
  <c r="BH66" i="2"/>
  <c r="BI135" i="2"/>
  <c r="AR82" i="2"/>
  <c r="AR83" i="2" s="1"/>
  <c r="AR84" i="2" s="1"/>
  <c r="AU70" i="12" l="1"/>
  <c r="AV82" i="12" s="1"/>
  <c r="AV83" i="12" s="1"/>
  <c r="AV84" i="12" s="1"/>
  <c r="AU40" i="12"/>
  <c r="AU44" i="12" s="1"/>
  <c r="AU45" i="12" s="1"/>
  <c r="AU46" i="12" s="1"/>
  <c r="AU51" i="12" s="1"/>
  <c r="AV76" i="12"/>
  <c r="AV77" i="12" s="1"/>
  <c r="AV68" i="12" s="1"/>
  <c r="AW73" i="12"/>
  <c r="AV85" i="12"/>
  <c r="AV67" i="12"/>
  <c r="AV47" i="12"/>
  <c r="AS75" i="2"/>
  <c r="AS76" i="2" s="1"/>
  <c r="AS77" i="2" s="1"/>
  <c r="AS68" i="2" s="1"/>
  <c r="AS85" i="2"/>
  <c r="AR86" i="2"/>
  <c r="AR87" i="2" s="1"/>
  <c r="AR41" i="2" s="1"/>
  <c r="BI137" i="2"/>
  <c r="BI138" i="2" s="1"/>
  <c r="AS67" i="2"/>
  <c r="AS43" i="2"/>
  <c r="AS47" i="2" s="1"/>
  <c r="AQ45" i="2"/>
  <c r="AQ46" i="2" s="1"/>
  <c r="AQ51" i="2" s="1"/>
  <c r="AR69" i="2"/>
  <c r="AR70" i="2" s="1"/>
  <c r="AR40" i="2" s="1"/>
  <c r="AR44" i="2" s="1"/>
  <c r="AV86" i="12" l="1"/>
  <c r="AV87" i="12" s="1"/>
  <c r="AV69" i="12"/>
  <c r="AW74" i="12"/>
  <c r="AW75" i="12" s="1"/>
  <c r="AT73" i="2"/>
  <c r="AT74" i="2" s="1"/>
  <c r="BI66" i="2"/>
  <c r="BJ135" i="2"/>
  <c r="AS82" i="2"/>
  <c r="AS83" i="2" s="1"/>
  <c r="AS84" i="2" s="1"/>
  <c r="AV70" i="12" l="1"/>
  <c r="AW82" i="12" s="1"/>
  <c r="AW83" i="12" s="1"/>
  <c r="AW84" i="12" s="1"/>
  <c r="AW76" i="12"/>
  <c r="AW77" i="12" s="1"/>
  <c r="AW68" i="12" s="1"/>
  <c r="AX73" i="12"/>
  <c r="AW85" i="12"/>
  <c r="AW47" i="12"/>
  <c r="AW67" i="12"/>
  <c r="AW69" i="12" s="1"/>
  <c r="AW70" i="12" s="1"/>
  <c r="AT75" i="2"/>
  <c r="AU73" i="2" s="1"/>
  <c r="AU74" i="2" s="1"/>
  <c r="AT85" i="2"/>
  <c r="AS86" i="2"/>
  <c r="AS87" i="2" s="1"/>
  <c r="AS41" i="2" s="1"/>
  <c r="BJ137" i="2"/>
  <c r="BJ138" i="2" s="1"/>
  <c r="AT67" i="2"/>
  <c r="AT43" i="2"/>
  <c r="AT47" i="2" s="1"/>
  <c r="AR45" i="2"/>
  <c r="AR46" i="2" s="1"/>
  <c r="AR51" i="2" s="1"/>
  <c r="AS69" i="2"/>
  <c r="AS70" i="2" s="1"/>
  <c r="AS40" i="2" s="1"/>
  <c r="AV40" i="12" l="1"/>
  <c r="AV44" i="12" s="1"/>
  <c r="AV45" i="12" s="1"/>
  <c r="AV46" i="12" s="1"/>
  <c r="AV51" i="12" s="1"/>
  <c r="AW86" i="12"/>
  <c r="AW87" i="12" s="1"/>
  <c r="AS44" i="2"/>
  <c r="AX82" i="12"/>
  <c r="AX83" i="12" s="1"/>
  <c r="AX84" i="12" s="1"/>
  <c r="AW40" i="12"/>
  <c r="AW44" i="12" s="1"/>
  <c r="AX74" i="12"/>
  <c r="AT76" i="2"/>
  <c r="AT77" i="2" s="1"/>
  <c r="AT68" i="2" s="1"/>
  <c r="BJ66" i="2"/>
  <c r="BK135" i="2"/>
  <c r="AT82" i="2"/>
  <c r="AT83" i="2" s="1"/>
  <c r="AT84" i="2" s="1"/>
  <c r="AX67" i="12" l="1"/>
  <c r="AX47" i="12"/>
  <c r="AX85" i="12"/>
  <c r="AX86" i="12" s="1"/>
  <c r="AX87" i="12" s="1"/>
  <c r="AX75" i="12"/>
  <c r="AW45" i="12"/>
  <c r="AW46" i="12" s="1"/>
  <c r="AW51" i="12" s="1"/>
  <c r="AU75" i="2"/>
  <c r="AV73" i="2" s="1"/>
  <c r="AV74" i="2" s="1"/>
  <c r="AU85" i="2"/>
  <c r="AT86" i="2"/>
  <c r="AT87" i="2" s="1"/>
  <c r="AT41" i="2" s="1"/>
  <c r="BK137" i="2"/>
  <c r="BK138" i="2" s="1"/>
  <c r="AU67" i="2"/>
  <c r="AU43" i="2"/>
  <c r="AU47" i="2" s="1"/>
  <c r="AS45" i="2"/>
  <c r="AS46" i="2" s="1"/>
  <c r="AS51" i="2" s="1"/>
  <c r="AT69" i="2"/>
  <c r="AT70" i="2" s="1"/>
  <c r="AT40" i="2" s="1"/>
  <c r="AT44" i="2" l="1"/>
  <c r="AX76" i="12"/>
  <c r="AX77" i="12" s="1"/>
  <c r="AX68" i="12" s="1"/>
  <c r="AX69" i="12" s="1"/>
  <c r="AX70" i="12" s="1"/>
  <c r="AY73" i="12"/>
  <c r="AU76" i="2"/>
  <c r="AU77" i="2" s="1"/>
  <c r="AU68" i="2" s="1"/>
  <c r="BK66" i="2"/>
  <c r="BL135" i="2"/>
  <c r="AU82" i="2"/>
  <c r="AU83" i="2" s="1"/>
  <c r="AU84" i="2" s="1"/>
  <c r="AT45" i="2"/>
  <c r="AT46" i="2" s="1"/>
  <c r="AT51" i="2" s="1"/>
  <c r="AY82" i="12" l="1"/>
  <c r="AY83" i="12" s="1"/>
  <c r="AY84" i="12" s="1"/>
  <c r="AX40" i="12"/>
  <c r="AX44" i="12" s="1"/>
  <c r="AY74" i="12"/>
  <c r="AV75" i="2"/>
  <c r="AV76" i="2" s="1"/>
  <c r="AV77" i="2" s="1"/>
  <c r="AV68" i="2" s="1"/>
  <c r="AV85" i="2"/>
  <c r="AU86" i="2"/>
  <c r="AU87" i="2" s="1"/>
  <c r="AU41" i="2" s="1"/>
  <c r="BL137" i="2"/>
  <c r="BL138" i="2" s="1"/>
  <c r="AV67" i="2"/>
  <c r="AV43" i="2"/>
  <c r="AV47" i="2" s="1"/>
  <c r="AU69" i="2"/>
  <c r="AU70" i="2" s="1"/>
  <c r="AU40" i="2" s="1"/>
  <c r="AU44" i="2" l="1"/>
  <c r="AY85" i="12"/>
  <c r="AY86" i="12" s="1"/>
  <c r="AY87" i="12" s="1"/>
  <c r="AY67" i="12"/>
  <c r="AY47" i="12"/>
  <c r="AY75" i="12"/>
  <c r="AX45" i="12"/>
  <c r="AX46" i="12" s="1"/>
  <c r="AX51" i="12" s="1"/>
  <c r="AW73" i="2"/>
  <c r="AW74" i="2" s="1"/>
  <c r="AW85" i="2" s="1"/>
  <c r="BL66" i="2"/>
  <c r="BM135" i="2"/>
  <c r="AV82" i="2"/>
  <c r="AV83" i="2" s="1"/>
  <c r="AV84" i="2" s="1"/>
  <c r="AU45" i="2"/>
  <c r="AU46" i="2" s="1"/>
  <c r="AU51" i="2" s="1"/>
  <c r="AY76" i="12" l="1"/>
  <c r="AY77" i="12" s="1"/>
  <c r="AY68" i="12" s="1"/>
  <c r="AZ73" i="12"/>
  <c r="AY69" i="12"/>
  <c r="AY70" i="12" s="1"/>
  <c r="AV86" i="2"/>
  <c r="AV87" i="2" s="1"/>
  <c r="AV41" i="2" s="1"/>
  <c r="BM137" i="2"/>
  <c r="BM138" i="2" s="1"/>
  <c r="AW43" i="2"/>
  <c r="AW47" i="2" s="1"/>
  <c r="AW67" i="2"/>
  <c r="AW75" i="2"/>
  <c r="AV69" i="2"/>
  <c r="AV70" i="2" s="1"/>
  <c r="AV40" i="2" s="1"/>
  <c r="AV44" i="2" l="1"/>
  <c r="AZ82" i="12"/>
  <c r="AZ83" i="12" s="1"/>
  <c r="AZ84" i="12" s="1"/>
  <c r="AY40" i="12"/>
  <c r="AY44" i="12" s="1"/>
  <c r="AZ74" i="12"/>
  <c r="AZ75" i="12" s="1"/>
  <c r="BM66" i="2"/>
  <c r="BN135" i="2"/>
  <c r="AX73" i="2"/>
  <c r="AX74" i="2" s="1"/>
  <c r="AW76" i="2"/>
  <c r="AW77" i="2" s="1"/>
  <c r="AW68" i="2" s="1"/>
  <c r="AW82" i="2"/>
  <c r="AW83" i="2" s="1"/>
  <c r="AW84" i="2" s="1"/>
  <c r="AZ76" i="12" l="1"/>
  <c r="AZ77" i="12" s="1"/>
  <c r="AZ68" i="12" s="1"/>
  <c r="BA73" i="12"/>
  <c r="AZ85" i="12"/>
  <c r="AZ86" i="12" s="1"/>
  <c r="AZ87" i="12" s="1"/>
  <c r="AZ67" i="12"/>
  <c r="AZ69" i="12" s="1"/>
  <c r="AZ70" i="12" s="1"/>
  <c r="AZ47" i="12"/>
  <c r="AY45" i="12"/>
  <c r="AY46" i="12" s="1"/>
  <c r="AY51" i="12" s="1"/>
  <c r="AW86" i="2"/>
  <c r="AW87" i="2" s="1"/>
  <c r="AW41" i="2" s="1"/>
  <c r="BN137" i="2"/>
  <c r="BN138" i="2" s="1"/>
  <c r="AW69" i="2"/>
  <c r="AW70" i="2" s="1"/>
  <c r="AW40" i="2" s="1"/>
  <c r="AV45" i="2"/>
  <c r="AV46" i="2" s="1"/>
  <c r="AV51" i="2" s="1"/>
  <c r="AW44" i="2" l="1"/>
  <c r="BA82" i="12"/>
  <c r="BA83" i="12" s="1"/>
  <c r="BA84" i="12" s="1"/>
  <c r="AZ40" i="12"/>
  <c r="AZ44" i="12" s="1"/>
  <c r="BA74" i="12"/>
  <c r="BA75" i="12" s="1"/>
  <c r="AX75" i="2"/>
  <c r="AX76" i="2" s="1"/>
  <c r="AX77" i="2" s="1"/>
  <c r="AX68" i="2" s="1"/>
  <c r="AX85" i="2"/>
  <c r="BN66" i="2"/>
  <c r="BO135" i="2"/>
  <c r="AX43" i="2"/>
  <c r="AX47" i="2" s="1"/>
  <c r="AX67" i="2"/>
  <c r="AX82" i="2"/>
  <c r="AX83" i="2" s="1"/>
  <c r="AX84" i="2" s="1"/>
  <c r="AW45" i="2"/>
  <c r="AW46" i="2" s="1"/>
  <c r="AW51" i="2" s="1"/>
  <c r="AY73" i="2" l="1"/>
  <c r="AY74" i="2" s="1"/>
  <c r="BA85" i="12"/>
  <c r="BA86" i="12" s="1"/>
  <c r="BA87" i="12" s="1"/>
  <c r="BA67" i="12"/>
  <c r="BA47" i="12"/>
  <c r="AZ45" i="12"/>
  <c r="AZ46" i="12" s="1"/>
  <c r="AZ51" i="12" s="1"/>
  <c r="BA76" i="12"/>
  <c r="BA77" i="12" s="1"/>
  <c r="BA68" i="12" s="1"/>
  <c r="BB73" i="12"/>
  <c r="AX86" i="2"/>
  <c r="AX87" i="2" s="1"/>
  <c r="AX41" i="2" s="1"/>
  <c r="BO137" i="2"/>
  <c r="BO138" i="2" s="1"/>
  <c r="AX69" i="2"/>
  <c r="AX70" i="2" s="1"/>
  <c r="AX40" i="2" s="1"/>
  <c r="AX44" i="2" l="1"/>
  <c r="BA69" i="12"/>
  <c r="BA70" i="12" s="1"/>
  <c r="BB74" i="12"/>
  <c r="BB75" i="12" s="1"/>
  <c r="BB76" i="12" s="1"/>
  <c r="BB77" i="12" s="1"/>
  <c r="BB68" i="12" s="1"/>
  <c r="AY75" i="2"/>
  <c r="AY76" i="2" s="1"/>
  <c r="AY77" i="2" s="1"/>
  <c r="AY68" i="2" s="1"/>
  <c r="AY85" i="2"/>
  <c r="BO66" i="2"/>
  <c r="BP135" i="2"/>
  <c r="AY43" i="2"/>
  <c r="AY47" i="2" s="1"/>
  <c r="AY67" i="2"/>
  <c r="AY82" i="2"/>
  <c r="AY83" i="2" s="1"/>
  <c r="AY84" i="2" s="1"/>
  <c r="BB67" i="12" l="1"/>
  <c r="BB69" i="12" s="1"/>
  <c r="BB85" i="12"/>
  <c r="BB47" i="12"/>
  <c r="BC47" i="12" s="1"/>
  <c r="BB82" i="12"/>
  <c r="BB83" i="12" s="1"/>
  <c r="BB84" i="12" s="1"/>
  <c r="BB86" i="12" s="1"/>
  <c r="BB87" i="12" s="1"/>
  <c r="BA40" i="12"/>
  <c r="BA44" i="12" s="1"/>
  <c r="AZ73" i="2"/>
  <c r="AZ74" i="2" s="1"/>
  <c r="AY86" i="2"/>
  <c r="AY87" i="2" s="1"/>
  <c r="AY41" i="2" s="1"/>
  <c r="BP137" i="2"/>
  <c r="BP138" i="2" s="1"/>
  <c r="BQ135" i="2"/>
  <c r="AX45" i="2"/>
  <c r="AX46" i="2" s="1"/>
  <c r="AX51" i="2" s="1"/>
  <c r="AY69" i="2"/>
  <c r="AY70" i="2" s="1"/>
  <c r="AY40" i="2" s="1"/>
  <c r="BB70" i="12" l="1"/>
  <c r="BB40" i="12" s="1"/>
  <c r="BB44" i="12" s="1"/>
  <c r="AY44" i="2"/>
  <c r="BA45" i="12"/>
  <c r="BA46" i="12" s="1"/>
  <c r="BA51" i="12" s="1"/>
  <c r="AZ75" i="2"/>
  <c r="AZ76" i="2" s="1"/>
  <c r="AZ77" i="2" s="1"/>
  <c r="AZ68" i="2" s="1"/>
  <c r="AZ85" i="2"/>
  <c r="BP66" i="2"/>
  <c r="BQ137" i="2"/>
  <c r="BQ138" i="2" s="1"/>
  <c r="BA73" i="2"/>
  <c r="BA74" i="2" s="1"/>
  <c r="AZ67" i="2"/>
  <c r="AZ43" i="2"/>
  <c r="AZ47" i="2" s="1"/>
  <c r="AZ82" i="2"/>
  <c r="AZ83" i="2" s="1"/>
  <c r="AZ84" i="2" s="1"/>
  <c r="BB45" i="12" l="1"/>
  <c r="BB46" i="12" s="1"/>
  <c r="AZ86" i="2"/>
  <c r="AZ87" i="2" s="1"/>
  <c r="AZ41" i="2" s="1"/>
  <c r="BQ66" i="2"/>
  <c r="BR135" i="2"/>
  <c r="AY45" i="2"/>
  <c r="AY46" i="2" s="1"/>
  <c r="AY51" i="2" s="1"/>
  <c r="AZ69" i="2"/>
  <c r="AZ70" i="2" s="1"/>
  <c r="AZ40" i="2" s="1"/>
  <c r="AZ44" i="2" s="1"/>
  <c r="BB51" i="12" l="1"/>
  <c r="BC46" i="12"/>
  <c r="BA75" i="2"/>
  <c r="BA85" i="2"/>
  <c r="BR137" i="2"/>
  <c r="BR138" i="2" s="1"/>
  <c r="BA76" i="2"/>
  <c r="BA77" i="2" s="1"/>
  <c r="BA68" i="2" s="1"/>
  <c r="BB73" i="2"/>
  <c r="BB74" i="2" s="1"/>
  <c r="BA43" i="2"/>
  <c r="BA47" i="2" s="1"/>
  <c r="BA67" i="2"/>
  <c r="BA82" i="2"/>
  <c r="BA83" i="2" s="1"/>
  <c r="BA84" i="2" s="1"/>
  <c r="AZ45" i="2"/>
  <c r="AZ46" i="2" s="1"/>
  <c r="AZ51" i="2" s="1"/>
  <c r="D55" i="12" l="1"/>
  <c r="D53" i="12"/>
  <c r="BC51" i="12"/>
  <c r="BA86" i="2"/>
  <c r="BA87" i="2" s="1"/>
  <c r="BA41" i="2" s="1"/>
  <c r="BR66" i="2"/>
  <c r="BS135" i="2"/>
  <c r="BA69" i="2"/>
  <c r="BA70" i="2" s="1"/>
  <c r="BA40" i="2" s="1"/>
  <c r="BA44" i="2" s="1"/>
  <c r="BB75" i="2" l="1"/>
  <c r="BC73" i="2" s="1"/>
  <c r="BC74" i="2" s="1"/>
  <c r="BB85" i="2"/>
  <c r="BS137" i="2"/>
  <c r="BS138" i="2" s="1"/>
  <c r="BB43" i="2"/>
  <c r="BB47" i="2" s="1"/>
  <c r="BB67" i="2"/>
  <c r="BB82" i="2"/>
  <c r="BB83" i="2" s="1"/>
  <c r="BB84" i="2" s="1"/>
  <c r="BB76" i="2" l="1"/>
  <c r="BB77" i="2" s="1"/>
  <c r="BB68" i="2" s="1"/>
  <c r="BB69" i="2" s="1"/>
  <c r="BB70" i="2" s="1"/>
  <c r="BB40" i="2" s="1"/>
  <c r="BB86" i="2"/>
  <c r="BB87" i="2" s="1"/>
  <c r="BB41" i="2" s="1"/>
  <c r="BS66" i="2"/>
  <c r="BA45" i="2"/>
  <c r="BA46" i="2" s="1"/>
  <c r="BA51" i="2" s="1"/>
  <c r="BB44" i="2" l="1"/>
  <c r="BB45" i="2" s="1"/>
  <c r="BB46" i="2" s="1"/>
  <c r="BB51" i="2" s="1"/>
  <c r="BC75" i="2"/>
  <c r="BC76" i="2" s="1"/>
  <c r="BC77" i="2" s="1"/>
  <c r="BC68" i="2" s="1"/>
  <c r="BC85" i="2"/>
  <c r="BC43" i="2"/>
  <c r="BC47" i="2" s="1"/>
  <c r="BC67" i="2"/>
  <c r="BC82" i="2"/>
  <c r="BC83" i="2" s="1"/>
  <c r="BC84" i="2" s="1"/>
  <c r="BD73" i="2" l="1"/>
  <c r="BD74" i="2" s="1"/>
  <c r="BC86" i="2"/>
  <c r="BC87" i="2" s="1"/>
  <c r="BC41" i="2" s="1"/>
  <c r="BC69" i="2"/>
  <c r="BC70" i="2" s="1"/>
  <c r="BC40" i="2" s="1"/>
  <c r="BC44" i="2" s="1"/>
  <c r="BD75" i="2" l="1"/>
  <c r="BE73" i="2" s="1"/>
  <c r="BE74" i="2" s="1"/>
  <c r="BD85" i="2"/>
  <c r="BD43" i="2"/>
  <c r="BD47" i="2" s="1"/>
  <c r="BD67" i="2"/>
  <c r="BD82" i="2"/>
  <c r="BD83" i="2" s="1"/>
  <c r="BD84" i="2" s="1"/>
  <c r="BC45" i="2"/>
  <c r="BC46" i="2" s="1"/>
  <c r="BC51" i="2" s="1"/>
  <c r="BD76" i="2" l="1"/>
  <c r="BD77" i="2" s="1"/>
  <c r="BD68" i="2" s="1"/>
  <c r="BD69" i="2" s="1"/>
  <c r="BD70" i="2" s="1"/>
  <c r="BD40" i="2" s="1"/>
  <c r="BD86" i="2"/>
  <c r="BD87" i="2" s="1"/>
  <c r="BD41" i="2" s="1"/>
  <c r="BD44" i="2" l="1"/>
  <c r="BE75" i="2"/>
  <c r="BE76" i="2" s="1"/>
  <c r="BE77" i="2" s="1"/>
  <c r="BE68" i="2" s="1"/>
  <c r="BE85" i="2"/>
  <c r="BE43" i="2"/>
  <c r="BE47" i="2" s="1"/>
  <c r="BE67" i="2"/>
  <c r="BE82" i="2"/>
  <c r="BE83" i="2" s="1"/>
  <c r="BE84" i="2" s="1"/>
  <c r="BF73" i="2" l="1"/>
  <c r="BF74" i="2" s="1"/>
  <c r="BE86" i="2"/>
  <c r="BE87" i="2" s="1"/>
  <c r="BE41" i="2" s="1"/>
  <c r="BD45" i="2"/>
  <c r="BD46" i="2" s="1"/>
  <c r="BD51" i="2" s="1"/>
  <c r="BE69" i="2"/>
  <c r="BE70" i="2" s="1"/>
  <c r="BE40" i="2" s="1"/>
  <c r="BE44" i="2" s="1"/>
  <c r="BF75" i="2" l="1"/>
  <c r="BG73" i="2" s="1"/>
  <c r="BG74" i="2" s="1"/>
  <c r="BF85" i="2"/>
  <c r="BF67" i="2"/>
  <c r="BF43" i="2"/>
  <c r="BF47" i="2" s="1"/>
  <c r="BF82" i="2"/>
  <c r="BF83" i="2" s="1"/>
  <c r="BF84" i="2" s="1"/>
  <c r="BE45" i="2"/>
  <c r="BE46" i="2" s="1"/>
  <c r="BE51" i="2" s="1"/>
  <c r="BF76" i="2" l="1"/>
  <c r="BF77" i="2" s="1"/>
  <c r="BF68" i="2" s="1"/>
  <c r="BF69" i="2" s="1"/>
  <c r="BF70" i="2" s="1"/>
  <c r="BF40" i="2" s="1"/>
  <c r="BF86" i="2"/>
  <c r="BF87" i="2" s="1"/>
  <c r="BF41" i="2" s="1"/>
  <c r="BF44" i="2" l="1"/>
  <c r="BG75" i="2"/>
  <c r="BH73" i="2" s="1"/>
  <c r="BH74" i="2" s="1"/>
  <c r="BG85" i="2"/>
  <c r="BG67" i="2"/>
  <c r="BG43" i="2"/>
  <c r="BG47" i="2" s="1"/>
  <c r="BG82" i="2"/>
  <c r="BG83" i="2" s="1"/>
  <c r="BG84" i="2" s="1"/>
  <c r="BG76" i="2" l="1"/>
  <c r="BG77" i="2" s="1"/>
  <c r="BG68" i="2" s="1"/>
  <c r="BG69" i="2" s="1"/>
  <c r="BG70" i="2" s="1"/>
  <c r="BG40" i="2" s="1"/>
  <c r="BG86" i="2"/>
  <c r="BG87" i="2" s="1"/>
  <c r="BG41" i="2" s="1"/>
  <c r="BF45" i="2"/>
  <c r="BF46" i="2" s="1"/>
  <c r="BF51" i="2" s="1"/>
  <c r="BG44" i="2" l="1"/>
  <c r="BG45" i="2" s="1"/>
  <c r="BG46" i="2" s="1"/>
  <c r="BG51" i="2" s="1"/>
  <c r="BH75" i="2"/>
  <c r="BH85" i="2"/>
  <c r="BH76" i="2"/>
  <c r="BH77" i="2" s="1"/>
  <c r="BH68" i="2" s="1"/>
  <c r="BI73" i="2"/>
  <c r="BI74" i="2" s="1"/>
  <c r="BH43" i="2"/>
  <c r="BH47" i="2" s="1"/>
  <c r="BH67" i="2"/>
  <c r="BH82" i="2"/>
  <c r="BH83" i="2" s="1"/>
  <c r="BH84" i="2" s="1"/>
  <c r="BH86" i="2" l="1"/>
  <c r="BH87" i="2" s="1"/>
  <c r="BH41" i="2" s="1"/>
  <c r="BI85" i="2"/>
  <c r="BH69" i="2"/>
  <c r="BH70" i="2" s="1"/>
  <c r="BH40" i="2" s="1"/>
  <c r="BH44" i="2" l="1"/>
  <c r="BI67" i="2"/>
  <c r="BI43" i="2"/>
  <c r="BI47" i="2" s="1"/>
  <c r="BI75" i="2"/>
  <c r="BI82" i="2"/>
  <c r="BI83" i="2" s="1"/>
  <c r="BI84" i="2" s="1"/>
  <c r="BI86" i="2" l="1"/>
  <c r="BI87" i="2" s="1"/>
  <c r="BI41" i="2" s="1"/>
  <c r="BJ73" i="2"/>
  <c r="BJ74" i="2" s="1"/>
  <c r="BI76" i="2"/>
  <c r="BI77" i="2" s="1"/>
  <c r="BI68" i="2" s="1"/>
  <c r="BI69" i="2" s="1"/>
  <c r="BI70" i="2" s="1"/>
  <c r="BI40" i="2" s="1"/>
  <c r="BH45" i="2"/>
  <c r="BH46" i="2" s="1"/>
  <c r="BH51" i="2" s="1"/>
  <c r="BI44" i="2" l="1"/>
  <c r="BJ82" i="2"/>
  <c r="BJ83" i="2" s="1"/>
  <c r="BJ84" i="2" s="1"/>
  <c r="BI45" i="2"/>
  <c r="BI46" i="2" s="1"/>
  <c r="BI51" i="2" s="1"/>
  <c r="BJ75" i="2" l="1"/>
  <c r="BK73" i="2" s="1"/>
  <c r="BK74" i="2" s="1"/>
  <c r="BJ85" i="2"/>
  <c r="BJ86" i="2" s="1"/>
  <c r="BJ87" i="2" s="1"/>
  <c r="BJ41" i="2" s="1"/>
  <c r="BJ43" i="2"/>
  <c r="BJ47" i="2" s="1"/>
  <c r="BJ67" i="2"/>
  <c r="BJ76" i="2" l="1"/>
  <c r="BJ77" i="2" s="1"/>
  <c r="BJ68" i="2" s="1"/>
  <c r="BJ69" i="2" s="1"/>
  <c r="BJ70" i="2" s="1"/>
  <c r="BK75" i="2" l="1"/>
  <c r="BL73" i="2" s="1"/>
  <c r="BL74" i="2" s="1"/>
  <c r="BK85" i="2"/>
  <c r="BJ40" i="2"/>
  <c r="BK82" i="2"/>
  <c r="BK83" i="2" s="1"/>
  <c r="BK84" i="2" s="1"/>
  <c r="BK43" i="2"/>
  <c r="BK47" i="2" s="1"/>
  <c r="BK67" i="2"/>
  <c r="BJ44" i="2" l="1"/>
  <c r="BJ45" i="2" s="1"/>
  <c r="BJ46" i="2" s="1"/>
  <c r="BJ51" i="2" s="1"/>
  <c r="BK76" i="2"/>
  <c r="BK77" i="2" s="1"/>
  <c r="BK68" i="2" s="1"/>
  <c r="BK86" i="2"/>
  <c r="BK87" i="2" s="1"/>
  <c r="BK41" i="2" s="1"/>
  <c r="BK69" i="2"/>
  <c r="BK70" i="2" s="1"/>
  <c r="BL75" i="2" l="1"/>
  <c r="BL76" i="2" s="1"/>
  <c r="BL77" i="2" s="1"/>
  <c r="BL68" i="2" s="1"/>
  <c r="BL85" i="2"/>
  <c r="BL82" i="2"/>
  <c r="BL83" i="2" s="1"/>
  <c r="BL84" i="2" s="1"/>
  <c r="BK40" i="2"/>
  <c r="BL43" i="2"/>
  <c r="BL47" i="2" s="1"/>
  <c r="BL67" i="2"/>
  <c r="BK44" i="2" l="1"/>
  <c r="BK45" i="2" s="1"/>
  <c r="BK46" i="2" s="1"/>
  <c r="BK51" i="2" s="1"/>
  <c r="BM73" i="2"/>
  <c r="BM74" i="2" s="1"/>
  <c r="BL86" i="2"/>
  <c r="BL87" i="2" s="1"/>
  <c r="BL41" i="2" s="1"/>
  <c r="BL69" i="2"/>
  <c r="BL70" i="2" s="1"/>
  <c r="BM75" i="2" l="1"/>
  <c r="BN73" i="2" s="1"/>
  <c r="BN74" i="2" s="1"/>
  <c r="BM85" i="2"/>
  <c r="BM82" i="2"/>
  <c r="BM83" i="2" s="1"/>
  <c r="BM84" i="2" s="1"/>
  <c r="BL40" i="2"/>
  <c r="BM67" i="2"/>
  <c r="BM43" i="2"/>
  <c r="BM47" i="2" s="1"/>
  <c r="BM76" i="2" l="1"/>
  <c r="BM77" i="2" s="1"/>
  <c r="BM68" i="2" s="1"/>
  <c r="BM69" i="2" s="1"/>
  <c r="BM70" i="2" s="1"/>
  <c r="BL44" i="2"/>
  <c r="BL45" i="2" s="1"/>
  <c r="BL46" i="2" s="1"/>
  <c r="BL51" i="2" s="1"/>
  <c r="BM86" i="2"/>
  <c r="BM87" i="2" s="1"/>
  <c r="BM41" i="2" s="1"/>
  <c r="BN75" i="2" l="1"/>
  <c r="BO73" i="2" s="1"/>
  <c r="BO74" i="2" s="1"/>
  <c r="BN85" i="2"/>
  <c r="BN82" i="2"/>
  <c r="BN83" i="2" s="1"/>
  <c r="BN84" i="2" s="1"/>
  <c r="BM40" i="2"/>
  <c r="BN43" i="2"/>
  <c r="BN47" i="2" s="1"/>
  <c r="BN67" i="2"/>
  <c r="BM44" i="2" l="1"/>
  <c r="BM45" i="2" s="1"/>
  <c r="BM46" i="2" s="1"/>
  <c r="BM51" i="2" s="1"/>
  <c r="BN76" i="2"/>
  <c r="BN77" i="2" s="1"/>
  <c r="BN68" i="2" s="1"/>
  <c r="BN69" i="2" s="1"/>
  <c r="BN70" i="2" s="1"/>
  <c r="BN86" i="2"/>
  <c r="BN87" i="2" s="1"/>
  <c r="BN41" i="2" s="1"/>
  <c r="BO75" i="2" l="1"/>
  <c r="BO76" i="2" s="1"/>
  <c r="BO77" i="2" s="1"/>
  <c r="BO68" i="2" s="1"/>
  <c r="BO85" i="2"/>
  <c r="BO82" i="2"/>
  <c r="BO83" i="2" s="1"/>
  <c r="BO84" i="2" s="1"/>
  <c r="BN40" i="2"/>
  <c r="BO67" i="2"/>
  <c r="BO43" i="2"/>
  <c r="BO47" i="2" s="1"/>
  <c r="BN44" i="2" l="1"/>
  <c r="BN45" i="2" s="1"/>
  <c r="BN46" i="2" s="1"/>
  <c r="BN51" i="2" s="1"/>
  <c r="BP73" i="2"/>
  <c r="BP74" i="2" s="1"/>
  <c r="BO86" i="2"/>
  <c r="BO87" i="2" s="1"/>
  <c r="BO41" i="2" s="1"/>
  <c r="BO69" i="2"/>
  <c r="BO70" i="2" s="1"/>
  <c r="BP75" i="2" l="1"/>
  <c r="BQ73" i="2" s="1"/>
  <c r="BQ74" i="2" s="1"/>
  <c r="BP85" i="2"/>
  <c r="BP82" i="2"/>
  <c r="BP83" i="2" s="1"/>
  <c r="BP84" i="2" s="1"/>
  <c r="BO40" i="2"/>
  <c r="BP67" i="2"/>
  <c r="BP43" i="2"/>
  <c r="BP47" i="2" s="1"/>
  <c r="BP76" i="2" l="1"/>
  <c r="BP77" i="2" s="1"/>
  <c r="BP68" i="2" s="1"/>
  <c r="BP69" i="2" s="1"/>
  <c r="BP70" i="2" s="1"/>
  <c r="BP40" i="2" s="1"/>
  <c r="BO44" i="2"/>
  <c r="BO45" i="2" s="1"/>
  <c r="BO46" i="2" s="1"/>
  <c r="BO51" i="2" s="1"/>
  <c r="BP86" i="2"/>
  <c r="BP87" i="2" s="1"/>
  <c r="BP41" i="2" s="1"/>
  <c r="BP44" i="2" l="1"/>
  <c r="BP45" i="2" s="1"/>
  <c r="BP46" i="2" s="1"/>
  <c r="BP51" i="2" s="1"/>
  <c r="BQ75" i="2"/>
  <c r="BR73" i="2" s="1"/>
  <c r="BR74" i="2" s="1"/>
  <c r="BQ85" i="2"/>
  <c r="BQ82" i="2"/>
  <c r="BQ83" i="2" s="1"/>
  <c r="BQ84" i="2" s="1"/>
  <c r="BQ67" i="2"/>
  <c r="BQ43" i="2"/>
  <c r="BQ47" i="2" s="1"/>
  <c r="BQ76" i="2" l="1"/>
  <c r="BQ77" i="2" s="1"/>
  <c r="BQ68" i="2" s="1"/>
  <c r="BQ69" i="2" s="1"/>
  <c r="BQ70" i="2" s="1"/>
  <c r="BQ40" i="2" s="1"/>
  <c r="BQ86" i="2"/>
  <c r="BQ87" i="2" s="1"/>
  <c r="BQ41" i="2" s="1"/>
  <c r="BQ44" i="2" l="1"/>
  <c r="BQ45" i="2" s="1"/>
  <c r="BQ46" i="2" s="1"/>
  <c r="BQ51" i="2" s="1"/>
  <c r="BR75" i="2"/>
  <c r="BS73" i="2" s="1"/>
  <c r="BS74" i="2" s="1"/>
  <c r="BR85" i="2"/>
  <c r="BR82" i="2"/>
  <c r="BR83" i="2" s="1"/>
  <c r="BR84" i="2" s="1"/>
  <c r="BR43" i="2"/>
  <c r="BR47" i="2" s="1"/>
  <c r="BR67" i="2"/>
  <c r="BR76" i="2" l="1"/>
  <c r="BR77" i="2" s="1"/>
  <c r="BR68" i="2" s="1"/>
  <c r="BR69" i="2" s="1"/>
  <c r="BR70" i="2" s="1"/>
  <c r="BR40" i="2" s="1"/>
  <c r="BR86" i="2"/>
  <c r="BR87" i="2" s="1"/>
  <c r="BR41" i="2" s="1"/>
  <c r="BR44" i="2" l="1"/>
  <c r="BR45" i="2" s="1"/>
  <c r="BR46" i="2" s="1"/>
  <c r="BR51" i="2" s="1"/>
  <c r="BS82" i="2"/>
  <c r="BS83" i="2" s="1"/>
  <c r="BS84" i="2" s="1"/>
  <c r="BS75" i="2"/>
  <c r="BT73" i="2" s="1"/>
  <c r="BS85" i="2"/>
  <c r="BS67" i="2"/>
  <c r="BS43" i="2"/>
  <c r="BS47" i="2" s="1"/>
  <c r="BT47" i="2" s="1"/>
  <c r="BS76" i="2" l="1"/>
  <c r="BS77" i="2" s="1"/>
  <c r="BS68" i="2" s="1"/>
  <c r="BS69" i="2" s="1"/>
  <c r="BS70" i="2" s="1"/>
  <c r="BS40" i="2" s="1"/>
  <c r="BT74" i="2"/>
  <c r="BT75" i="2" s="1"/>
  <c r="BT76" i="2" s="1"/>
  <c r="BT77" i="2" s="1"/>
  <c r="BS86" i="2"/>
  <c r="BS87" i="2" s="1"/>
  <c r="BS41" i="2" s="1"/>
  <c r="BS44" i="2" l="1"/>
  <c r="BS45" i="2" s="1"/>
  <c r="BS46" i="2" s="1"/>
  <c r="BS51" i="2" s="1"/>
  <c r="E45" i="2" l="1"/>
  <c r="E94" i="2" l="1"/>
  <c r="E46" i="2"/>
  <c r="BT46" i="2" s="1"/>
  <c r="E51" i="2" l="1"/>
  <c r="D53" i="2" s="1"/>
  <c r="D55" i="2" l="1"/>
  <c r="BT51" i="2"/>
</calcChain>
</file>

<file path=xl/sharedStrings.xml><?xml version="1.0" encoding="utf-8"?>
<sst xmlns="http://schemas.openxmlformats.org/spreadsheetml/2006/main" count="515" uniqueCount="187">
  <si>
    <t>Pris</t>
  </si>
  <si>
    <t>Volum</t>
  </si>
  <si>
    <t>Alt. A</t>
  </si>
  <si>
    <t>Alt. B</t>
  </si>
  <si>
    <t>Alt. C</t>
  </si>
  <si>
    <t>Investeringsbeløp</t>
  </si>
  <si>
    <t>Variable kostnader</t>
  </si>
  <si>
    <t>Resultat f. skatt</t>
  </si>
  <si>
    <t>Resultat e. skatt</t>
  </si>
  <si>
    <t>Inntekt (pris*volum)</t>
  </si>
  <si>
    <t>Avskrivning</t>
  </si>
  <si>
    <t>Forhold aktivering/kostn.føring = 70/30</t>
  </si>
  <si>
    <t>Konsesjonsavgift målt i Kr pr MWh</t>
  </si>
  <si>
    <t>Konsesjonskraftmengde MWh</t>
  </si>
  <si>
    <t>Innmatingskostnader fastledd (kr pr MWh)</t>
  </si>
  <si>
    <t>Innmatingskostnader variabelt ledd (% av spotinntekter)</t>
  </si>
  <si>
    <t>Kostn pr VVO for D/V = 106.600 kr (målt i år 17-verdi)</t>
  </si>
  <si>
    <t>Kostn pr VVO for Rehab = 115.400 kr (målt i år 17-verdi)</t>
  </si>
  <si>
    <t>SUM</t>
  </si>
  <si>
    <t>VVO Maudal krv</t>
  </si>
  <si>
    <t>Beskrivelse</t>
  </si>
  <si>
    <t>MW</t>
  </si>
  <si>
    <t>(mill)</t>
  </si>
  <si>
    <t>GWh</t>
  </si>
  <si>
    <t>PrisProfil</t>
  </si>
  <si>
    <t>D&amp;V</t>
  </si>
  <si>
    <t>Rehab</t>
  </si>
  <si>
    <t>4 aggr og  2 rør</t>
  </si>
  <si>
    <t>2 aggr og 1 rør</t>
  </si>
  <si>
    <t>1 aggr og 1 rør</t>
  </si>
  <si>
    <t>Løsninger for Maudal kraftverk:</t>
  </si>
  <si>
    <t>Produksjon</t>
  </si>
  <si>
    <t>KS</t>
  </si>
  <si>
    <t>Endring i AK</t>
  </si>
  <si>
    <t>AK</t>
  </si>
  <si>
    <t>Alt A</t>
  </si>
  <si>
    <t>Alt B</t>
  </si>
  <si>
    <t>Alt C</t>
  </si>
  <si>
    <t>Drift og vedlikehold</t>
  </si>
  <si>
    <t>Rehabilitering</t>
  </si>
  <si>
    <t>Inflasjon</t>
  </si>
  <si>
    <t>Konsensjonavgift</t>
  </si>
  <si>
    <t>Produsjon</t>
  </si>
  <si>
    <t>VVO=</t>
  </si>
  <si>
    <t>Vektede vedlikeholdsobjekt</t>
  </si>
  <si>
    <t>D&amp;V=</t>
  </si>
  <si>
    <t>Innmatingskostnader</t>
  </si>
  <si>
    <t>Kostn pr VVO for D/V (målt i år 17-verdi)</t>
  </si>
  <si>
    <t>Kostn pr VVO for Rehab(målt i år 17-verdi)</t>
  </si>
  <si>
    <t>Hjelpemodell</t>
  </si>
  <si>
    <t>DV volum</t>
  </si>
  <si>
    <t>Rehab volum</t>
  </si>
  <si>
    <t>Andre driftskostnader</t>
  </si>
  <si>
    <t>Grunnrenteskatt</t>
  </si>
  <si>
    <t>Naturressursskatt</t>
  </si>
  <si>
    <t>Eiendomsskatt</t>
  </si>
  <si>
    <t>Valutakurs EURO til NOK</t>
  </si>
  <si>
    <t>Prisprofil</t>
  </si>
  <si>
    <t>Volum (MWh)</t>
  </si>
  <si>
    <t>Skatt  (23%)</t>
  </si>
  <si>
    <t>Selskapsskatt</t>
  </si>
  <si>
    <t>Grunnrenteskatt (37,5%)</t>
  </si>
  <si>
    <t>Spotmarkedpris</t>
  </si>
  <si>
    <t>Normert markedsverdi av kraftproduksjon</t>
  </si>
  <si>
    <t>Fradragsposter</t>
  </si>
  <si>
    <t>Driftkostnader</t>
  </si>
  <si>
    <t>Avskrivninger</t>
  </si>
  <si>
    <t>Friinntekt (avkastning på investeringen)</t>
  </si>
  <si>
    <t>Saldo før avskrivninger/ IB AM</t>
  </si>
  <si>
    <t>Saldo etter avskrivninger/ UB AM</t>
  </si>
  <si>
    <t>IB (AM) + UB (AM) /2</t>
  </si>
  <si>
    <t>Friinntekt</t>
  </si>
  <si>
    <t>Avskrivningssaldo, særregler for vannkraftverk</t>
  </si>
  <si>
    <t>Friinntekt, normrente (2018)</t>
  </si>
  <si>
    <t>Naturressursskatt (sats)</t>
  </si>
  <si>
    <t>Driftsinntekter</t>
  </si>
  <si>
    <t>Driftskostnader (Rehab + D&amp;V+ Konsensjon)</t>
  </si>
  <si>
    <t>Driftsresultat før avskrivninger, etter grunnrenteskatt</t>
  </si>
  <si>
    <t>Grunnrenteskattegrunnlag</t>
  </si>
  <si>
    <t>Grunnrenteskatt (35,7%)</t>
  </si>
  <si>
    <t>Grunnrenteskatt (sats)</t>
  </si>
  <si>
    <t>Kapitaliseringsrente (fastsatt siden 2013)</t>
  </si>
  <si>
    <t>=</t>
  </si>
  <si>
    <t>Eiendomsskattesats</t>
  </si>
  <si>
    <t>Volum (kWh)</t>
  </si>
  <si>
    <t>Naturresurssats 1,3 øre pr kilowattime</t>
  </si>
  <si>
    <t>Naturressursskatt i kroner</t>
  </si>
  <si>
    <t>Historiske beregninger av Lyse Prod. AS for AK og SI</t>
  </si>
  <si>
    <t>År</t>
  </si>
  <si>
    <t>OM</t>
  </si>
  <si>
    <t>KG</t>
  </si>
  <si>
    <t>SI</t>
  </si>
  <si>
    <t>AK/SI</t>
  </si>
  <si>
    <t>-</t>
  </si>
  <si>
    <t>Gjennomsnitt</t>
  </si>
  <si>
    <t>AK (IB)</t>
  </si>
  <si>
    <t>AK (UB)</t>
  </si>
  <si>
    <t>Justering</t>
  </si>
  <si>
    <t>NNV</t>
  </si>
  <si>
    <t>Avkastningskrav</t>
  </si>
  <si>
    <t>IRR</t>
  </si>
  <si>
    <t>Beta (Unlevered beta corrected for cash)</t>
  </si>
  <si>
    <t>WACC</t>
  </si>
  <si>
    <t>wEK</t>
  </si>
  <si>
    <t>wG</t>
  </si>
  <si>
    <t>rG</t>
  </si>
  <si>
    <t>Lånerente</t>
  </si>
  <si>
    <t>Avkastningskrav (TK, marked uten gjeld) etter skatt</t>
  </si>
  <si>
    <t>rtk = wek*rek+wg*rg(1-s)</t>
  </si>
  <si>
    <t>4,65 = 0,3*rek+(0,7*(0,03(1-0,23)))</t>
  </si>
  <si>
    <t>Rek= 0,155-0,0539</t>
  </si>
  <si>
    <t>Avkastning (EK, med Lyse gjeld) etter skatt</t>
  </si>
  <si>
    <t>Levetid</t>
  </si>
  <si>
    <t>KONTROLL</t>
  </si>
  <si>
    <t>SCENARIO A</t>
  </si>
  <si>
    <t>SCENARIO B</t>
  </si>
  <si>
    <t>SCENARIO C</t>
  </si>
  <si>
    <t>Ingen naturressursskatt</t>
  </si>
  <si>
    <t>Saldo før avskrivning</t>
  </si>
  <si>
    <t>Saldo etter avskrivning</t>
  </si>
  <si>
    <t>Lineær avskrivning</t>
  </si>
  <si>
    <t>Endre på eiendomsskatt</t>
  </si>
  <si>
    <t>Ingen grunnrenteskatt</t>
  </si>
  <si>
    <t>DV/inntekt</t>
  </si>
  <si>
    <t>Rehab/prod</t>
  </si>
  <si>
    <t>produksjon-volum</t>
  </si>
  <si>
    <t>Samlet</t>
  </si>
  <si>
    <r>
      <rPr>
        <b/>
        <sz val="11"/>
        <color rgb="FFFF0000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Nåverdi av KS fra driften (uendelig levetid)</t>
    </r>
  </si>
  <si>
    <r>
      <rPr>
        <b/>
        <sz val="11"/>
        <color rgb="FFFF0000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Nåverdi av Fremtidige utskiftningskostnader</t>
    </r>
  </si>
  <si>
    <r>
      <t xml:space="preserve">Grunnlag for eiendomsskatt </t>
    </r>
    <r>
      <rPr>
        <b/>
        <sz val="11"/>
        <color rgb="FFFF0000"/>
        <rFont val="Calibri"/>
        <family val="2"/>
        <scheme val="minor"/>
      </rPr>
      <t>(A-B)</t>
    </r>
  </si>
  <si>
    <t>Eiendomsskatt (0,7% grunnlaget)</t>
  </si>
  <si>
    <t>NV</t>
  </si>
  <si>
    <t>Skjermingsfradrag</t>
  </si>
  <si>
    <t>Rtk = Rf (1-skatt) + Beta (Rm-(Rf (1-skatt))</t>
  </si>
  <si>
    <t>Risikofri rente (Rf)</t>
  </si>
  <si>
    <t>Forventet avkastning i markedet (Rm)</t>
  </si>
  <si>
    <t>Markedets risikopremie (Rm-Rf)</t>
  </si>
  <si>
    <t>50 år</t>
  </si>
  <si>
    <t>(A) Nåverdi av KS fra driften (uendelig levetid)</t>
  </si>
  <si>
    <t>(B) Nåverdi av Fremtidige utskiftningskostnader</t>
  </si>
  <si>
    <t>Grunnlag for eiendomsskatt (A-B)</t>
  </si>
  <si>
    <t>Endring i levetid</t>
  </si>
  <si>
    <t>40 år</t>
  </si>
  <si>
    <t>67 år</t>
  </si>
  <si>
    <t>Scenario</t>
  </si>
  <si>
    <t>A</t>
  </si>
  <si>
    <t>B</t>
  </si>
  <si>
    <t>C</t>
  </si>
  <si>
    <t>Nåverdiprofil</t>
  </si>
  <si>
    <t>Tall omgjort til millioner</t>
  </si>
  <si>
    <t>Nåverdiberegning og internrente</t>
  </si>
  <si>
    <t>Vektede vedlikeholdsobjekter</t>
  </si>
  <si>
    <t>Utnyttelsesgrad</t>
  </si>
  <si>
    <t>Installert effekt (MW)</t>
  </si>
  <si>
    <t>Teoretisk produksjonsvolum (GWh)</t>
  </si>
  <si>
    <t>Årlig produksjonsvolum GWh</t>
  </si>
  <si>
    <t>Utnyttelsesgrad i prosent</t>
  </si>
  <si>
    <t>Produksjons-volum</t>
  </si>
  <si>
    <r>
      <rPr>
        <b/>
        <u/>
        <sz val="12"/>
        <color rgb="FFFFFFFF"/>
        <rFont val="Times New Roman"/>
        <family val="1"/>
      </rPr>
      <t>Drift og vedlikehold</t>
    </r>
    <r>
      <rPr>
        <b/>
        <sz val="12"/>
        <color rgb="FFFFFFFF"/>
        <rFont val="Times New Roman"/>
        <family val="1"/>
      </rPr>
      <t xml:space="preserve"> Produksjonsvolum</t>
    </r>
  </si>
  <si>
    <r>
      <rPr>
        <b/>
        <u/>
        <sz val="12"/>
        <color rgb="FFFFFFFF"/>
        <rFont val="Times New Roman"/>
        <family val="1"/>
      </rPr>
      <t>Rehabilitering</t>
    </r>
    <r>
      <rPr>
        <b/>
        <sz val="12"/>
        <color rgb="FFFFFFFF"/>
        <rFont val="Times New Roman"/>
        <family val="1"/>
      </rPr>
      <t xml:space="preserve"> Produksjonsvolum</t>
    </r>
  </si>
  <si>
    <r>
      <rPr>
        <b/>
        <u/>
        <sz val="12"/>
        <color rgb="FFFFFFFF"/>
        <rFont val="Times New Roman"/>
        <family val="1"/>
      </rPr>
      <t>Drift og vedlikehold + Rehabilitering</t>
    </r>
    <r>
      <rPr>
        <b/>
        <sz val="12"/>
        <color rgb="FFFFFFFF"/>
        <rFont val="Times New Roman"/>
        <family val="1"/>
      </rPr>
      <t xml:space="preserve"> Produksjonsvolum</t>
    </r>
  </si>
  <si>
    <t>Konstruert risikofri rente</t>
  </si>
  <si>
    <t>10-årig statsobligasjon Norge</t>
  </si>
  <si>
    <t>10-årig statsobligasjon Tyskland</t>
  </si>
  <si>
    <t>Differanse mellom 10-årig statsobligasjoner</t>
  </si>
  <si>
    <t>30-årig statsobligasjon Tyskland</t>
  </si>
  <si>
    <t>Konstruert risikofri rente 30-årig Norge</t>
  </si>
  <si>
    <t>Forventet avkastning i marked (Rm)</t>
  </si>
  <si>
    <t>Markedets risikopremie (Rf-Rm)</t>
  </si>
  <si>
    <t>Beta (Unlevered corrected for cash)</t>
  </si>
  <si>
    <t>Avkastning</t>
  </si>
  <si>
    <t>Resultat av nåverdi- og IRR-metoden</t>
  </si>
  <si>
    <t>Prosentvis endring i pris</t>
  </si>
  <si>
    <t>Betaverdi</t>
  </si>
  <si>
    <t>Endring i avkastning (beta)</t>
  </si>
  <si>
    <t>Endring i skatteregler</t>
  </si>
  <si>
    <t>Prisendring</t>
  </si>
  <si>
    <t>Sensitivitetsanalyse for scenario C</t>
  </si>
  <si>
    <t>Sensitivitetsanalyse</t>
  </si>
  <si>
    <t>Økning i %</t>
  </si>
  <si>
    <t>NV tabell 1/NV tabell 2</t>
  </si>
  <si>
    <t>Kontroll</t>
  </si>
  <si>
    <t>Tabell 1: Nåverdi av scenario A, B og C gitt endring i skatteloven</t>
  </si>
  <si>
    <t>Tabell 2: Resultat av nåverdimetoden</t>
  </si>
  <si>
    <t>Prosenvis forskjell mellom nåverdi i scenario A og scenario B</t>
  </si>
  <si>
    <t>Scenario A/ Scenario B</t>
  </si>
  <si>
    <t>Forskjell i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</si>
</sst>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"/>
    <numFmt numFmtId="165" formatCode="#,##0.00_ ;[Red]\-#,##0.00\ "/>
    <numFmt numFmtId="166" formatCode="0.0\ %"/>
    <numFmt numFmtId="167" formatCode="0.0"/>
    <numFmt numFmtId="168" formatCode="#,##0.000"/>
    <numFmt numFmtId="169" formatCode="0.000\ %"/>
    <numFmt numFmtId="170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u/>
      <sz val="12"/>
      <color rgb="FFFFFFFF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/>
      <top/>
      <bottom style="medium">
        <color rgb="FF70AD47"/>
      </bottom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/>
      <right style="medium">
        <color rgb="FF70AD47"/>
      </right>
      <top/>
      <bottom style="medium">
        <color rgb="FF70AD4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70AD47"/>
      </bottom>
      <diagonal/>
    </border>
    <border>
      <left/>
      <right style="medium">
        <color indexed="64"/>
      </right>
      <top/>
      <bottom style="medium">
        <color rgb="FF70AD47"/>
      </bottom>
      <diagonal/>
    </border>
    <border>
      <left style="medium">
        <color indexed="64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indexed="64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rgb="FF70AD47"/>
      </top>
      <bottom style="medium">
        <color rgb="FF70AD47"/>
      </bottom>
      <diagonal/>
    </border>
    <border>
      <left/>
      <right style="medium">
        <color indexed="64"/>
      </right>
      <top style="medium">
        <color rgb="FF70AD47"/>
      </top>
      <bottom style="medium">
        <color rgb="FF70AD47"/>
      </bottom>
      <diagonal/>
    </border>
    <border>
      <left style="medium">
        <color indexed="64"/>
      </left>
      <right style="medium">
        <color rgb="FFA8D08D"/>
      </right>
      <top/>
      <bottom style="medium">
        <color indexed="64"/>
      </bottom>
      <diagonal/>
    </border>
    <border>
      <left/>
      <right style="medium">
        <color rgb="FFA8D08D"/>
      </right>
      <top/>
      <bottom style="medium">
        <color indexed="64"/>
      </bottom>
      <diagonal/>
    </border>
    <border>
      <left style="medium">
        <color rgb="FFA8D08D"/>
      </left>
      <right style="medium">
        <color rgb="FFA8D08D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164" fontId="0" fillId="0" borderId="0" xfId="0" applyNumberFormat="1"/>
    <xf numFmtId="164" fontId="0" fillId="0" borderId="0" xfId="0" quotePrefix="1" applyNumberForma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67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/>
    <xf numFmtId="4" fontId="0" fillId="0" borderId="0" xfId="0" applyNumberFormat="1"/>
    <xf numFmtId="9" fontId="0" fillId="0" borderId="0" xfId="0" applyNumberFormat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2" borderId="0" xfId="0" applyFill="1"/>
    <xf numFmtId="3" fontId="0" fillId="0" borderId="0" xfId="0" applyNumberFormat="1" applyFill="1"/>
    <xf numFmtId="4" fontId="0" fillId="2" borderId="0" xfId="0" applyNumberFormat="1" applyFill="1"/>
    <xf numFmtId="0" fontId="2" fillId="0" borderId="0" xfId="0" applyFont="1"/>
    <xf numFmtId="0" fontId="4" fillId="0" borderId="0" xfId="0" applyFont="1"/>
    <xf numFmtId="0" fontId="2" fillId="3" borderId="1" xfId="0" applyFont="1" applyFill="1" applyBorder="1"/>
    <xf numFmtId="3" fontId="0" fillId="3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166" fontId="0" fillId="0" borderId="0" xfId="1" quotePrefix="1" applyNumberFormat="1" applyFont="1" applyFill="1" applyAlignment="1"/>
    <xf numFmtId="0" fontId="2" fillId="0" borderId="0" xfId="0" applyFont="1" applyFill="1" applyBorder="1"/>
    <xf numFmtId="3" fontId="5" fillId="0" borderId="0" xfId="0" applyNumberFormat="1" applyFont="1" applyFill="1"/>
    <xf numFmtId="0" fontId="0" fillId="3" borderId="1" xfId="0" applyFill="1" applyBorder="1"/>
    <xf numFmtId="166" fontId="0" fillId="0" borderId="0" xfId="0" applyNumberFormat="1"/>
    <xf numFmtId="164" fontId="0" fillId="3" borderId="1" xfId="0" applyNumberFormat="1" applyFill="1" applyBorder="1"/>
    <xf numFmtId="164" fontId="2" fillId="0" borderId="0" xfId="0" applyNumberFormat="1" applyFont="1" applyFill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0" fontId="0" fillId="4" borderId="0" xfId="0" applyFill="1"/>
    <xf numFmtId="3" fontId="0" fillId="4" borderId="0" xfId="0" applyNumberFormat="1" applyFill="1"/>
    <xf numFmtId="164" fontId="0" fillId="3" borderId="4" xfId="0" applyNumberFormat="1" applyFill="1" applyBorder="1"/>
    <xf numFmtId="168" fontId="0" fillId="0" borderId="0" xfId="0" applyNumberFormat="1"/>
    <xf numFmtId="9" fontId="0" fillId="0" borderId="0" xfId="1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6" fillId="0" borderId="0" xfId="0" applyNumberFormat="1" applyFont="1"/>
    <xf numFmtId="0" fontId="0" fillId="3" borderId="4" xfId="0" applyFont="1" applyFill="1" applyBorder="1"/>
    <xf numFmtId="4" fontId="0" fillId="3" borderId="4" xfId="0" applyNumberFormat="1" applyFill="1" applyBorder="1"/>
    <xf numFmtId="3" fontId="6" fillId="3" borderId="4" xfId="0" applyNumberFormat="1" applyFont="1" applyFill="1" applyBorder="1"/>
    <xf numFmtId="10" fontId="0" fillId="0" borderId="0" xfId="0" applyNumberFormat="1"/>
    <xf numFmtId="10" fontId="0" fillId="0" borderId="0" xfId="1" applyNumberFormat="1" applyFont="1"/>
    <xf numFmtId="0" fontId="0" fillId="0" borderId="0" xfId="0" applyNumberFormat="1"/>
    <xf numFmtId="9" fontId="0" fillId="0" borderId="0" xfId="1" applyFont="1"/>
    <xf numFmtId="10" fontId="0" fillId="3" borderId="4" xfId="1" applyNumberFormat="1" applyFont="1" applyFill="1" applyBorder="1"/>
    <xf numFmtId="169" fontId="0" fillId="0" borderId="0" xfId="1" applyNumberFormat="1" applyFont="1"/>
    <xf numFmtId="2" fontId="0" fillId="0" borderId="0" xfId="0" applyNumberFormat="1"/>
    <xf numFmtId="0" fontId="6" fillId="0" borderId="0" xfId="0" applyFont="1"/>
    <xf numFmtId="0" fontId="7" fillId="0" borderId="0" xfId="0" applyFont="1"/>
    <xf numFmtId="3" fontId="5" fillId="0" borderId="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5" xfId="0" applyNumberFormat="1" applyBorder="1"/>
    <xf numFmtId="170" fontId="0" fillId="0" borderId="0" xfId="0" applyNumberFormat="1"/>
    <xf numFmtId="0" fontId="2" fillId="0" borderId="9" xfId="0" applyFont="1" applyBorder="1"/>
    <xf numFmtId="0" fontId="0" fillId="0" borderId="18" xfId="0" applyBorder="1"/>
    <xf numFmtId="3" fontId="0" fillId="6" borderId="18" xfId="0" applyNumberFormat="1" applyFill="1" applyBorder="1"/>
    <xf numFmtId="3" fontId="0" fillId="0" borderId="18" xfId="0" applyNumberFormat="1" applyBorder="1"/>
    <xf numFmtId="3" fontId="0" fillId="2" borderId="18" xfId="0" applyNumberFormat="1" applyFill="1" applyBorder="1"/>
    <xf numFmtId="3" fontId="0" fillId="6" borderId="10" xfId="0" applyNumberFormat="1" applyFill="1" applyBorder="1"/>
    <xf numFmtId="3" fontId="0" fillId="6" borderId="8" xfId="0" applyNumberFormat="1" applyFill="1" applyBorder="1"/>
    <xf numFmtId="9" fontId="0" fillId="3" borderId="4" xfId="1" applyFont="1" applyFill="1" applyBorder="1"/>
    <xf numFmtId="3" fontId="0" fillId="0" borderId="0" xfId="1" applyNumberFormat="1" applyFont="1" applyFill="1" applyBorder="1"/>
    <xf numFmtId="0" fontId="0" fillId="5" borderId="19" xfId="0" applyFill="1" applyBorder="1"/>
    <xf numFmtId="4" fontId="0" fillId="0" borderId="6" xfId="0" applyNumberFormat="1" applyBorder="1"/>
    <xf numFmtId="4" fontId="0" fillId="0" borderId="7" xfId="0" applyNumberFormat="1" applyBorder="1"/>
    <xf numFmtId="165" fontId="0" fillId="0" borderId="0" xfId="0" applyNumberFormat="1" applyFill="1"/>
    <xf numFmtId="165" fontId="0" fillId="0" borderId="0" xfId="0" quotePrefix="1" applyNumberFormat="1" applyFill="1" applyAlignment="1"/>
    <xf numFmtId="3" fontId="0" fillId="0" borderId="0" xfId="0" quotePrefix="1" applyNumberFormat="1" applyFill="1" applyAlignment="1"/>
    <xf numFmtId="0" fontId="8" fillId="0" borderId="0" xfId="2"/>
    <xf numFmtId="1" fontId="0" fillId="0" borderId="0" xfId="0" applyNumberFormat="1"/>
    <xf numFmtId="166" fontId="0" fillId="0" borderId="0" xfId="1" applyNumberFormat="1" applyFont="1"/>
    <xf numFmtId="0" fontId="0" fillId="0" borderId="20" xfId="0" applyBorder="1"/>
    <xf numFmtId="4" fontId="0" fillId="0" borderId="0" xfId="0" applyNumberFormat="1" applyBorder="1"/>
    <xf numFmtId="10" fontId="0" fillId="7" borderId="12" xfId="1" applyNumberFormat="1" applyFont="1" applyFill="1" applyBorder="1"/>
    <xf numFmtId="10" fontId="0" fillId="7" borderId="0" xfId="1" applyNumberFormat="1" applyFont="1" applyFill="1" applyBorder="1"/>
    <xf numFmtId="10" fontId="0" fillId="7" borderId="20" xfId="1" applyNumberFormat="1" applyFont="1" applyFill="1" applyBorder="1"/>
    <xf numFmtId="10" fontId="0" fillId="7" borderId="13" xfId="1" applyNumberFormat="1" applyFont="1" applyFill="1" applyBorder="1"/>
    <xf numFmtId="10" fontId="0" fillId="7" borderId="15" xfId="1" applyNumberFormat="1" applyFont="1" applyFill="1" applyBorder="1"/>
    <xf numFmtId="10" fontId="0" fillId="7" borderId="17" xfId="1" applyNumberFormat="1" applyFont="1" applyFill="1" applyBorder="1"/>
    <xf numFmtId="10" fontId="0" fillId="0" borderId="18" xfId="0" applyNumberFormat="1" applyBorder="1"/>
    <xf numFmtId="10" fontId="0" fillId="0" borderId="10" xfId="0" applyNumberFormat="1" applyBorder="1"/>
    <xf numFmtId="0" fontId="0" fillId="0" borderId="8" xfId="0" applyFill="1" applyBorder="1"/>
    <xf numFmtId="3" fontId="0" fillId="2" borderId="0" xfId="0" applyNumberFormat="1" applyFill="1"/>
    <xf numFmtId="0" fontId="0" fillId="5" borderId="21" xfId="0" applyFill="1" applyBorder="1"/>
    <xf numFmtId="3" fontId="0" fillId="5" borderId="22" xfId="0" applyNumberFormat="1" applyFill="1" applyBorder="1"/>
    <xf numFmtId="3" fontId="0" fillId="5" borderId="21" xfId="0" applyNumberFormat="1" applyFill="1" applyBorder="1"/>
    <xf numFmtId="166" fontId="0" fillId="0" borderId="0" xfId="0" applyNumberFormat="1" applyFill="1"/>
    <xf numFmtId="166" fontId="0" fillId="0" borderId="0" xfId="1" applyNumberFormat="1" applyFont="1" applyFill="1"/>
    <xf numFmtId="0" fontId="0" fillId="9" borderId="1" xfId="0" applyFill="1" applyBorder="1"/>
    <xf numFmtId="3" fontId="0" fillId="9" borderId="1" xfId="0" applyNumberFormat="1" applyFill="1" applyBorder="1"/>
    <xf numFmtId="0" fontId="9" fillId="11" borderId="23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10" fontId="11" fillId="12" borderId="2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0" fontId="11" fillId="0" borderId="27" xfId="0" applyNumberFormat="1" applyFont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10" fontId="11" fillId="13" borderId="27" xfId="0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/>
    <xf numFmtId="0" fontId="0" fillId="4" borderId="1" xfId="0" applyFill="1" applyBorder="1"/>
    <xf numFmtId="0" fontId="0" fillId="2" borderId="1" xfId="0" applyFill="1" applyBorder="1"/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5" borderId="8" xfId="0" applyFill="1" applyBorder="1"/>
    <xf numFmtId="0" fontId="0" fillId="5" borderId="7" xfId="0" applyFill="1" applyBorder="1"/>
    <xf numFmtId="0" fontId="0" fillId="8" borderId="14" xfId="0" applyFill="1" applyBorder="1"/>
    <xf numFmtId="10" fontId="0" fillId="8" borderId="15" xfId="1" applyNumberFormat="1" applyFont="1" applyFill="1" applyBorder="1"/>
    <xf numFmtId="0" fontId="0" fillId="8" borderId="16" xfId="0" applyFill="1" applyBorder="1"/>
    <xf numFmtId="10" fontId="0" fillId="8" borderId="17" xfId="1" applyNumberFormat="1" applyFont="1" applyFill="1" applyBorder="1"/>
    <xf numFmtId="9" fontId="0" fillId="8" borderId="9" xfId="0" applyNumberFormat="1" applyFill="1" applyBorder="1"/>
    <xf numFmtId="9" fontId="0" fillId="8" borderId="18" xfId="0" applyNumberFormat="1" applyFill="1" applyBorder="1"/>
    <xf numFmtId="9" fontId="0" fillId="8" borderId="10" xfId="0" applyNumberFormat="1" applyFill="1" applyBorder="1"/>
    <xf numFmtId="3" fontId="0" fillId="5" borderId="7" xfId="0" applyNumberFormat="1" applyFill="1" applyBorder="1"/>
    <xf numFmtId="0" fontId="0" fillId="2" borderId="8" xfId="0" applyFill="1" applyBorder="1" applyAlignment="1">
      <alignment vertical="center" wrapText="1"/>
    </xf>
    <xf numFmtId="0" fontId="0" fillId="10" borderId="9" xfId="0" applyFill="1" applyBorder="1"/>
    <xf numFmtId="3" fontId="0" fillId="8" borderId="9" xfId="0" applyNumberFormat="1" applyFill="1" applyBorder="1"/>
    <xf numFmtId="3" fontId="0" fillId="8" borderId="13" xfId="0" applyNumberFormat="1" applyFill="1" applyBorder="1"/>
    <xf numFmtId="3" fontId="0" fillId="8" borderId="18" xfId="0" applyNumberFormat="1" applyFill="1" applyBorder="1"/>
    <xf numFmtId="3" fontId="0" fillId="8" borderId="15" xfId="0" applyNumberFormat="1" applyFill="1" applyBorder="1"/>
    <xf numFmtId="3" fontId="0" fillId="8" borderId="10" xfId="0" applyNumberFormat="1" applyFill="1" applyBorder="1"/>
    <xf numFmtId="3" fontId="0" fillId="8" borderId="17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0" fillId="12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0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9" borderId="2" xfId="0" applyFill="1" applyBorder="1" applyAlignment="1">
      <alignment vertical="center" wrapText="1"/>
    </xf>
    <xf numFmtId="10" fontId="0" fillId="9" borderId="3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10" fontId="0" fillId="0" borderId="0" xfId="0" applyNumberFormat="1" applyBorder="1"/>
    <xf numFmtId="9" fontId="0" fillId="0" borderId="0" xfId="0" applyNumberFormat="1" applyBorder="1"/>
    <xf numFmtId="0" fontId="0" fillId="9" borderId="2" xfId="0" applyFill="1" applyBorder="1" applyAlignment="1">
      <alignment wrapText="1"/>
    </xf>
    <xf numFmtId="10" fontId="0" fillId="9" borderId="2" xfId="1" applyNumberFormat="1" applyFont="1" applyFill="1" applyBorder="1"/>
    <xf numFmtId="0" fontId="4" fillId="0" borderId="0" xfId="0" applyFont="1" applyBorder="1" applyAlignment="1">
      <alignment wrapText="1"/>
    </xf>
    <xf numFmtId="0" fontId="11" fillId="12" borderId="27" xfId="0" applyFont="1" applyFill="1" applyBorder="1" applyAlignment="1">
      <alignment vertical="center" wrapText="1"/>
    </xf>
    <xf numFmtId="10" fontId="11" fillId="12" borderId="27" xfId="0" applyNumberFormat="1" applyFont="1" applyFill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10" fontId="11" fillId="0" borderId="27" xfId="0" applyNumberFormat="1" applyFont="1" applyBorder="1" applyAlignment="1">
      <alignment vertical="center" wrapText="1"/>
    </xf>
    <xf numFmtId="0" fontId="9" fillId="11" borderId="29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vertical="center" wrapText="1"/>
    </xf>
    <xf numFmtId="0" fontId="9" fillId="11" borderId="3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12" borderId="26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9" fontId="10" fillId="12" borderId="34" xfId="0" applyNumberFormat="1" applyFont="1" applyFill="1" applyBorder="1" applyAlignment="1">
      <alignment horizontal="center" vertical="center" wrapText="1"/>
    </xf>
    <xf numFmtId="10" fontId="11" fillId="12" borderId="35" xfId="0" applyNumberFormat="1" applyFont="1" applyFill="1" applyBorder="1" applyAlignment="1">
      <alignment horizontal="center" vertical="center" wrapText="1"/>
    </xf>
    <xf numFmtId="9" fontId="10" fillId="0" borderId="34" xfId="0" applyNumberFormat="1" applyFont="1" applyBorder="1" applyAlignment="1">
      <alignment horizontal="center" vertical="center" wrapText="1"/>
    </xf>
    <xf numFmtId="10" fontId="11" fillId="13" borderId="35" xfId="0" applyNumberFormat="1" applyFont="1" applyFill="1" applyBorder="1" applyAlignment="1">
      <alignment horizontal="center" vertical="center" wrapText="1"/>
    </xf>
    <xf numFmtId="9" fontId="10" fillId="13" borderId="3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9" fillId="11" borderId="36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0" fontId="11" fillId="0" borderId="35" xfId="0" applyNumberFormat="1" applyFont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10" fontId="11" fillId="13" borderId="39" xfId="0" applyNumberFormat="1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10" fontId="11" fillId="12" borderId="39" xfId="0" applyNumberFormat="1" applyFont="1" applyFill="1" applyBorder="1" applyAlignment="1">
      <alignment horizontal="center" vertical="center" wrapText="1"/>
    </xf>
    <xf numFmtId="10" fontId="11" fillId="12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0" fontId="16" fillId="0" borderId="0" xfId="0" applyNumberFormat="1" applyFont="1"/>
    <xf numFmtId="9" fontId="16" fillId="0" borderId="0" xfId="0" applyNumberFormat="1" applyFont="1"/>
    <xf numFmtId="0" fontId="16" fillId="3" borderId="4" xfId="0" applyFont="1" applyFill="1" applyBorder="1"/>
    <xf numFmtId="10" fontId="16" fillId="3" borderId="4" xfId="0" applyNumberFormat="1" applyFont="1" applyFill="1" applyBorder="1"/>
    <xf numFmtId="169" fontId="0" fillId="0" borderId="0" xfId="0" applyNumberFormat="1"/>
    <xf numFmtId="0" fontId="0" fillId="0" borderId="0" xfId="0" applyFill="1" applyBorder="1" applyAlignment="1">
      <alignment horizontal="center"/>
    </xf>
    <xf numFmtId="0" fontId="10" fillId="12" borderId="26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65" fontId="0" fillId="3" borderId="0" xfId="0" applyNumberFormat="1" applyFill="1"/>
    <xf numFmtId="164" fontId="0" fillId="3" borderId="0" xfId="0" applyNumberFormat="1" applyFill="1"/>
    <xf numFmtId="165" fontId="0" fillId="3" borderId="0" xfId="0" quotePrefix="1" applyNumberFormat="1" applyFill="1" applyAlignment="1"/>
    <xf numFmtId="166" fontId="0" fillId="3" borderId="0" xfId="1" quotePrefix="1" applyNumberFormat="1" applyFont="1" applyFill="1" applyAlignment="1"/>
    <xf numFmtId="2" fontId="11" fillId="0" borderId="27" xfId="0" applyNumberFormat="1" applyFont="1" applyBorder="1" applyAlignment="1">
      <alignment vertical="center" wrapText="1"/>
    </xf>
    <xf numFmtId="169" fontId="11" fillId="12" borderId="27" xfId="0" applyNumberFormat="1" applyFont="1" applyFill="1" applyBorder="1" applyAlignment="1">
      <alignment vertical="center" wrapText="1"/>
    </xf>
    <xf numFmtId="0" fontId="18" fillId="0" borderId="0" xfId="0" applyFont="1"/>
    <xf numFmtId="0" fontId="18" fillId="0" borderId="41" xfId="0" applyFont="1" applyFill="1" applyBorder="1"/>
    <xf numFmtId="10" fontId="0" fillId="0" borderId="0" xfId="1" applyNumberFormat="1" applyFont="1" applyFill="1"/>
    <xf numFmtId="4" fontId="0" fillId="8" borderId="5" xfId="0" applyNumberFormat="1" applyFill="1" applyBorder="1"/>
    <xf numFmtId="4" fontId="0" fillId="8" borderId="6" xfId="0" applyNumberFormat="1" applyFill="1" applyBorder="1"/>
    <xf numFmtId="0" fontId="0" fillId="8" borderId="7" xfId="0" applyFill="1" applyBorder="1"/>
    <xf numFmtId="9" fontId="0" fillId="8" borderId="5" xfId="1" applyFont="1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0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9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37">
    <dxf>
      <numFmt numFmtId="14" formatCode="0.00\ %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\ %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0.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Nåverdiprofil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'Nåverdi, IRR og Nåverdiprofil'!$B$14:$B$23</c:f>
              <c:numCache>
                <c:formatCode>0%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</c:numCache>
            </c:numRef>
          </c:cat>
          <c:val>
            <c:numRef>
              <c:f>'Nåverdi, IRR og Nåverdiprofil'!$C$14:$C$23</c:f>
              <c:numCache>
                <c:formatCode>#,##0</c:formatCode>
                <c:ptCount val="10"/>
                <c:pt idx="0">
                  <c:v>977.10294768853225</c:v>
                </c:pt>
                <c:pt idx="1">
                  <c:v>132.23127677671681</c:v>
                </c:pt>
                <c:pt idx="2">
                  <c:v>-3.2850958976879716E-2</c:v>
                </c:pt>
                <c:pt idx="3">
                  <c:v>-39.982430076681517</c:v>
                </c:pt>
                <c:pt idx="4">
                  <c:v>-58.246268735613647</c:v>
                </c:pt>
                <c:pt idx="5">
                  <c:v>-68.657934577921594</c:v>
                </c:pt>
                <c:pt idx="6">
                  <c:v>-75.384767020280691</c:v>
                </c:pt>
                <c:pt idx="7">
                  <c:v>-80.089125720151401</c:v>
                </c:pt>
                <c:pt idx="8">
                  <c:v>-83.563632132321828</c:v>
                </c:pt>
                <c:pt idx="9">
                  <c:v>-86.234356288414688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B8-433A-8101-0850A9C31067}"/>
            </c:ext>
          </c:extLst>
        </c:ser>
        <c:ser>
          <c:idx val="2"/>
          <c:order val="2"/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'Nåverdi, IRR og Nåverdiprofil'!$B$14:$B$23</c:f>
              <c:numCache>
                <c:formatCode>0%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</c:numCache>
            </c:numRef>
          </c:cat>
          <c:val>
            <c:numRef>
              <c:f>'Nåverdi, IRR og Nåverdiprofil'!$D$14:$D$23</c:f>
              <c:numCache>
                <c:formatCode>#,##0</c:formatCode>
                <c:ptCount val="10"/>
                <c:pt idx="0">
                  <c:v>1033.5936579102772</c:v>
                </c:pt>
                <c:pt idx="1">
                  <c:v>170.49234378401829</c:v>
                </c:pt>
                <c:pt idx="2">
                  <c:v>37.134860472566338</c:v>
                </c:pt>
                <c:pt idx="3">
                  <c:v>-2.7292209499708862</c:v>
                </c:pt>
                <c:pt idx="4">
                  <c:v>-20.837973601239398</c:v>
                </c:pt>
                <c:pt idx="5">
                  <c:v>-31.120659864596494</c:v>
                </c:pt>
                <c:pt idx="6">
                  <c:v>-37.746544916644417</c:v>
                </c:pt>
                <c:pt idx="7">
                  <c:v>-42.371333168792646</c:v>
                </c:pt>
                <c:pt idx="8">
                  <c:v>-45.781949371350287</c:v>
                </c:pt>
                <c:pt idx="9">
                  <c:v>-48.400386098620459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B8-433A-8101-0850A9C31067}"/>
            </c:ext>
          </c:extLst>
        </c:ser>
        <c:ser>
          <c:idx val="3"/>
          <c:order val="3"/>
          <c:spPr>
            <a:ln w="15875" cap="rnd" cmpd="sng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'Nåverdi, IRR og Nåverdiprofil'!$B$14:$B$23</c:f>
              <c:numCache>
                <c:formatCode>0%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</c:numCache>
            </c:numRef>
          </c:cat>
          <c:val>
            <c:numRef>
              <c:f>'Nåverdi, IRR og Nåverdiprofil'!$E$14:$E$23</c:f>
              <c:numCache>
                <c:formatCode>#,##0</c:formatCode>
                <c:ptCount val="10"/>
                <c:pt idx="0">
                  <c:v>1380.9500516501778</c:v>
                </c:pt>
                <c:pt idx="1">
                  <c:v>267.6592521576963</c:v>
                </c:pt>
                <c:pt idx="2">
                  <c:v>100.00651668390864</c:v>
                </c:pt>
                <c:pt idx="3">
                  <c:v>50.334537825874833</c:v>
                </c:pt>
                <c:pt idx="4">
                  <c:v>27.791618650994327</c:v>
                </c:pt>
                <c:pt idx="5">
                  <c:v>14.969295816791321</c:v>
                </c:pt>
                <c:pt idx="6">
                  <c:v>6.6848499698577637</c:v>
                </c:pt>
                <c:pt idx="7">
                  <c:v>0.8845851961802319</c:v>
                </c:pt>
                <c:pt idx="8">
                  <c:v>-3.406806536618836</c:v>
                </c:pt>
                <c:pt idx="9">
                  <c:v>-6.7123187423564046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5B8-433A-8101-0850A9C31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536976"/>
        <c:axId val="1471976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'Nåverdi, IRR og Nåverdiprofil'!$B$14:$B$23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0.05</c:v>
                      </c:pt>
                      <c:pt idx="2">
                        <c:v>0.1</c:v>
                      </c:pt>
                      <c:pt idx="3">
                        <c:v>0.15</c:v>
                      </c:pt>
                      <c:pt idx="4">
                        <c:v>0.2</c:v>
                      </c:pt>
                      <c:pt idx="5">
                        <c:v>0.25</c:v>
                      </c:pt>
                      <c:pt idx="6">
                        <c:v>0.3</c:v>
                      </c:pt>
                      <c:pt idx="7">
                        <c:v>0.35</c:v>
                      </c:pt>
                      <c:pt idx="8">
                        <c:v>0.4</c:v>
                      </c:pt>
                      <c:pt idx="9">
                        <c:v>0.45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'Nåverdi, IRR og Nåverdiprofil'!$B$14:$B$23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0.05</c:v>
                      </c:pt>
                      <c:pt idx="2">
                        <c:v>0.1</c:v>
                      </c:pt>
                      <c:pt idx="3">
                        <c:v>0.15</c:v>
                      </c:pt>
                      <c:pt idx="4">
                        <c:v>0.2</c:v>
                      </c:pt>
                      <c:pt idx="5">
                        <c:v>0.25</c:v>
                      </c:pt>
                      <c:pt idx="6">
                        <c:v>0.3</c:v>
                      </c:pt>
                      <c:pt idx="7">
                        <c:v>0.35</c:v>
                      </c:pt>
                      <c:pt idx="8">
                        <c:v>0.4</c:v>
                      </c:pt>
                      <c:pt idx="9">
                        <c:v>0.45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 </c15:sqref>
                              </c15:formulaRef>
                            </c:ext>
                          </c:extLst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0-95B8-433A-8101-0850A9C31067}"/>
                  </c:ext>
                </c:extLst>
              </c15:ser>
            </c15:filteredLineSeries>
          </c:ext>
        </c:extLst>
      </c:lineChart>
      <c:catAx>
        <c:axId val="94153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Avkastningskrav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976464"/>
        <c:crosses val="autoZero"/>
        <c:auto val="1"/>
        <c:lblAlgn val="ctr"/>
        <c:lblOffset val="100"/>
        <c:noMultiLvlLbl val="0"/>
      </c:catAx>
      <c:valAx>
        <c:axId val="1471976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Nåverdi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53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206374</xdr:colOff>
      <xdr:row>9</xdr:row>
      <xdr:rowOff>19050</xdr:rowOff>
    </xdr:from>
    <xdr:to>
      <xdr:col>11</xdr:col>
      <xdr:colOff>380999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4A6DBB-158F-439A-A3AC-946AB323C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1C752E-DB96-4FC2-893F-A7104B3AC9C9}" name="Table2" displayName="Table2" ref="A2:H6" headerRowCount="0" totalsRowShown="0" headerRowDxfId="36" dataDxfId="35">
  <tableColumns count="8">
    <tableColumn id="1" xr3:uid="{EF0D20F2-93A6-4ED8-A1E2-34DA86531DBC}" name="Column1" headerRowDxfId="34" dataDxfId="33"/>
    <tableColumn id="2" xr3:uid="{26FD1FA8-2BC9-4628-B828-3C9E409D6439}" name="Column2" headerRowDxfId="32" dataDxfId="31"/>
    <tableColumn id="3" xr3:uid="{F23C079D-9AF2-47CA-AD04-2381644056CE}" name="Column3" headerRowDxfId="30" dataDxfId="29"/>
    <tableColumn id="4" xr3:uid="{3E05E15A-FAA7-42DC-AC2A-02CC393B2E61}" name="Column4" headerRowDxfId="28" dataDxfId="27"/>
    <tableColumn id="5" xr3:uid="{1293B117-178B-4057-8BED-A1C4C3707359}" name="Column5" headerRowDxfId="26" dataDxfId="25"/>
    <tableColumn id="6" xr3:uid="{096D7E85-6587-41F1-AA1B-032638376EFB}" name="Column6" headerRowDxfId="24" dataDxfId="23"/>
    <tableColumn id="7" xr3:uid="{A9430E1C-E357-469B-A2F2-FF3715362B86}" name="Column7" headerRowDxfId="22" dataDxfId="21"/>
    <tableColumn id="8" xr3:uid="{6E22A089-639E-47EF-A70C-5873B7A4BED8}" name="Column8" headerRowDxfId="20" dataDxfId="1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702904-0010-475F-96EA-D47800714412}" name="Table5" displayName="Table5" ref="B14:D16" totalsRowShown="0" headerRowDxfId="18">
  <autoFilter ref="B14:D16" xr:uid="{41594FFE-89BF-432F-8EDA-F918D9A8FD41}"/>
  <tableColumns count="3">
    <tableColumn id="1" xr3:uid="{9A4EB9FE-D6DD-4869-9A3A-35401F2B2334}" name="Alt A" dataDxfId="17">
      <calculatedColumnFormula>115400*H3</calculatedColumnFormula>
    </tableColumn>
    <tableColumn id="2" xr3:uid="{67041130-9FD3-489D-B596-DD30DD1D0FD5}" name="Alt B" dataDxfId="16">
      <calculatedColumnFormula>115400*H4</calculatedColumnFormula>
    </tableColumn>
    <tableColumn id="3" xr3:uid="{CBAB9E97-1008-4508-AD2D-96AD3381FEC1}" name="Alt C" dataDxfId="15">
      <calculatedColumnFormula>115400*H5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EE021E-2864-4F2E-AE6E-E3D2D730541D}" name="Table7" displayName="Table7" ref="E12:I14" headerRowCount="0" totalsRowShown="0" headerRowDxfId="14">
  <tableColumns count="5">
    <tableColumn id="1" xr3:uid="{6E51463D-5B93-4790-8164-8F818E9CF5A4}" name="Column1" headerRowDxfId="13" dataDxfId="12"/>
    <tableColumn id="2" xr3:uid="{EE41603F-176B-42E9-8685-33E88A25E323}" name="Column2" headerRowDxfId="11">
      <calculatedColumnFormula>D5/I5</calculatedColumnFormula>
    </tableColumn>
    <tableColumn id="3" xr3:uid="{6C71A662-5B96-485A-B5C2-FCDD30E2E421}" name="Column3">
      <calculatedColumnFormula>C12-1</calculatedColumnFormula>
    </tableColumn>
    <tableColumn id="4" xr3:uid="{2BC93D9A-116A-4C66-9114-513EB6F0615D}" name="Column4" headerRowDxfId="10"/>
    <tableColumn id="5" xr3:uid="{5ADEB499-D7E8-45FB-A76A-5D86C8093730}" name="Column5" headerRowDxfId="9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081A03-E002-413A-A364-08123657836E}" name="Table3" displayName="Table3" ref="B23:C27" headerRowCount="0" totalsRowShown="0" headerRowDxfId="8" headerRowBorderDxfId="7" tableBorderDxfId="6">
  <tableColumns count="2">
    <tableColumn id="1" xr3:uid="{D2801EF2-32D9-4176-9921-FFD4CED1A78F}" name="Konstruert risikofri rente" headerRowDxfId="5"/>
    <tableColumn id="2" xr3:uid="{AF2D82DB-C7F0-42E0-8040-0E9646A45FCF}" name="Variabel" headerRowDxfId="4" dataDxfId="3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9041E1-71A9-466C-ACC7-42F7FC700D96}" name="Table4" displayName="Table4" ref="E23:F27" headerRowCount="0" totalsRowShown="0" tableBorderDxfId="2">
  <tableColumns count="2">
    <tableColumn id="1" xr3:uid="{EC6A8E15-68EE-46CB-B043-A8FF01944665}" name="Column1" headerRowDxfId="1"/>
    <tableColumn id="2" xr3:uid="{498B9BAB-2E44-4A7B-AE83-064908865599}" name="Column2" headerRow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865D-095B-453F-A279-0667EF614CE8}">
  <dimension ref="A1:M25"/>
  <sheetViews>
    <sheetView workbookViewId="0">
      <selection activeCell="C17" sqref="C17"/>
    </sheetView>
  </sheetViews>
  <sheetFormatPr defaultColWidth="8.90625" defaultRowHeight="14.5" x14ac:dyDescent="0.35"/>
  <cols>
    <col min="1" max="1" width="48.26953125" bestFit="1" customWidth="1"/>
    <col min="2" max="2" width="15.1796875" bestFit="1" customWidth="1"/>
    <col min="3" max="3" width="10.26953125" customWidth="1"/>
    <col min="4" max="4" width="16.08984375" customWidth="1"/>
    <col min="5" max="8" width="10.26953125" customWidth="1"/>
    <col min="9" max="9" width="13.90625" bestFit="1" customWidth="1"/>
    <col min="10" max="10" width="23.81640625" bestFit="1" customWidth="1"/>
  </cols>
  <sheetData>
    <row r="1" spans="1:13" x14ac:dyDescent="0.35">
      <c r="I1" s="2"/>
      <c r="J1" s="2"/>
      <c r="K1" s="2"/>
      <c r="L1" s="2"/>
      <c r="M1" s="2"/>
    </row>
    <row r="2" spans="1:13" x14ac:dyDescent="0.35">
      <c r="A2" s="3" t="s">
        <v>11</v>
      </c>
      <c r="B2" s="2"/>
      <c r="C2" s="2"/>
      <c r="D2" s="6" t="s">
        <v>18</v>
      </c>
      <c r="E2" s="201" t="s">
        <v>42</v>
      </c>
      <c r="F2" s="201"/>
      <c r="G2" s="201" t="s">
        <v>19</v>
      </c>
      <c r="H2" s="201"/>
      <c r="I2" s="2"/>
      <c r="J2" s="2"/>
      <c r="K2" s="2"/>
      <c r="L2" s="2"/>
      <c r="M2" s="2"/>
    </row>
    <row r="3" spans="1:13" x14ac:dyDescent="0.35">
      <c r="A3" s="2" t="s">
        <v>30</v>
      </c>
      <c r="B3" s="3" t="s">
        <v>20</v>
      </c>
      <c r="C3" s="3" t="s">
        <v>21</v>
      </c>
      <c r="D3" s="6" t="s">
        <v>22</v>
      </c>
      <c r="E3" s="7" t="s">
        <v>23</v>
      </c>
      <c r="F3" s="8" t="s">
        <v>24</v>
      </c>
      <c r="G3" s="2" t="s">
        <v>25</v>
      </c>
      <c r="H3" s="2" t="s">
        <v>26</v>
      </c>
      <c r="I3" s="2"/>
      <c r="J3" s="2"/>
      <c r="K3" s="2"/>
      <c r="L3" s="2"/>
      <c r="M3" s="2"/>
    </row>
    <row r="4" spans="1:13" x14ac:dyDescent="0.35">
      <c r="A4" s="2" t="s">
        <v>2</v>
      </c>
      <c r="B4" s="2" t="s">
        <v>27</v>
      </c>
      <c r="C4" s="7">
        <f>9+9+3.5+3.5</f>
        <v>25</v>
      </c>
      <c r="D4" s="2">
        <v>125</v>
      </c>
      <c r="E4" s="9">
        <v>103</v>
      </c>
      <c r="F4" s="8">
        <v>1.1639999999999999</v>
      </c>
      <c r="G4" s="2">
        <v>47.6</v>
      </c>
      <c r="H4" s="2">
        <v>19.600000000000001</v>
      </c>
      <c r="I4" s="2"/>
      <c r="J4" s="2"/>
      <c r="K4" s="2"/>
      <c r="L4" s="2"/>
      <c r="M4" s="2"/>
    </row>
    <row r="5" spans="1:13" x14ac:dyDescent="0.35">
      <c r="A5" s="2" t="s">
        <v>3</v>
      </c>
      <c r="B5" s="2" t="s">
        <v>28</v>
      </c>
      <c r="C5" s="7">
        <f>10+10</f>
        <v>20</v>
      </c>
      <c r="D5" s="2">
        <v>86</v>
      </c>
      <c r="E5" s="9">
        <v>104</v>
      </c>
      <c r="F5" s="8">
        <v>1.1100000000000001</v>
      </c>
      <c r="G5" s="2">
        <v>36.5</v>
      </c>
      <c r="H5" s="2">
        <v>15.1</v>
      </c>
      <c r="I5" s="2"/>
      <c r="J5" s="2"/>
      <c r="K5" s="2"/>
      <c r="L5" s="2"/>
      <c r="M5" s="2"/>
    </row>
    <row r="6" spans="1:13" x14ac:dyDescent="0.35">
      <c r="A6" s="2" t="s">
        <v>4</v>
      </c>
      <c r="B6" s="2" t="s">
        <v>29</v>
      </c>
      <c r="C6" s="7">
        <v>9.9</v>
      </c>
      <c r="D6" s="2">
        <v>45</v>
      </c>
      <c r="E6" s="9">
        <v>79</v>
      </c>
      <c r="F6" s="8">
        <v>1.0049999999999999</v>
      </c>
      <c r="G6" s="2">
        <v>23.4</v>
      </c>
      <c r="H6" s="2">
        <v>10.7</v>
      </c>
      <c r="I6" s="2"/>
      <c r="J6" s="2"/>
      <c r="K6" s="2"/>
      <c r="L6" s="2"/>
      <c r="M6" s="2"/>
    </row>
    <row r="7" spans="1:13" x14ac:dyDescent="0.35">
      <c r="A7" s="2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</row>
    <row r="8" spans="1:13" x14ac:dyDescent="0.35">
      <c r="A8" s="4" t="s">
        <v>12</v>
      </c>
      <c r="B8" s="204">
        <v>6.6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35">
      <c r="A9" s="4" t="s">
        <v>13</v>
      </c>
      <c r="B9" s="205">
        <v>8647</v>
      </c>
      <c r="C9" s="2"/>
      <c r="D9" s="2"/>
      <c r="E9" s="2" t="s">
        <v>43</v>
      </c>
      <c r="F9" s="2" t="s">
        <v>44</v>
      </c>
      <c r="G9" s="2"/>
      <c r="H9" s="2"/>
      <c r="K9" s="2"/>
      <c r="L9" s="2"/>
      <c r="M9" s="2"/>
    </row>
    <row r="10" spans="1:13" x14ac:dyDescent="0.35">
      <c r="A10" s="2"/>
      <c r="B10" s="2"/>
      <c r="C10" s="2"/>
      <c r="D10" s="2"/>
      <c r="E10" s="2" t="s">
        <v>45</v>
      </c>
      <c r="F10" s="2" t="s">
        <v>38</v>
      </c>
      <c r="G10" s="2"/>
      <c r="H10" s="2"/>
      <c r="K10" s="2"/>
      <c r="L10" s="2"/>
      <c r="M10" s="2"/>
    </row>
    <row r="11" spans="1:13" x14ac:dyDescent="0.35">
      <c r="A11" s="5" t="s">
        <v>14</v>
      </c>
      <c r="B11" s="206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A12" s="5" t="s">
        <v>15</v>
      </c>
      <c r="B12" s="207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35">
      <c r="A14" s="2"/>
      <c r="B14" s="2" t="s">
        <v>35</v>
      </c>
      <c r="C14" s="2" t="s">
        <v>36</v>
      </c>
      <c r="D14" s="2" t="s">
        <v>37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5">
      <c r="A15" s="4" t="s">
        <v>16</v>
      </c>
      <c r="B15" s="2">
        <f>106600*G4</f>
        <v>5074160</v>
      </c>
      <c r="C15" s="2">
        <f>106600*G5</f>
        <v>3890900</v>
      </c>
      <c r="D15" s="14">
        <f>106600*G6</f>
        <v>2494440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5">
      <c r="A16" s="4" t="s">
        <v>17</v>
      </c>
      <c r="B16" s="2">
        <f>115400*H4</f>
        <v>2261840</v>
      </c>
      <c r="C16" s="2">
        <f>115400*H5</f>
        <v>1742540</v>
      </c>
      <c r="D16" s="14">
        <f>115400*H6</f>
        <v>1234780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5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5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89E3-7032-41B0-B854-35772C1F072B}">
  <sheetPr>
    <pageSetUpPr autoPageBreaks="0"/>
  </sheetPr>
  <dimension ref="B1:DY145"/>
  <sheetViews>
    <sheetView zoomScale="83" zoomScaleNormal="100" workbookViewId="0">
      <selection activeCell="I20" sqref="I20"/>
    </sheetView>
  </sheetViews>
  <sheetFormatPr defaultColWidth="8.90625" defaultRowHeight="14.5" x14ac:dyDescent="0.35"/>
  <cols>
    <col min="2" max="2" width="1.90625" bestFit="1" customWidth="1"/>
    <col min="3" max="3" width="45.6328125" bestFit="1" customWidth="1"/>
    <col min="4" max="4" width="15.453125" customWidth="1"/>
    <col min="5" max="5" width="16.7265625" customWidth="1"/>
    <col min="6" max="6" width="10.7265625" bestFit="1" customWidth="1"/>
    <col min="7" max="7" width="13" bestFit="1" customWidth="1"/>
    <col min="8" max="8" width="10.7265625" bestFit="1" customWidth="1"/>
    <col min="9" max="9" width="11.81640625" bestFit="1" customWidth="1"/>
    <col min="10" max="10" width="16.1796875" bestFit="1" customWidth="1"/>
    <col min="11" max="11" width="12.08984375" customWidth="1"/>
    <col min="12" max="12" width="10.7265625" bestFit="1" customWidth="1"/>
    <col min="13" max="13" width="11.7265625" bestFit="1" customWidth="1"/>
    <col min="14" max="14" width="12.81640625" customWidth="1"/>
    <col min="15" max="70" width="10.7265625" bestFit="1" customWidth="1"/>
    <col min="71" max="71" width="12.1796875" bestFit="1" customWidth="1"/>
    <col min="72" max="72" width="13.08984375" customWidth="1"/>
    <col min="73" max="76" width="9.36328125" bestFit="1" customWidth="1"/>
    <col min="77" max="124" width="10.36328125" bestFit="1" customWidth="1"/>
    <col min="125" max="129" width="11.36328125" bestFit="1" customWidth="1"/>
  </cols>
  <sheetData>
    <row r="1" spans="3:20" ht="15" thickBot="1" x14ac:dyDescent="0.4"/>
    <row r="2" spans="3:20" ht="15" thickBot="1" x14ac:dyDescent="0.4">
      <c r="E2" s="59" t="s">
        <v>35</v>
      </c>
      <c r="F2" s="60" t="s">
        <v>36</v>
      </c>
      <c r="G2" s="61" t="s">
        <v>37</v>
      </c>
      <c r="I2" s="66"/>
      <c r="J2" s="67" t="s">
        <v>125</v>
      </c>
      <c r="K2" s="67" t="s">
        <v>50</v>
      </c>
      <c r="L2" s="67" t="s">
        <v>123</v>
      </c>
      <c r="M2" s="67" t="s">
        <v>51</v>
      </c>
      <c r="N2" s="68" t="s">
        <v>124</v>
      </c>
      <c r="O2" s="99" t="s">
        <v>126</v>
      </c>
    </row>
    <row r="3" spans="3:20" ht="15" thickBot="1" x14ac:dyDescent="0.4">
      <c r="C3" t="s">
        <v>1</v>
      </c>
      <c r="D3" s="16">
        <f>E3</f>
        <v>103</v>
      </c>
      <c r="E3" s="66">
        <v>103</v>
      </c>
      <c r="F3" s="67">
        <v>104</v>
      </c>
      <c r="G3" s="68">
        <v>79</v>
      </c>
      <c r="I3" s="59" t="s">
        <v>35</v>
      </c>
      <c r="J3" s="60">
        <v>103</v>
      </c>
      <c r="K3" s="60">
        <v>47.6</v>
      </c>
      <c r="L3" s="91">
        <f>K3/J3</f>
        <v>0.46213592233009709</v>
      </c>
      <c r="M3" s="60">
        <v>19.600000000000001</v>
      </c>
      <c r="N3" s="94">
        <f>M3/J3</f>
        <v>0.19029126213592235</v>
      </c>
      <c r="O3" s="97">
        <f>N3+L3</f>
        <v>0.65242718446601944</v>
      </c>
    </row>
    <row r="4" spans="3:20" x14ac:dyDescent="0.35">
      <c r="C4" t="s">
        <v>40</v>
      </c>
      <c r="D4" s="104">
        <v>0.02</v>
      </c>
      <c r="E4" s="64">
        <f>E3*1.1</f>
        <v>113.30000000000001</v>
      </c>
      <c r="F4" s="1"/>
      <c r="G4" s="63"/>
      <c r="I4" s="64" t="s">
        <v>36</v>
      </c>
      <c r="J4" s="1">
        <v>104</v>
      </c>
      <c r="K4" s="1">
        <v>36.5</v>
      </c>
      <c r="L4" s="92">
        <f>K4/J4</f>
        <v>0.35096153846153844</v>
      </c>
      <c r="M4" s="1">
        <v>15.1</v>
      </c>
      <c r="N4" s="95">
        <f>M4/J4</f>
        <v>0.14519230769230768</v>
      </c>
      <c r="O4" s="97">
        <f>N4+L4</f>
        <v>0.49615384615384611</v>
      </c>
    </row>
    <row r="5" spans="3:20" ht="15" thickBot="1" x14ac:dyDescent="0.4">
      <c r="C5" s="4" t="s">
        <v>12</v>
      </c>
      <c r="D5" s="83">
        <v>6.6</v>
      </c>
      <c r="E5" s="64">
        <f>E3*0.9</f>
        <v>92.7</v>
      </c>
      <c r="F5" s="1"/>
      <c r="G5" s="63"/>
      <c r="I5" s="65" t="s">
        <v>37</v>
      </c>
      <c r="J5" s="89">
        <v>79</v>
      </c>
      <c r="K5" s="89">
        <v>23.4</v>
      </c>
      <c r="L5" s="93">
        <f>K5/J5</f>
        <v>0.29620253164556959</v>
      </c>
      <c r="M5" s="89">
        <v>10.7</v>
      </c>
      <c r="N5" s="96">
        <f>M5/J5</f>
        <v>0.13544303797468354</v>
      </c>
      <c r="O5" s="98">
        <f>N5+L5</f>
        <v>0.43164556962025313</v>
      </c>
    </row>
    <row r="6" spans="3:20" x14ac:dyDescent="0.35">
      <c r="C6" s="4"/>
      <c r="D6" s="24"/>
      <c r="E6" s="64"/>
      <c r="F6" s="1"/>
      <c r="G6" s="63"/>
      <c r="J6" s="1"/>
      <c r="K6" s="1"/>
      <c r="L6" s="1"/>
    </row>
    <row r="7" spans="3:20" x14ac:dyDescent="0.35">
      <c r="C7" s="5" t="s">
        <v>14</v>
      </c>
      <c r="D7" s="84">
        <v>13</v>
      </c>
      <c r="E7" s="64"/>
      <c r="F7" s="1"/>
      <c r="G7" s="63"/>
      <c r="J7" s="1"/>
      <c r="K7" s="1"/>
      <c r="L7" s="1"/>
      <c r="T7" s="12"/>
    </row>
    <row r="8" spans="3:20" ht="15" thickBot="1" x14ac:dyDescent="0.4">
      <c r="C8" s="4" t="s">
        <v>47</v>
      </c>
      <c r="D8" s="85">
        <v>106600</v>
      </c>
      <c r="E8" s="64"/>
      <c r="F8" s="1"/>
      <c r="G8" s="63"/>
      <c r="H8" s="219"/>
      <c r="I8" s="219"/>
      <c r="J8" s="1"/>
      <c r="K8" s="1"/>
      <c r="L8" s="1"/>
    </row>
    <row r="9" spans="3:20" ht="15" thickBot="1" x14ac:dyDescent="0.4">
      <c r="C9" s="4" t="s">
        <v>50</v>
      </c>
      <c r="D9" s="16">
        <f>E9</f>
        <v>47.6</v>
      </c>
      <c r="E9" s="66">
        <v>47.6</v>
      </c>
      <c r="F9" s="67">
        <v>36.5</v>
      </c>
      <c r="G9" s="68">
        <v>23.4</v>
      </c>
      <c r="H9" s="2"/>
      <c r="I9" s="2"/>
      <c r="J9" s="1"/>
      <c r="K9" s="1"/>
      <c r="L9" s="1"/>
    </row>
    <row r="10" spans="3:20" ht="15" thickBot="1" x14ac:dyDescent="0.4">
      <c r="C10" s="4" t="s">
        <v>48</v>
      </c>
      <c r="D10" s="17">
        <v>115400</v>
      </c>
      <c r="E10" s="64"/>
      <c r="F10" s="1"/>
      <c r="G10" s="63"/>
      <c r="H10" s="2"/>
      <c r="I10" s="2"/>
      <c r="J10" s="1"/>
      <c r="K10" s="1"/>
      <c r="L10" s="1"/>
    </row>
    <row r="11" spans="3:20" ht="15" thickBot="1" x14ac:dyDescent="0.4">
      <c r="C11" s="4" t="s">
        <v>51</v>
      </c>
      <c r="D11" s="16">
        <f>E11</f>
        <v>19.600000000000001</v>
      </c>
      <c r="E11" s="66">
        <v>19.600000000000001</v>
      </c>
      <c r="F11" s="67">
        <v>15.1</v>
      </c>
      <c r="G11" s="68">
        <v>10.7</v>
      </c>
      <c r="H11" s="2"/>
      <c r="I11" s="8"/>
      <c r="J11" s="1"/>
      <c r="K11" s="1"/>
      <c r="L11" s="1"/>
    </row>
    <row r="12" spans="3:20" x14ac:dyDescent="0.35">
      <c r="C12" s="4"/>
      <c r="D12" s="17"/>
      <c r="E12" s="64"/>
      <c r="F12" s="1"/>
      <c r="G12" s="63"/>
      <c r="H12" s="2"/>
      <c r="I12" s="8"/>
      <c r="J12" s="1"/>
      <c r="K12" s="1"/>
      <c r="L12" s="1"/>
    </row>
    <row r="13" spans="3:20" x14ac:dyDescent="0.35">
      <c r="C13" s="4" t="s">
        <v>5</v>
      </c>
      <c r="D13" s="100">
        <f>E13</f>
        <v>-125000000</v>
      </c>
      <c r="E13" s="10">
        <v>-125000000</v>
      </c>
      <c r="F13" s="10">
        <v>-86000000</v>
      </c>
      <c r="G13" s="69">
        <v>-45000000</v>
      </c>
      <c r="I13" s="8"/>
      <c r="J13" s="1"/>
      <c r="K13" s="1"/>
      <c r="L13" s="1"/>
    </row>
    <row r="14" spans="3:20" ht="15" thickBot="1" x14ac:dyDescent="0.4">
      <c r="C14" s="4" t="s">
        <v>56</v>
      </c>
      <c r="D14" s="17">
        <v>9</v>
      </c>
      <c r="E14" s="62"/>
      <c r="F14" s="10"/>
      <c r="G14" s="63"/>
      <c r="I14" s="8"/>
      <c r="J14" s="90"/>
      <c r="K14" s="90"/>
      <c r="L14" s="10"/>
    </row>
    <row r="15" spans="3:20" ht="15" thickBot="1" x14ac:dyDescent="0.4">
      <c r="C15" s="4" t="s">
        <v>57</v>
      </c>
      <c r="D15" s="18">
        <f>E15</f>
        <v>1.1599999999999999</v>
      </c>
      <c r="E15" s="66">
        <v>1.1599999999999999</v>
      </c>
      <c r="F15" s="81">
        <v>1.1100000000000001</v>
      </c>
      <c r="G15" s="82">
        <v>1.01</v>
      </c>
      <c r="J15" s="10"/>
      <c r="K15" s="10"/>
      <c r="L15" s="1"/>
    </row>
    <row r="16" spans="3:20" x14ac:dyDescent="0.35">
      <c r="C16" s="4" t="s">
        <v>60</v>
      </c>
      <c r="D16" s="41">
        <v>0.23</v>
      </c>
      <c r="E16" s="12"/>
      <c r="F16" s="12"/>
      <c r="J16" s="1"/>
      <c r="K16" s="90"/>
      <c r="L16" s="90"/>
    </row>
    <row r="17" spans="3:72" x14ac:dyDescent="0.35">
      <c r="C17" s="4" t="s">
        <v>132</v>
      </c>
      <c r="D17" s="105">
        <v>7.0000000000000001E-3</v>
      </c>
      <c r="E17" s="12"/>
      <c r="F17" s="12"/>
      <c r="J17" s="1"/>
      <c r="K17" s="1"/>
      <c r="L17" s="1"/>
    </row>
    <row r="18" spans="3:72" x14ac:dyDescent="0.35">
      <c r="C18" s="4" t="s">
        <v>72</v>
      </c>
      <c r="D18" s="29">
        <v>1.4999999999999999E-2</v>
      </c>
      <c r="E18" s="12"/>
      <c r="F18" s="12"/>
      <c r="J18" s="1"/>
      <c r="K18" s="1"/>
      <c r="L18" s="1"/>
    </row>
    <row r="19" spans="3:72" x14ac:dyDescent="0.35">
      <c r="C19" s="4" t="s">
        <v>73</v>
      </c>
      <c r="D19" s="29">
        <v>2.1999999999999999E-2</v>
      </c>
      <c r="E19" s="12"/>
      <c r="F19" s="12"/>
      <c r="J19" s="1"/>
      <c r="K19" s="1"/>
      <c r="L19" s="1"/>
    </row>
    <row r="20" spans="3:72" x14ac:dyDescent="0.35">
      <c r="C20" s="4" t="s">
        <v>74</v>
      </c>
      <c r="D20" s="88">
        <f>IF(E20=1,1.3%,0)</f>
        <v>1.3000000000000001E-2</v>
      </c>
      <c r="E20" s="11">
        <v>1</v>
      </c>
    </row>
    <row r="21" spans="3:72" x14ac:dyDescent="0.35">
      <c r="C21" s="4" t="s">
        <v>80</v>
      </c>
      <c r="D21" s="29">
        <f>IF(E21=1,35.7%,0)</f>
        <v>0.35700000000000004</v>
      </c>
      <c r="E21" s="11">
        <v>1</v>
      </c>
    </row>
    <row r="22" spans="3:72" x14ac:dyDescent="0.35">
      <c r="C22" s="4" t="s">
        <v>81</v>
      </c>
      <c r="D22" s="29">
        <v>4.4999999999999998E-2</v>
      </c>
      <c r="E22" s="12"/>
      <c r="F22" s="12"/>
    </row>
    <row r="23" spans="3:72" x14ac:dyDescent="0.35">
      <c r="C23" s="4" t="s">
        <v>83</v>
      </c>
      <c r="D23" s="29">
        <v>7.0000000000000001E-3</v>
      </c>
      <c r="E23" s="12"/>
      <c r="F23" s="12"/>
    </row>
    <row r="24" spans="3:72" x14ac:dyDescent="0.35">
      <c r="C24" s="4" t="s">
        <v>106</v>
      </c>
      <c r="D24" s="29">
        <v>0.03</v>
      </c>
      <c r="E24" s="12"/>
      <c r="F24" s="12"/>
    </row>
    <row r="25" spans="3:72" x14ac:dyDescent="0.35">
      <c r="C25" s="4" t="s">
        <v>112</v>
      </c>
      <c r="D25" s="51">
        <v>67</v>
      </c>
    </row>
    <row r="26" spans="3:72" x14ac:dyDescent="0.35">
      <c r="C26" s="4"/>
      <c r="D26" s="51"/>
      <c r="E26" s="11"/>
      <c r="F26" s="12"/>
    </row>
    <row r="27" spans="3:72" x14ac:dyDescent="0.35">
      <c r="C27" s="4"/>
      <c r="D27" s="51"/>
      <c r="E27" s="12"/>
      <c r="F27" s="12"/>
    </row>
    <row r="29" spans="3:72" ht="19" thickBot="1" x14ac:dyDescent="0.5">
      <c r="C29" s="20" t="s">
        <v>2</v>
      </c>
    </row>
    <row r="30" spans="3:72" x14ac:dyDescent="0.35">
      <c r="D30">
        <v>0</v>
      </c>
      <c r="E30">
        <v>1</v>
      </c>
      <c r="F30">
        <v>2</v>
      </c>
      <c r="G30">
        <v>3</v>
      </c>
      <c r="H30">
        <v>4</v>
      </c>
      <c r="I30">
        <v>5</v>
      </c>
      <c r="J30">
        <v>6</v>
      </c>
      <c r="K30">
        <v>7</v>
      </c>
      <c r="L30">
        <v>8</v>
      </c>
      <c r="M30">
        <v>9</v>
      </c>
      <c r="N30">
        <v>10</v>
      </c>
      <c r="O30">
        <v>11</v>
      </c>
      <c r="P30">
        <v>12</v>
      </c>
      <c r="Q30">
        <v>13</v>
      </c>
      <c r="R30">
        <v>14</v>
      </c>
      <c r="S30">
        <v>15</v>
      </c>
      <c r="T30">
        <v>16</v>
      </c>
      <c r="U30">
        <v>17</v>
      </c>
      <c r="V30">
        <v>18</v>
      </c>
      <c r="W30">
        <v>19</v>
      </c>
      <c r="X30">
        <v>20</v>
      </c>
      <c r="Y30">
        <v>21</v>
      </c>
      <c r="Z30">
        <v>22</v>
      </c>
      <c r="AA30">
        <v>23</v>
      </c>
      <c r="AB30">
        <v>24</v>
      </c>
      <c r="AC30">
        <v>25</v>
      </c>
      <c r="AD30">
        <v>26</v>
      </c>
      <c r="AE30">
        <v>27</v>
      </c>
      <c r="AF30">
        <v>28</v>
      </c>
      <c r="AG30">
        <v>29</v>
      </c>
      <c r="AH30">
        <v>30</v>
      </c>
      <c r="AI30">
        <v>31</v>
      </c>
      <c r="AJ30">
        <v>32</v>
      </c>
      <c r="AK30">
        <v>33</v>
      </c>
      <c r="AL30">
        <v>34</v>
      </c>
      <c r="AM30">
        <v>35</v>
      </c>
      <c r="AN30">
        <v>36</v>
      </c>
      <c r="AO30">
        <v>37</v>
      </c>
      <c r="AP30">
        <v>38</v>
      </c>
      <c r="AQ30">
        <v>39</v>
      </c>
      <c r="AR30">
        <v>40</v>
      </c>
      <c r="AS30">
        <v>41</v>
      </c>
      <c r="AT30">
        <v>42</v>
      </c>
      <c r="AU30">
        <v>43</v>
      </c>
      <c r="AV30">
        <v>44</v>
      </c>
      <c r="AW30">
        <v>45</v>
      </c>
      <c r="AX30">
        <v>46</v>
      </c>
      <c r="AY30">
        <v>47</v>
      </c>
      <c r="AZ30">
        <v>48</v>
      </c>
      <c r="BA30">
        <v>49</v>
      </c>
      <c r="BB30">
        <v>50</v>
      </c>
      <c r="BC30">
        <v>51</v>
      </c>
      <c r="BD30">
        <v>52</v>
      </c>
      <c r="BE30">
        <v>53</v>
      </c>
      <c r="BF30">
        <v>54</v>
      </c>
      <c r="BG30">
        <v>55</v>
      </c>
      <c r="BH30">
        <v>56</v>
      </c>
      <c r="BI30">
        <v>57</v>
      </c>
      <c r="BJ30">
        <v>58</v>
      </c>
      <c r="BK30">
        <v>59</v>
      </c>
      <c r="BL30">
        <v>60</v>
      </c>
      <c r="BM30">
        <v>61</v>
      </c>
      <c r="BN30">
        <v>62</v>
      </c>
      <c r="BO30">
        <v>63</v>
      </c>
      <c r="BP30">
        <v>64</v>
      </c>
      <c r="BQ30">
        <v>65</v>
      </c>
      <c r="BR30">
        <v>66</v>
      </c>
      <c r="BS30">
        <v>67</v>
      </c>
      <c r="BT30" s="71" t="s">
        <v>113</v>
      </c>
    </row>
    <row r="31" spans="3:72" x14ac:dyDescent="0.35">
      <c r="C31" t="s">
        <v>0</v>
      </c>
      <c r="D31" s="12"/>
      <c r="E31" s="12">
        <f>31.2*prisprofil</f>
        <v>36.192</v>
      </c>
      <c r="F31" s="12">
        <f>28*prisprofil</f>
        <v>32.479999999999997</v>
      </c>
      <c r="G31" s="12">
        <f>27.86*prisprofil</f>
        <v>32.317599999999999</v>
      </c>
      <c r="H31" s="12">
        <f>29.03*prisprofil</f>
        <v>33.674799999999998</v>
      </c>
      <c r="I31" s="12">
        <f>29.1*prisprofil</f>
        <v>33.756</v>
      </c>
      <c r="J31" s="55">
        <f>29.05*prisprofil</f>
        <v>33.698</v>
      </c>
      <c r="K31">
        <f>29.55*prisprofil</f>
        <v>34.277999999999999</v>
      </c>
      <c r="L31">
        <f>30.85*prisprofil</f>
        <v>35.786000000000001</v>
      </c>
      <c r="M31">
        <f>31.25*prisprofil</f>
        <v>36.25</v>
      </c>
      <c r="N31">
        <f>31.08*prisprofil</f>
        <v>36.052799999999998</v>
      </c>
      <c r="O31" s="70">
        <f t="shared" ref="O31:AT31" si="0">N31*((1+infl))</f>
        <v>36.773855999999995</v>
      </c>
      <c r="P31" s="70">
        <f t="shared" si="0"/>
        <v>37.509333119999994</v>
      </c>
      <c r="Q31" s="70">
        <f t="shared" si="0"/>
        <v>38.259519782399991</v>
      </c>
      <c r="R31" s="70">
        <f t="shared" si="0"/>
        <v>39.024710178047989</v>
      </c>
      <c r="S31" s="70">
        <f t="shared" si="0"/>
        <v>39.805204381608952</v>
      </c>
      <c r="T31" s="70">
        <f t="shared" si="0"/>
        <v>40.601308469241133</v>
      </c>
      <c r="U31" s="70">
        <f t="shared" si="0"/>
        <v>41.413334638625955</v>
      </c>
      <c r="V31" s="70">
        <f t="shared" si="0"/>
        <v>42.241601331398478</v>
      </c>
      <c r="W31" s="70">
        <f t="shared" si="0"/>
        <v>43.086433358026447</v>
      </c>
      <c r="X31" s="70">
        <f t="shared" si="0"/>
        <v>43.948162025186974</v>
      </c>
      <c r="Y31" s="70">
        <f t="shared" si="0"/>
        <v>44.827125265690718</v>
      </c>
      <c r="Z31" s="70">
        <f t="shared" si="0"/>
        <v>45.723667771004536</v>
      </c>
      <c r="AA31" s="70">
        <f t="shared" si="0"/>
        <v>46.638141126424628</v>
      </c>
      <c r="AB31" s="70">
        <f t="shared" si="0"/>
        <v>47.570903948953124</v>
      </c>
      <c r="AC31" s="70">
        <f t="shared" si="0"/>
        <v>48.522322027932184</v>
      </c>
      <c r="AD31" s="70">
        <f t="shared" si="0"/>
        <v>49.49276846849083</v>
      </c>
      <c r="AE31" s="70">
        <f t="shared" si="0"/>
        <v>50.48262383786065</v>
      </c>
      <c r="AF31" s="70">
        <f t="shared" si="0"/>
        <v>51.492276314617861</v>
      </c>
      <c r="AG31" s="70">
        <f t="shared" si="0"/>
        <v>52.522121840910216</v>
      </c>
      <c r="AH31" s="70">
        <f t="shared" si="0"/>
        <v>53.572564277728425</v>
      </c>
      <c r="AI31" s="70">
        <f t="shared" si="0"/>
        <v>54.644015563282991</v>
      </c>
      <c r="AJ31" s="70">
        <f t="shared" si="0"/>
        <v>55.736895874548651</v>
      </c>
      <c r="AK31" s="70">
        <f t="shared" si="0"/>
        <v>56.851633792039628</v>
      </c>
      <c r="AL31" s="70">
        <f t="shared" si="0"/>
        <v>57.988666467880421</v>
      </c>
      <c r="AM31" s="70">
        <f t="shared" si="0"/>
        <v>59.148439797238034</v>
      </c>
      <c r="AN31" s="70">
        <f t="shared" si="0"/>
        <v>60.331408593182793</v>
      </c>
      <c r="AO31" s="70">
        <f t="shared" si="0"/>
        <v>61.538036765046449</v>
      </c>
      <c r="AP31" s="70">
        <f t="shared" si="0"/>
        <v>62.768797500347382</v>
      </c>
      <c r="AQ31" s="70">
        <f t="shared" si="0"/>
        <v>64.024173450354326</v>
      </c>
      <c r="AR31" s="70">
        <f t="shared" si="0"/>
        <v>65.304656919361406</v>
      </c>
      <c r="AS31" s="70">
        <f t="shared" si="0"/>
        <v>66.610750057748632</v>
      </c>
      <c r="AT31" s="70">
        <f t="shared" si="0"/>
        <v>67.94296505890361</v>
      </c>
      <c r="AU31" s="70">
        <f t="shared" ref="AU31:BS31" si="1">AT31*((1+infl))</f>
        <v>69.301824360081682</v>
      </c>
      <c r="AV31" s="70">
        <f t="shared" si="1"/>
        <v>70.687860847283318</v>
      </c>
      <c r="AW31" s="70">
        <f t="shared" si="1"/>
        <v>72.101618064228987</v>
      </c>
      <c r="AX31" s="70">
        <f t="shared" si="1"/>
        <v>73.543650425513562</v>
      </c>
      <c r="AY31" s="70">
        <f t="shared" si="1"/>
        <v>75.014523434023829</v>
      </c>
      <c r="AZ31" s="70">
        <f t="shared" si="1"/>
        <v>76.514813902704304</v>
      </c>
      <c r="BA31" s="70">
        <f t="shared" si="1"/>
        <v>78.045110180758385</v>
      </c>
      <c r="BB31" s="70">
        <f t="shared" si="1"/>
        <v>79.606012384373557</v>
      </c>
      <c r="BC31" s="70">
        <f t="shared" si="1"/>
        <v>81.198132632061032</v>
      </c>
      <c r="BD31" s="70">
        <f t="shared" si="1"/>
        <v>82.822095284702257</v>
      </c>
      <c r="BE31" s="70">
        <f t="shared" si="1"/>
        <v>84.47853719039631</v>
      </c>
      <c r="BF31" s="70">
        <f t="shared" si="1"/>
        <v>86.168107934204244</v>
      </c>
      <c r="BG31" s="70">
        <f t="shared" si="1"/>
        <v>87.891470092888326</v>
      </c>
      <c r="BH31" s="70">
        <f t="shared" si="1"/>
        <v>89.649299494746089</v>
      </c>
      <c r="BI31" s="70">
        <f t="shared" si="1"/>
        <v>91.442285484641019</v>
      </c>
      <c r="BJ31" s="70">
        <f t="shared" si="1"/>
        <v>93.271131194333847</v>
      </c>
      <c r="BK31" s="70">
        <f t="shared" si="1"/>
        <v>95.13655381822052</v>
      </c>
      <c r="BL31" s="70">
        <f t="shared" si="1"/>
        <v>97.039284894584938</v>
      </c>
      <c r="BM31" s="70">
        <f t="shared" si="1"/>
        <v>98.980070592476636</v>
      </c>
      <c r="BN31" s="70">
        <f t="shared" si="1"/>
        <v>100.95967200432617</v>
      </c>
      <c r="BO31" s="70">
        <f t="shared" si="1"/>
        <v>102.97886544441269</v>
      </c>
      <c r="BP31" s="70">
        <f t="shared" si="1"/>
        <v>105.03844275330094</v>
      </c>
      <c r="BQ31" s="70">
        <f t="shared" si="1"/>
        <v>107.13921160836696</v>
      </c>
      <c r="BR31" s="70">
        <f t="shared" si="1"/>
        <v>109.28199584053431</v>
      </c>
      <c r="BS31" s="70">
        <f t="shared" si="1"/>
        <v>111.46763575734499</v>
      </c>
      <c r="BT31" s="72"/>
    </row>
    <row r="32" spans="3:72" x14ac:dyDescent="0.35">
      <c r="C32" t="s">
        <v>58</v>
      </c>
      <c r="D32" s="11"/>
      <c r="E32" s="11">
        <f>voluma*1000</f>
        <v>103000</v>
      </c>
      <c r="F32" s="11">
        <f t="shared" ref="F32:BQ32" si="2">voluma*1000</f>
        <v>103000</v>
      </c>
      <c r="G32" s="11">
        <f t="shared" si="2"/>
        <v>103000</v>
      </c>
      <c r="H32" s="11">
        <f t="shared" si="2"/>
        <v>103000</v>
      </c>
      <c r="I32" s="11">
        <f t="shared" si="2"/>
        <v>103000</v>
      </c>
      <c r="J32" s="11">
        <f t="shared" si="2"/>
        <v>103000</v>
      </c>
      <c r="K32" s="11">
        <f t="shared" si="2"/>
        <v>103000</v>
      </c>
      <c r="L32" s="11">
        <f t="shared" si="2"/>
        <v>103000</v>
      </c>
      <c r="M32" s="11">
        <f t="shared" si="2"/>
        <v>103000</v>
      </c>
      <c r="N32" s="11">
        <f t="shared" si="2"/>
        <v>103000</v>
      </c>
      <c r="O32" s="11">
        <f t="shared" si="2"/>
        <v>103000</v>
      </c>
      <c r="P32" s="11">
        <f t="shared" si="2"/>
        <v>103000</v>
      </c>
      <c r="Q32" s="11">
        <f t="shared" si="2"/>
        <v>103000</v>
      </c>
      <c r="R32" s="11">
        <f t="shared" si="2"/>
        <v>103000</v>
      </c>
      <c r="S32" s="11">
        <f t="shared" si="2"/>
        <v>103000</v>
      </c>
      <c r="T32" s="11">
        <f t="shared" si="2"/>
        <v>103000</v>
      </c>
      <c r="U32" s="11">
        <f t="shared" si="2"/>
        <v>103000</v>
      </c>
      <c r="V32" s="11">
        <f t="shared" si="2"/>
        <v>103000</v>
      </c>
      <c r="W32" s="11">
        <f t="shared" si="2"/>
        <v>103000</v>
      </c>
      <c r="X32" s="11">
        <f t="shared" si="2"/>
        <v>103000</v>
      </c>
      <c r="Y32" s="11">
        <f t="shared" si="2"/>
        <v>103000</v>
      </c>
      <c r="Z32" s="11">
        <f t="shared" si="2"/>
        <v>103000</v>
      </c>
      <c r="AA32" s="11">
        <f t="shared" si="2"/>
        <v>103000</v>
      </c>
      <c r="AB32" s="11">
        <f t="shared" si="2"/>
        <v>103000</v>
      </c>
      <c r="AC32" s="11">
        <f t="shared" si="2"/>
        <v>103000</v>
      </c>
      <c r="AD32" s="11">
        <f t="shared" si="2"/>
        <v>103000</v>
      </c>
      <c r="AE32" s="11">
        <f t="shared" si="2"/>
        <v>103000</v>
      </c>
      <c r="AF32" s="11">
        <f t="shared" si="2"/>
        <v>103000</v>
      </c>
      <c r="AG32" s="11">
        <f t="shared" si="2"/>
        <v>103000</v>
      </c>
      <c r="AH32" s="11">
        <f t="shared" si="2"/>
        <v>103000</v>
      </c>
      <c r="AI32" s="11">
        <f t="shared" si="2"/>
        <v>103000</v>
      </c>
      <c r="AJ32" s="11">
        <f t="shared" si="2"/>
        <v>103000</v>
      </c>
      <c r="AK32" s="11">
        <f t="shared" si="2"/>
        <v>103000</v>
      </c>
      <c r="AL32" s="11">
        <f t="shared" si="2"/>
        <v>103000</v>
      </c>
      <c r="AM32" s="11">
        <f t="shared" si="2"/>
        <v>103000</v>
      </c>
      <c r="AN32" s="11">
        <f t="shared" si="2"/>
        <v>103000</v>
      </c>
      <c r="AO32" s="11">
        <f t="shared" si="2"/>
        <v>103000</v>
      </c>
      <c r="AP32" s="11">
        <f t="shared" si="2"/>
        <v>103000</v>
      </c>
      <c r="AQ32" s="11">
        <f t="shared" si="2"/>
        <v>103000</v>
      </c>
      <c r="AR32" s="11">
        <f t="shared" si="2"/>
        <v>103000</v>
      </c>
      <c r="AS32" s="11">
        <f t="shared" si="2"/>
        <v>103000</v>
      </c>
      <c r="AT32" s="11">
        <f t="shared" si="2"/>
        <v>103000</v>
      </c>
      <c r="AU32" s="11">
        <f t="shared" si="2"/>
        <v>103000</v>
      </c>
      <c r="AV32" s="11">
        <f t="shared" si="2"/>
        <v>103000</v>
      </c>
      <c r="AW32" s="11">
        <f t="shared" si="2"/>
        <v>103000</v>
      </c>
      <c r="AX32" s="11">
        <f t="shared" si="2"/>
        <v>103000</v>
      </c>
      <c r="AY32" s="11">
        <f t="shared" si="2"/>
        <v>103000</v>
      </c>
      <c r="AZ32" s="11">
        <f t="shared" si="2"/>
        <v>103000</v>
      </c>
      <c r="BA32" s="11">
        <f t="shared" si="2"/>
        <v>103000</v>
      </c>
      <c r="BB32" s="11">
        <f t="shared" si="2"/>
        <v>103000</v>
      </c>
      <c r="BC32" s="11">
        <f t="shared" si="2"/>
        <v>103000</v>
      </c>
      <c r="BD32" s="11">
        <f t="shared" si="2"/>
        <v>103000</v>
      </c>
      <c r="BE32" s="11">
        <f t="shared" si="2"/>
        <v>103000</v>
      </c>
      <c r="BF32" s="11">
        <f t="shared" si="2"/>
        <v>103000</v>
      </c>
      <c r="BG32" s="11">
        <f t="shared" si="2"/>
        <v>103000</v>
      </c>
      <c r="BH32" s="11">
        <f t="shared" si="2"/>
        <v>103000</v>
      </c>
      <c r="BI32" s="11">
        <f t="shared" si="2"/>
        <v>103000</v>
      </c>
      <c r="BJ32" s="11">
        <f t="shared" si="2"/>
        <v>103000</v>
      </c>
      <c r="BK32" s="11">
        <f t="shared" si="2"/>
        <v>103000</v>
      </c>
      <c r="BL32" s="11">
        <f t="shared" si="2"/>
        <v>103000</v>
      </c>
      <c r="BM32" s="11">
        <f t="shared" si="2"/>
        <v>103000</v>
      </c>
      <c r="BN32" s="11">
        <f t="shared" si="2"/>
        <v>103000</v>
      </c>
      <c r="BO32" s="11">
        <f t="shared" si="2"/>
        <v>103000</v>
      </c>
      <c r="BP32" s="11">
        <f t="shared" si="2"/>
        <v>103000</v>
      </c>
      <c r="BQ32" s="11">
        <f t="shared" si="2"/>
        <v>103000</v>
      </c>
      <c r="BR32" s="11">
        <f t="shared" ref="BR32:BS32" si="3">voluma*1000</f>
        <v>103000</v>
      </c>
      <c r="BS32" s="11">
        <f t="shared" si="3"/>
        <v>103000</v>
      </c>
      <c r="BT32" s="72"/>
    </row>
    <row r="33" spans="3:73" x14ac:dyDescent="0.35">
      <c r="C33" s="19" t="s">
        <v>9</v>
      </c>
      <c r="D33" s="11"/>
      <c r="E33" s="11">
        <f t="shared" ref="E33:M33" si="4">E31*E32*valuta</f>
        <v>33549984</v>
      </c>
      <c r="F33" s="11">
        <f t="shared" si="4"/>
        <v>30108959.999999996</v>
      </c>
      <c r="G33" s="11">
        <f t="shared" si="4"/>
        <v>29958415.199999999</v>
      </c>
      <c r="H33" s="11">
        <f t="shared" si="4"/>
        <v>31216539.599999998</v>
      </c>
      <c r="I33" s="11">
        <f t="shared" si="4"/>
        <v>31291812</v>
      </c>
      <c r="J33" s="11">
        <f t="shared" si="4"/>
        <v>31238046</v>
      </c>
      <c r="K33" s="11">
        <f t="shared" si="4"/>
        <v>31775706</v>
      </c>
      <c r="L33" s="11">
        <f t="shared" si="4"/>
        <v>33173622</v>
      </c>
      <c r="M33" s="11">
        <f t="shared" si="4"/>
        <v>33603750</v>
      </c>
      <c r="N33" s="11">
        <f t="shared" ref="N33:AS33" si="5">N31*N32*valuta</f>
        <v>33420945.599999998</v>
      </c>
      <c r="O33" s="11">
        <f t="shared" si="5"/>
        <v>34089364.511999995</v>
      </c>
      <c r="P33" s="11">
        <f t="shared" si="5"/>
        <v>34771151.802239992</v>
      </c>
      <c r="Q33" s="11">
        <f t="shared" si="5"/>
        <v>35466574.838284791</v>
      </c>
      <c r="R33" s="11">
        <f t="shared" si="5"/>
        <v>36175906.335050486</v>
      </c>
      <c r="S33" s="11">
        <f t="shared" si="5"/>
        <v>36899424.461751498</v>
      </c>
      <c r="T33" s="11">
        <f t="shared" si="5"/>
        <v>37637412.950986527</v>
      </c>
      <c r="U33" s="11">
        <f t="shared" si="5"/>
        <v>38390161.210006259</v>
      </c>
      <c r="V33" s="11">
        <f t="shared" si="5"/>
        <v>39157964.434206389</v>
      </c>
      <c r="W33" s="11">
        <f t="shared" si="5"/>
        <v>39941123.722890519</v>
      </c>
      <c r="X33" s="11">
        <f t="shared" si="5"/>
        <v>40739946.197348326</v>
      </c>
      <c r="Y33" s="11">
        <f t="shared" si="5"/>
        <v>41554745.121295296</v>
      </c>
      <c r="Z33" s="11">
        <f t="shared" si="5"/>
        <v>42385840.023721203</v>
      </c>
      <c r="AA33" s="11">
        <f t="shared" si="5"/>
        <v>43233556.824195631</v>
      </c>
      <c r="AB33" s="11">
        <f t="shared" si="5"/>
        <v>44098227.960679546</v>
      </c>
      <c r="AC33" s="11">
        <f t="shared" si="5"/>
        <v>44980192.519893132</v>
      </c>
      <c r="AD33" s="11">
        <f t="shared" si="5"/>
        <v>45879796.370290995</v>
      </c>
      <c r="AE33" s="11">
        <f t="shared" si="5"/>
        <v>46797392.297696829</v>
      </c>
      <c r="AF33" s="11">
        <f t="shared" si="5"/>
        <v>47733340.143650755</v>
      </c>
      <c r="AG33" s="11">
        <f t="shared" si="5"/>
        <v>48688006.946523771</v>
      </c>
      <c r="AH33" s="11">
        <f t="shared" si="5"/>
        <v>49661767.085454248</v>
      </c>
      <c r="AI33" s="11">
        <f t="shared" si="5"/>
        <v>50655002.427163333</v>
      </c>
      <c r="AJ33" s="11">
        <f t="shared" si="5"/>
        <v>51668102.4757066</v>
      </c>
      <c r="AK33" s="11">
        <f t="shared" si="5"/>
        <v>52701464.525220737</v>
      </c>
      <c r="AL33" s="11">
        <f t="shared" si="5"/>
        <v>53755493.815725155</v>
      </c>
      <c r="AM33" s="11">
        <f t="shared" si="5"/>
        <v>54830603.692039654</v>
      </c>
      <c r="AN33" s="11">
        <f t="shared" si="5"/>
        <v>55927215.765880451</v>
      </c>
      <c r="AO33" s="11">
        <f t="shared" si="5"/>
        <v>57045760.081198052</v>
      </c>
      <c r="AP33" s="11">
        <f t="shared" si="5"/>
        <v>58186675.282822028</v>
      </c>
      <c r="AQ33" s="11">
        <f t="shared" si="5"/>
        <v>59350408.788478456</v>
      </c>
      <c r="AR33" s="11">
        <f t="shared" si="5"/>
        <v>60537416.964248024</v>
      </c>
      <c r="AS33" s="11">
        <f t="shared" si="5"/>
        <v>61748165.303532988</v>
      </c>
      <c r="AT33" s="11">
        <f t="shared" ref="AT33:BS33" si="6">AT31*AT32*valuta</f>
        <v>62983128.609603643</v>
      </c>
      <c r="AU33" s="11">
        <f t="shared" si="6"/>
        <v>64242791.181795716</v>
      </c>
      <c r="AV33" s="11">
        <f t="shared" si="6"/>
        <v>65527647.005431637</v>
      </c>
      <c r="AW33" s="11">
        <f t="shared" si="6"/>
        <v>66838199.945540272</v>
      </c>
      <c r="AX33" s="11">
        <f t="shared" si="6"/>
        <v>68174963.944451079</v>
      </c>
      <c r="AY33" s="11">
        <f t="shared" si="6"/>
        <v>69538463.223340079</v>
      </c>
      <c r="AZ33" s="11">
        <f t="shared" si="6"/>
        <v>70929232.487806886</v>
      </c>
      <c r="BA33" s="11">
        <f t="shared" si="6"/>
        <v>72347817.13756302</v>
      </c>
      <c r="BB33" s="11">
        <f t="shared" si="6"/>
        <v>73794773.480314285</v>
      </c>
      <c r="BC33" s="11">
        <f t="shared" si="6"/>
        <v>75270668.94992058</v>
      </c>
      <c r="BD33" s="11">
        <f t="shared" si="6"/>
        <v>76776082.328918993</v>
      </c>
      <c r="BE33" s="11">
        <f t="shared" si="6"/>
        <v>78311603.975497365</v>
      </c>
      <c r="BF33" s="11">
        <f t="shared" si="6"/>
        <v>79877836.055007339</v>
      </c>
      <c r="BG33" s="11">
        <f t="shared" si="6"/>
        <v>81475392.776107475</v>
      </c>
      <c r="BH33" s="11">
        <f t="shared" si="6"/>
        <v>83104900.631629631</v>
      </c>
      <c r="BI33" s="11">
        <f t="shared" si="6"/>
        <v>84766998.644262224</v>
      </c>
      <c r="BJ33" s="11">
        <f t="shared" si="6"/>
        <v>86462338.617147475</v>
      </c>
      <c r="BK33" s="11">
        <f t="shared" si="6"/>
        <v>88191585.389490426</v>
      </c>
      <c r="BL33" s="11">
        <f t="shared" si="6"/>
        <v>89955417.097280234</v>
      </c>
      <c r="BM33" s="11">
        <f t="shared" si="6"/>
        <v>91754525.439225838</v>
      </c>
      <c r="BN33" s="11">
        <f t="shared" si="6"/>
        <v>93589615.948010355</v>
      </c>
      <c r="BO33" s="11">
        <f t="shared" si="6"/>
        <v>95461408.26697056</v>
      </c>
      <c r="BP33" s="11">
        <f t="shared" si="6"/>
        <v>97370636.43230997</v>
      </c>
      <c r="BQ33" s="11">
        <f t="shared" si="6"/>
        <v>99318049.160956174</v>
      </c>
      <c r="BR33" s="11">
        <f t="shared" si="6"/>
        <v>101304410.14417531</v>
      </c>
      <c r="BS33" s="11">
        <f t="shared" si="6"/>
        <v>103330498.34705882</v>
      </c>
      <c r="BT33" s="72"/>
    </row>
    <row r="34" spans="3:73" x14ac:dyDescent="0.35">
      <c r="C34" s="19" t="s">
        <v>6</v>
      </c>
      <c r="D34" s="11"/>
      <c r="E34" s="11"/>
      <c r="F34" s="11"/>
      <c r="G34" s="11"/>
      <c r="H34" s="11"/>
      <c r="I34" s="11"/>
      <c r="BT34" s="72"/>
    </row>
    <row r="35" spans="3:73" x14ac:dyDescent="0.35">
      <c r="C35" t="s">
        <v>38</v>
      </c>
      <c r="D35" s="11"/>
      <c r="E35" s="11">
        <f t="shared" ref="E35:M35" si="7">(-1)*(DVkost*DVvolum)*(1+infl)^E30</f>
        <v>-5175643.2</v>
      </c>
      <c r="F35" s="11">
        <f t="shared" si="7"/>
        <v>-5279156.0640000002</v>
      </c>
      <c r="G35" s="11">
        <f t="shared" si="7"/>
        <v>-5384739.1852799999</v>
      </c>
      <c r="H35" s="11">
        <f t="shared" si="7"/>
        <v>-5492433.9689855995</v>
      </c>
      <c r="I35" s="11">
        <f t="shared" si="7"/>
        <v>-5602282.6483653123</v>
      </c>
      <c r="J35" s="11">
        <f t="shared" si="7"/>
        <v>-5714328.301332619</v>
      </c>
      <c r="K35" s="11">
        <f t="shared" si="7"/>
        <v>-5828614.8673592694</v>
      </c>
      <c r="L35" s="11">
        <f t="shared" si="7"/>
        <v>-5945187.1647064555</v>
      </c>
      <c r="M35" s="11">
        <f t="shared" si="7"/>
        <v>-6064090.9080005847</v>
      </c>
      <c r="N35" s="11">
        <f t="shared" ref="N35:AS35" si="8">(-1)*(DVkost*DVvolum)*(1+infl)^N30</f>
        <v>-6185372.7261605971</v>
      </c>
      <c r="O35" s="11">
        <f t="shared" si="8"/>
        <v>-6309080.1806838075</v>
      </c>
      <c r="P35" s="11">
        <f t="shared" si="8"/>
        <v>-6435261.7842974849</v>
      </c>
      <c r="Q35" s="11">
        <f t="shared" si="8"/>
        <v>-6563967.0199834341</v>
      </c>
      <c r="R35" s="11">
        <f t="shared" si="8"/>
        <v>-6695246.3603831036</v>
      </c>
      <c r="S35" s="11">
        <f t="shared" si="8"/>
        <v>-6829151.2875907635</v>
      </c>
      <c r="T35" s="11">
        <f t="shared" si="8"/>
        <v>-6965734.3133425796</v>
      </c>
      <c r="U35" s="11">
        <f t="shared" si="8"/>
        <v>-7105048.9996094322</v>
      </c>
      <c r="V35" s="11">
        <f t="shared" si="8"/>
        <v>-7247149.9796016198</v>
      </c>
      <c r="W35" s="11">
        <f t="shared" si="8"/>
        <v>-7392092.979193652</v>
      </c>
      <c r="X35" s="11">
        <f t="shared" si="8"/>
        <v>-7539934.8387775263</v>
      </c>
      <c r="Y35" s="11">
        <f t="shared" si="8"/>
        <v>-7690733.5355530763</v>
      </c>
      <c r="Z35" s="11">
        <f t="shared" si="8"/>
        <v>-7844548.2062641382</v>
      </c>
      <c r="AA35" s="11">
        <f t="shared" si="8"/>
        <v>-8001439.1703894194</v>
      </c>
      <c r="AB35" s="11">
        <f t="shared" si="8"/>
        <v>-8161467.9537972081</v>
      </c>
      <c r="AC35" s="11">
        <f t="shared" si="8"/>
        <v>-8324697.3128731521</v>
      </c>
      <c r="AD35" s="11">
        <f t="shared" si="8"/>
        <v>-8491191.2591306157</v>
      </c>
      <c r="AE35" s="11">
        <f t="shared" si="8"/>
        <v>-8661015.0843132269</v>
      </c>
      <c r="AF35" s="11">
        <f t="shared" si="8"/>
        <v>-8834235.3859994933</v>
      </c>
      <c r="AG35" s="11">
        <f t="shared" si="8"/>
        <v>-9010920.0937194824</v>
      </c>
      <c r="AH35" s="11">
        <f t="shared" si="8"/>
        <v>-9191138.4955938719</v>
      </c>
      <c r="AI35" s="11">
        <f t="shared" si="8"/>
        <v>-9374961.2655057479</v>
      </c>
      <c r="AJ35" s="11">
        <f t="shared" si="8"/>
        <v>-9562460.4908158649</v>
      </c>
      <c r="AK35" s="11">
        <f t="shared" si="8"/>
        <v>-9753709.7006321829</v>
      </c>
      <c r="AL35" s="11">
        <f t="shared" si="8"/>
        <v>-9948783.8946448248</v>
      </c>
      <c r="AM35" s="11">
        <f t="shared" si="8"/>
        <v>-10147759.572537722</v>
      </c>
      <c r="AN35" s="11">
        <f t="shared" si="8"/>
        <v>-10350714.763988474</v>
      </c>
      <c r="AO35" s="11">
        <f t="shared" si="8"/>
        <v>-10557729.059268245</v>
      </c>
      <c r="AP35" s="11">
        <f t="shared" si="8"/>
        <v>-10768883.640453612</v>
      </c>
      <c r="AQ35" s="11">
        <f t="shared" si="8"/>
        <v>-10984261.313262681</v>
      </c>
      <c r="AR35" s="11">
        <f t="shared" si="8"/>
        <v>-11203946.539527936</v>
      </c>
      <c r="AS35" s="11">
        <f t="shared" si="8"/>
        <v>-11428025.470318494</v>
      </c>
      <c r="AT35" s="11">
        <f t="shared" ref="AT35:BS35" si="9">(-1)*(DVkost*DVvolum)*(1+infl)^AT30</f>
        <v>-11656585.979724864</v>
      </c>
      <c r="AU35" s="11">
        <f t="shared" si="9"/>
        <v>-11889717.699319361</v>
      </c>
      <c r="AV35" s="11">
        <f t="shared" si="9"/>
        <v>-12127512.053305751</v>
      </c>
      <c r="AW35" s="11">
        <f t="shared" si="9"/>
        <v>-12370062.294371864</v>
      </c>
      <c r="AX35" s="11">
        <f t="shared" si="9"/>
        <v>-12617463.540259304</v>
      </c>
      <c r="AY35" s="11">
        <f t="shared" si="9"/>
        <v>-12869812.811064484</v>
      </c>
      <c r="AZ35" s="11">
        <f t="shared" si="9"/>
        <v>-13127209.067285776</v>
      </c>
      <c r="BA35" s="11">
        <f t="shared" si="9"/>
        <v>-13389753.248631492</v>
      </c>
      <c r="BB35" s="11">
        <f t="shared" si="9"/>
        <v>-13657548.313604122</v>
      </c>
      <c r="BC35" s="11">
        <f t="shared" si="9"/>
        <v>-13930699.279876202</v>
      </c>
      <c r="BD35" s="11">
        <f t="shared" si="9"/>
        <v>-14209313.265473729</v>
      </c>
      <c r="BE35" s="11">
        <f t="shared" si="9"/>
        <v>-14493499.530783201</v>
      </c>
      <c r="BF35" s="11">
        <f t="shared" si="9"/>
        <v>-14783369.521398868</v>
      </c>
      <c r="BG35" s="11">
        <f t="shared" si="9"/>
        <v>-15079036.911826842</v>
      </c>
      <c r="BH35" s="11">
        <f t="shared" si="9"/>
        <v>-15380617.650063379</v>
      </c>
      <c r="BI35" s="11">
        <f t="shared" si="9"/>
        <v>-15688230.003064645</v>
      </c>
      <c r="BJ35" s="11">
        <f t="shared" si="9"/>
        <v>-16001994.603125941</v>
      </c>
      <c r="BK35" s="11">
        <f t="shared" si="9"/>
        <v>-16322034.495188456</v>
      </c>
      <c r="BL35" s="11">
        <f t="shared" si="9"/>
        <v>-16648475.185092229</v>
      </c>
      <c r="BM35" s="11">
        <f t="shared" si="9"/>
        <v>-16981444.688794073</v>
      </c>
      <c r="BN35" s="11">
        <f t="shared" si="9"/>
        <v>-17321073.582569953</v>
      </c>
      <c r="BO35" s="11">
        <f t="shared" si="9"/>
        <v>-17667495.054221351</v>
      </c>
      <c r="BP35" s="11">
        <f t="shared" si="9"/>
        <v>-18020844.955305781</v>
      </c>
      <c r="BQ35" s="11">
        <f t="shared" si="9"/>
        <v>-18381261.854411896</v>
      </c>
      <c r="BR35" s="11">
        <f t="shared" si="9"/>
        <v>-18748887.091500133</v>
      </c>
      <c r="BS35" s="11">
        <f t="shared" si="9"/>
        <v>-19123864.833330136</v>
      </c>
      <c r="BT35" s="72"/>
    </row>
    <row r="36" spans="3:73" x14ac:dyDescent="0.35">
      <c r="C36" t="s">
        <v>39</v>
      </c>
      <c r="D36" s="11"/>
      <c r="E36" s="11">
        <f t="shared" ref="E36:N36" si="10">(-1)*(Rehabkost*Rehabvolum)*(1+infl)^E30</f>
        <v>-2307076.7999999998</v>
      </c>
      <c r="F36" s="11">
        <f t="shared" si="10"/>
        <v>-2353218.3360000001</v>
      </c>
      <c r="G36" s="11">
        <f t="shared" si="10"/>
        <v>-2400282.7027199999</v>
      </c>
      <c r="H36" s="11">
        <f t="shared" si="10"/>
        <v>-2448288.3567744</v>
      </c>
      <c r="I36" s="11">
        <f t="shared" si="10"/>
        <v>-2497254.1239098879</v>
      </c>
      <c r="J36" s="11">
        <f t="shared" si="10"/>
        <v>-2547199.2063880861</v>
      </c>
      <c r="K36" s="11">
        <f t="shared" si="10"/>
        <v>-2598143.1905158469</v>
      </c>
      <c r="L36" s="11">
        <f t="shared" si="10"/>
        <v>-2650106.0543261641</v>
      </c>
      <c r="M36" s="11">
        <f t="shared" si="10"/>
        <v>-2703108.1754126875</v>
      </c>
      <c r="N36" s="11">
        <f t="shared" si="10"/>
        <v>-2757170.3389209416</v>
      </c>
      <c r="O36" s="11">
        <f t="shared" ref="O36:BS36" si="11">(-1)*(Rehabkost*Rehabvolum)*(1+infl)^O30</f>
        <v>-2812313.7456993596</v>
      </c>
      <c r="P36" s="11">
        <f t="shared" si="11"/>
        <v>-2868560.0206133472</v>
      </c>
      <c r="Q36" s="11">
        <f t="shared" si="11"/>
        <v>-2925931.2210256141</v>
      </c>
      <c r="R36" s="11">
        <f t="shared" si="11"/>
        <v>-2984449.8454461265</v>
      </c>
      <c r="S36" s="11">
        <f t="shared" si="11"/>
        <v>-3044138.8423550483</v>
      </c>
      <c r="T36" s="11">
        <f t="shared" si="11"/>
        <v>-3105021.61920215</v>
      </c>
      <c r="U36" s="11">
        <f t="shared" si="11"/>
        <v>-3167122.051586193</v>
      </c>
      <c r="V36" s="11">
        <f t="shared" si="11"/>
        <v>-3230464.4926179168</v>
      </c>
      <c r="W36" s="11">
        <f t="shared" si="11"/>
        <v>-3295073.7824702747</v>
      </c>
      <c r="X36" s="11">
        <f t="shared" si="11"/>
        <v>-3360975.2581196809</v>
      </c>
      <c r="Y36" s="11">
        <f t="shared" si="11"/>
        <v>-3428194.7632820741</v>
      </c>
      <c r="Z36" s="11">
        <f t="shared" si="11"/>
        <v>-3496758.6585477157</v>
      </c>
      <c r="AA36" s="11">
        <f t="shared" si="11"/>
        <v>-3566693.8317186693</v>
      </c>
      <c r="AB36" s="11">
        <f t="shared" si="11"/>
        <v>-3638027.7083530431</v>
      </c>
      <c r="AC36" s="11">
        <f t="shared" si="11"/>
        <v>-3710788.2625201037</v>
      </c>
      <c r="AD36" s="11">
        <f t="shared" si="11"/>
        <v>-3785004.0277705062</v>
      </c>
      <c r="AE36" s="11">
        <f t="shared" si="11"/>
        <v>-3860704.1083259159</v>
      </c>
      <c r="AF36" s="11">
        <f t="shared" si="11"/>
        <v>-3937918.1904924349</v>
      </c>
      <c r="AG36" s="11">
        <f t="shared" si="11"/>
        <v>-4016676.5543022831</v>
      </c>
      <c r="AH36" s="11">
        <f t="shared" si="11"/>
        <v>-4097010.0853883289</v>
      </c>
      <c r="AI36" s="11">
        <f t="shared" si="11"/>
        <v>-4178950.2870960948</v>
      </c>
      <c r="AJ36" s="11">
        <f t="shared" si="11"/>
        <v>-4262529.2928380175</v>
      </c>
      <c r="AK36" s="11">
        <f t="shared" si="11"/>
        <v>-4347779.8786947783</v>
      </c>
      <c r="AL36" s="11">
        <f t="shared" si="11"/>
        <v>-4434735.4762686733</v>
      </c>
      <c r="AM36" s="11">
        <f t="shared" si="11"/>
        <v>-4523430.1857940461</v>
      </c>
      <c r="AN36" s="11">
        <f t="shared" si="11"/>
        <v>-4613898.7895099269</v>
      </c>
      <c r="AO36" s="11">
        <f t="shared" si="11"/>
        <v>-4706176.7653001267</v>
      </c>
      <c r="AP36" s="11">
        <f t="shared" si="11"/>
        <v>-4800300.3006061297</v>
      </c>
      <c r="AQ36" s="11">
        <f t="shared" si="11"/>
        <v>-4896306.30661825</v>
      </c>
      <c r="AR36" s="11">
        <f t="shared" si="11"/>
        <v>-4994232.4327506162</v>
      </c>
      <c r="AS36" s="11">
        <f t="shared" si="11"/>
        <v>-5094117.0814056285</v>
      </c>
      <c r="AT36" s="11">
        <f t="shared" si="11"/>
        <v>-5195999.4230337413</v>
      </c>
      <c r="AU36" s="11">
        <f t="shared" si="11"/>
        <v>-5299919.4114944153</v>
      </c>
      <c r="AV36" s="11">
        <f t="shared" si="11"/>
        <v>-5405917.7997243041</v>
      </c>
      <c r="AW36" s="11">
        <f t="shared" si="11"/>
        <v>-5514036.1557187904</v>
      </c>
      <c r="AX36" s="11">
        <f t="shared" si="11"/>
        <v>-5624316.8788331663</v>
      </c>
      <c r="AY36" s="11">
        <f t="shared" si="11"/>
        <v>-5736803.2164098276</v>
      </c>
      <c r="AZ36" s="11">
        <f t="shared" si="11"/>
        <v>-5851539.2807380259</v>
      </c>
      <c r="BA36" s="11">
        <f t="shared" si="11"/>
        <v>-5968570.0663527865</v>
      </c>
      <c r="BB36" s="11">
        <f t="shared" si="11"/>
        <v>-6087941.4676798424</v>
      </c>
      <c r="BC36" s="11">
        <f t="shared" si="11"/>
        <v>-6209700.2970334385</v>
      </c>
      <c r="BD36" s="11">
        <f t="shared" si="11"/>
        <v>-6333894.3029741077</v>
      </c>
      <c r="BE36" s="11">
        <f t="shared" si="11"/>
        <v>-6460572.1890335893</v>
      </c>
      <c r="BF36" s="11">
        <f t="shared" si="11"/>
        <v>-6589783.6328142621</v>
      </c>
      <c r="BG36" s="11">
        <f t="shared" si="11"/>
        <v>-6721579.3054705448</v>
      </c>
      <c r="BH36" s="11">
        <f t="shared" si="11"/>
        <v>-6856010.8915799567</v>
      </c>
      <c r="BI36" s="11">
        <f t="shared" si="11"/>
        <v>-6993131.1094115553</v>
      </c>
      <c r="BJ36" s="11">
        <f t="shared" si="11"/>
        <v>-7132993.7315997873</v>
      </c>
      <c r="BK36" s="11">
        <f t="shared" si="11"/>
        <v>-7275653.6062317817</v>
      </c>
      <c r="BL36" s="11">
        <f t="shared" si="11"/>
        <v>-7421166.6783564193</v>
      </c>
      <c r="BM36" s="11">
        <f t="shared" si="11"/>
        <v>-7569590.0119235469</v>
      </c>
      <c r="BN36" s="11">
        <f t="shared" si="11"/>
        <v>-7720981.8121620184</v>
      </c>
      <c r="BO36" s="11">
        <f t="shared" si="11"/>
        <v>-7875401.4484052565</v>
      </c>
      <c r="BP36" s="11">
        <f t="shared" si="11"/>
        <v>-8032909.4773733635</v>
      </c>
      <c r="BQ36" s="11">
        <f t="shared" si="11"/>
        <v>-8193567.6669208314</v>
      </c>
      <c r="BR36" s="11">
        <f t="shared" si="11"/>
        <v>-8357439.0202592472</v>
      </c>
      <c r="BS36" s="11">
        <f t="shared" si="11"/>
        <v>-8524587.8006644323</v>
      </c>
      <c r="BT36" s="72"/>
    </row>
    <row r="37" spans="3:73" x14ac:dyDescent="0.35">
      <c r="C37" t="s">
        <v>41</v>
      </c>
      <c r="D37" s="11"/>
      <c r="E37" s="11">
        <f t="shared" ref="E37:N37" si="12">(-1)*(konsensjonsats*voluma*1000)*(1+infl)^E30</f>
        <v>-693396</v>
      </c>
      <c r="F37" s="11">
        <f t="shared" si="12"/>
        <v>-707263.92</v>
      </c>
      <c r="G37" s="11">
        <f t="shared" si="12"/>
        <v>-721409.19839999999</v>
      </c>
      <c r="H37" s="11">
        <f t="shared" si="12"/>
        <v>-735837.38236799999</v>
      </c>
      <c r="I37" s="11">
        <f t="shared" si="12"/>
        <v>-750554.13001535996</v>
      </c>
      <c r="J37" s="11">
        <f t="shared" si="12"/>
        <v>-765565.21261566726</v>
      </c>
      <c r="K37" s="11">
        <f t="shared" si="12"/>
        <v>-780876.51686798048</v>
      </c>
      <c r="L37" s="11">
        <f t="shared" si="12"/>
        <v>-796494.04720534012</v>
      </c>
      <c r="M37" s="11">
        <f t="shared" si="12"/>
        <v>-812423.92814944696</v>
      </c>
      <c r="N37" s="11">
        <f t="shared" si="12"/>
        <v>-828672.40671243588</v>
      </c>
      <c r="O37" s="11">
        <f t="shared" ref="O37:BS37" si="13">(-1)*(konsensjonsats*voluma*1000)*(1+infl)^O30</f>
        <v>-845245.85484668449</v>
      </c>
      <c r="P37" s="11">
        <f t="shared" si="13"/>
        <v>-862150.77194361831</v>
      </c>
      <c r="Q37" s="11">
        <f t="shared" si="13"/>
        <v>-879393.78738249058</v>
      </c>
      <c r="R37" s="11">
        <f t="shared" si="13"/>
        <v>-896981.66313014051</v>
      </c>
      <c r="S37" s="11">
        <f t="shared" si="13"/>
        <v>-914921.29639274301</v>
      </c>
      <c r="T37" s="11">
        <f t="shared" si="13"/>
        <v>-933219.72232059808</v>
      </c>
      <c r="U37" s="11">
        <f t="shared" si="13"/>
        <v>-951884.11676701007</v>
      </c>
      <c r="V37" s="11">
        <f t="shared" si="13"/>
        <v>-970921.79910235014</v>
      </c>
      <c r="W37" s="11">
        <f t="shared" si="13"/>
        <v>-990340.23508439714</v>
      </c>
      <c r="X37" s="11">
        <f t="shared" si="13"/>
        <v>-1010147.0397860853</v>
      </c>
      <c r="Y37" s="11">
        <f t="shared" si="13"/>
        <v>-1030349.9805818069</v>
      </c>
      <c r="Z37" s="11">
        <f t="shared" si="13"/>
        <v>-1050956.9801934431</v>
      </c>
      <c r="AA37" s="11">
        <f t="shared" si="13"/>
        <v>-1071976.1197973117</v>
      </c>
      <c r="AB37" s="11">
        <f t="shared" si="13"/>
        <v>-1093415.642193258</v>
      </c>
      <c r="AC37" s="11">
        <f t="shared" si="13"/>
        <v>-1115283.9550371231</v>
      </c>
      <c r="AD37" s="11">
        <f t="shared" si="13"/>
        <v>-1137589.6341378656</v>
      </c>
      <c r="AE37" s="11">
        <f t="shared" si="13"/>
        <v>-1160341.4268206228</v>
      </c>
      <c r="AF37" s="11">
        <f t="shared" si="13"/>
        <v>-1183548.2553570354</v>
      </c>
      <c r="AG37" s="11">
        <f t="shared" si="13"/>
        <v>-1207219.220464176</v>
      </c>
      <c r="AH37" s="11">
        <f t="shared" si="13"/>
        <v>-1231363.6048734598</v>
      </c>
      <c r="AI37" s="11">
        <f t="shared" si="13"/>
        <v>-1255990.8769709286</v>
      </c>
      <c r="AJ37" s="11">
        <f t="shared" si="13"/>
        <v>-1281110.6945103474</v>
      </c>
      <c r="AK37" s="11">
        <f t="shared" si="13"/>
        <v>-1306732.9084005544</v>
      </c>
      <c r="AL37" s="11">
        <f t="shared" si="13"/>
        <v>-1332867.5665685653</v>
      </c>
      <c r="AM37" s="11">
        <f t="shared" si="13"/>
        <v>-1359524.9178999367</v>
      </c>
      <c r="AN37" s="11">
        <f t="shared" si="13"/>
        <v>-1386715.4162579353</v>
      </c>
      <c r="AO37" s="11">
        <f t="shared" si="13"/>
        <v>-1414449.7245830942</v>
      </c>
      <c r="AP37" s="11">
        <f t="shared" si="13"/>
        <v>-1442738.7190747564</v>
      </c>
      <c r="AQ37" s="11">
        <f t="shared" si="13"/>
        <v>-1471593.4934562508</v>
      </c>
      <c r="AR37" s="11">
        <f t="shared" si="13"/>
        <v>-1501025.3633253763</v>
      </c>
      <c r="AS37" s="11">
        <f t="shared" si="13"/>
        <v>-1531045.8705918838</v>
      </c>
      <c r="AT37" s="11">
        <f t="shared" si="13"/>
        <v>-1561666.7880037213</v>
      </c>
      <c r="AU37" s="11">
        <f t="shared" si="13"/>
        <v>-1592900.1237637957</v>
      </c>
      <c r="AV37" s="11">
        <f t="shared" si="13"/>
        <v>-1624758.1262390718</v>
      </c>
      <c r="AW37" s="11">
        <f t="shared" si="13"/>
        <v>-1657253.288763853</v>
      </c>
      <c r="AX37" s="11">
        <f t="shared" si="13"/>
        <v>-1690398.3545391303</v>
      </c>
      <c r="AY37" s="11">
        <f t="shared" si="13"/>
        <v>-1724206.3216299124</v>
      </c>
      <c r="AZ37" s="11">
        <f t="shared" si="13"/>
        <v>-1758690.4480625109</v>
      </c>
      <c r="BA37" s="11">
        <f t="shared" si="13"/>
        <v>-1793864.2570237613</v>
      </c>
      <c r="BB37" s="11">
        <f t="shared" si="13"/>
        <v>-1829741.5421642365</v>
      </c>
      <c r="BC37" s="11">
        <f t="shared" si="13"/>
        <v>-1866336.373007521</v>
      </c>
      <c r="BD37" s="11">
        <f t="shared" si="13"/>
        <v>-1903663.1004676719</v>
      </c>
      <c r="BE37" s="11">
        <f t="shared" si="13"/>
        <v>-1941736.3624770248</v>
      </c>
      <c r="BF37" s="11">
        <f t="shared" si="13"/>
        <v>-1980571.0897265656</v>
      </c>
      <c r="BG37" s="11">
        <f t="shared" si="13"/>
        <v>-2020182.5115210963</v>
      </c>
      <c r="BH37" s="11">
        <f t="shared" si="13"/>
        <v>-2060586.1617515185</v>
      </c>
      <c r="BI37" s="11">
        <f t="shared" si="13"/>
        <v>-2101797.8849865487</v>
      </c>
      <c r="BJ37" s="11">
        <f t="shared" si="13"/>
        <v>-2143833.8426862801</v>
      </c>
      <c r="BK37" s="11">
        <f t="shared" si="13"/>
        <v>-2186710.5195400054</v>
      </c>
      <c r="BL37" s="11">
        <f t="shared" si="13"/>
        <v>-2230444.729930806</v>
      </c>
      <c r="BM37" s="11">
        <f t="shared" si="13"/>
        <v>-2275053.6245294218</v>
      </c>
      <c r="BN37" s="11">
        <f t="shared" si="13"/>
        <v>-2320554.6970200101</v>
      </c>
      <c r="BO37" s="11">
        <f t="shared" si="13"/>
        <v>-2366965.7909604101</v>
      </c>
      <c r="BP37" s="11">
        <f t="shared" si="13"/>
        <v>-2414305.1067796187</v>
      </c>
      <c r="BQ37" s="11">
        <f t="shared" si="13"/>
        <v>-2462591.2089152113</v>
      </c>
      <c r="BR37" s="11">
        <f t="shared" si="13"/>
        <v>-2511843.0330935153</v>
      </c>
      <c r="BS37" s="11">
        <f t="shared" si="13"/>
        <v>-2562079.8937553857</v>
      </c>
      <c r="BT37" s="72"/>
    </row>
    <row r="38" spans="3:73" x14ac:dyDescent="0.35">
      <c r="C38" t="s">
        <v>46</v>
      </c>
      <c r="D38" s="11"/>
      <c r="E38" s="11">
        <f t="shared" ref="E38:N38" si="14">(-1)*(innmatingssats*voluma*1000)*(1+infl)^E30</f>
        <v>-1365780</v>
      </c>
      <c r="F38" s="11">
        <f t="shared" si="14"/>
        <v>-1393095.6</v>
      </c>
      <c r="G38" s="11">
        <f t="shared" si="14"/>
        <v>-1420957.5119999999</v>
      </c>
      <c r="H38" s="11">
        <f t="shared" si="14"/>
        <v>-1449376.66224</v>
      </c>
      <c r="I38" s="11">
        <f t="shared" si="14"/>
        <v>-1478364.1954848</v>
      </c>
      <c r="J38" s="11">
        <f t="shared" si="14"/>
        <v>-1507931.4793944962</v>
      </c>
      <c r="K38" s="11">
        <f t="shared" si="14"/>
        <v>-1538090.1089823856</v>
      </c>
      <c r="L38" s="11">
        <f t="shared" si="14"/>
        <v>-1568851.9111620334</v>
      </c>
      <c r="M38" s="11">
        <f t="shared" si="14"/>
        <v>-1600228.9493852742</v>
      </c>
      <c r="N38" s="11">
        <f t="shared" si="14"/>
        <v>-1632233.5283729797</v>
      </c>
      <c r="O38" s="11">
        <f t="shared" ref="O38:BS38" si="15">(-1)*(innmatingssats*voluma*1000)*(1+infl)^O30</f>
        <v>-1664878.1989404391</v>
      </c>
      <c r="P38" s="11">
        <f t="shared" si="15"/>
        <v>-1698175.7629192481</v>
      </c>
      <c r="Q38" s="11">
        <f t="shared" si="15"/>
        <v>-1732139.278177633</v>
      </c>
      <c r="R38" s="11">
        <f t="shared" si="15"/>
        <v>-1766782.0637411857</v>
      </c>
      <c r="S38" s="11">
        <f t="shared" si="15"/>
        <v>-1802117.705016009</v>
      </c>
      <c r="T38" s="11">
        <f t="shared" si="15"/>
        <v>-1838160.0591163295</v>
      </c>
      <c r="U38" s="11">
        <f t="shared" si="15"/>
        <v>-1874923.2602986563</v>
      </c>
      <c r="V38" s="11">
        <f t="shared" si="15"/>
        <v>-1912421.7255046291</v>
      </c>
      <c r="W38" s="11">
        <f t="shared" si="15"/>
        <v>-1950670.1600147218</v>
      </c>
      <c r="X38" s="11">
        <f t="shared" si="15"/>
        <v>-1989683.5632150164</v>
      </c>
      <c r="Y38" s="11">
        <f t="shared" si="15"/>
        <v>-2029477.2344793165</v>
      </c>
      <c r="Z38" s="11">
        <f t="shared" si="15"/>
        <v>-2070066.7791689029</v>
      </c>
      <c r="AA38" s="11">
        <f t="shared" si="15"/>
        <v>-2111468.1147522805</v>
      </c>
      <c r="AB38" s="11">
        <f t="shared" si="15"/>
        <v>-2153697.4770473265</v>
      </c>
      <c r="AC38" s="11">
        <f t="shared" si="15"/>
        <v>-2196771.4265882727</v>
      </c>
      <c r="AD38" s="11">
        <f t="shared" si="15"/>
        <v>-2240706.8551200386</v>
      </c>
      <c r="AE38" s="11">
        <f t="shared" si="15"/>
        <v>-2285520.992222439</v>
      </c>
      <c r="AF38" s="11">
        <f t="shared" si="15"/>
        <v>-2331231.4120668881</v>
      </c>
      <c r="AG38" s="11">
        <f t="shared" si="15"/>
        <v>-2377856.0403082254</v>
      </c>
      <c r="AH38" s="11">
        <f t="shared" si="15"/>
        <v>-2425413.1611143905</v>
      </c>
      <c r="AI38" s="11">
        <f t="shared" si="15"/>
        <v>-2473921.4243366774</v>
      </c>
      <c r="AJ38" s="11">
        <f t="shared" si="15"/>
        <v>-2523399.8528234116</v>
      </c>
      <c r="AK38" s="11">
        <f t="shared" si="15"/>
        <v>-2573867.84987988</v>
      </c>
      <c r="AL38" s="11">
        <f t="shared" si="15"/>
        <v>-2625345.2068774775</v>
      </c>
      <c r="AM38" s="11">
        <f t="shared" si="15"/>
        <v>-2677852.1110150269</v>
      </c>
      <c r="AN38" s="11">
        <f t="shared" si="15"/>
        <v>-2731409.1532353275</v>
      </c>
      <c r="AO38" s="11">
        <f t="shared" si="15"/>
        <v>-2786037.3363000341</v>
      </c>
      <c r="AP38" s="11">
        <f t="shared" si="15"/>
        <v>-2841758.0830260352</v>
      </c>
      <c r="AQ38" s="11">
        <f t="shared" si="15"/>
        <v>-2898593.2446865547</v>
      </c>
      <c r="AR38" s="11">
        <f t="shared" si="15"/>
        <v>-2956565.1095802868</v>
      </c>
      <c r="AS38" s="11">
        <f t="shared" si="15"/>
        <v>-3015696.4117718921</v>
      </c>
      <c r="AT38" s="11">
        <f t="shared" si="15"/>
        <v>-3076010.3400073298</v>
      </c>
      <c r="AU38" s="11">
        <f t="shared" si="15"/>
        <v>-3137530.5468074763</v>
      </c>
      <c r="AV38" s="11">
        <f t="shared" si="15"/>
        <v>-3200281.1577436263</v>
      </c>
      <c r="AW38" s="11">
        <f t="shared" si="15"/>
        <v>-3264286.7808984984</v>
      </c>
      <c r="AX38" s="11">
        <f t="shared" si="15"/>
        <v>-3329572.516516469</v>
      </c>
      <c r="AY38" s="11">
        <f t="shared" si="15"/>
        <v>-3396163.9668467971</v>
      </c>
      <c r="AZ38" s="11">
        <f t="shared" si="15"/>
        <v>-3464087.2461837335</v>
      </c>
      <c r="BA38" s="11">
        <f t="shared" si="15"/>
        <v>-3533368.9911074084</v>
      </c>
      <c r="BB38" s="11">
        <f t="shared" si="15"/>
        <v>-3604036.3709295569</v>
      </c>
      <c r="BC38" s="11">
        <f t="shared" si="15"/>
        <v>-3676117.0983481472</v>
      </c>
      <c r="BD38" s="11">
        <f t="shared" si="15"/>
        <v>-3749639.4403151111</v>
      </c>
      <c r="BE38" s="11">
        <f t="shared" si="15"/>
        <v>-3824632.2291214126</v>
      </c>
      <c r="BF38" s="11">
        <f t="shared" si="15"/>
        <v>-3901124.8737038416</v>
      </c>
      <c r="BG38" s="11">
        <f t="shared" si="15"/>
        <v>-3979147.3711779169</v>
      </c>
      <c r="BH38" s="11">
        <f t="shared" si="15"/>
        <v>-4058730.3186014756</v>
      </c>
      <c r="BI38" s="11">
        <f t="shared" si="15"/>
        <v>-4139904.9249735051</v>
      </c>
      <c r="BJ38" s="11">
        <f t="shared" si="15"/>
        <v>-4222703.0234729759</v>
      </c>
      <c r="BK38" s="11">
        <f t="shared" si="15"/>
        <v>-4307157.0839424348</v>
      </c>
      <c r="BL38" s="11">
        <f t="shared" si="15"/>
        <v>-4393300.225621284</v>
      </c>
      <c r="BM38" s="11">
        <f t="shared" si="15"/>
        <v>-4481166.2301337095</v>
      </c>
      <c r="BN38" s="11">
        <f t="shared" si="15"/>
        <v>-4570789.5547363842</v>
      </c>
      <c r="BO38" s="11">
        <f t="shared" si="15"/>
        <v>-4662205.3458311101</v>
      </c>
      <c r="BP38" s="11">
        <f t="shared" si="15"/>
        <v>-4755449.4527477333</v>
      </c>
      <c r="BQ38" s="11">
        <f t="shared" si="15"/>
        <v>-4850558.4418026889</v>
      </c>
      <c r="BR38" s="11">
        <f t="shared" si="15"/>
        <v>-4947569.6106387423</v>
      </c>
      <c r="BS38" s="11">
        <f t="shared" si="15"/>
        <v>-5046521.0028515169</v>
      </c>
      <c r="BT38" s="72"/>
    </row>
    <row r="39" spans="3:73" x14ac:dyDescent="0.35">
      <c r="C39" s="19" t="s">
        <v>52</v>
      </c>
      <c r="D39" s="11"/>
      <c r="E39" s="11"/>
      <c r="F39" s="11"/>
      <c r="G39" s="11"/>
      <c r="H39" s="11"/>
      <c r="I39" s="11"/>
      <c r="BT39" s="72"/>
    </row>
    <row r="40" spans="3:73" x14ac:dyDescent="0.35">
      <c r="C40" t="s">
        <v>61</v>
      </c>
      <c r="D40" s="11"/>
      <c r="E40" s="11">
        <f>E70*(-1)</f>
        <v>-6620375.2891343292</v>
      </c>
      <c r="F40" s="11">
        <f t="shared" ref="F40:M40" si="16">F70*(-1)</f>
        <v>-5343115.8822017917</v>
      </c>
      <c r="G40" s="11">
        <f t="shared" si="16"/>
        <v>-5239194.9669204541</v>
      </c>
      <c r="H40" s="11">
        <f t="shared" si="16"/>
        <v>-5636779.1216353402</v>
      </c>
      <c r="I40" s="11">
        <f t="shared" si="16"/>
        <v>-5610667.4812583756</v>
      </c>
      <c r="J40" s="11">
        <f t="shared" si="16"/>
        <v>-5537043.1483677225</v>
      </c>
      <c r="K40" s="11">
        <f t="shared" si="16"/>
        <v>-5673082.994089107</v>
      </c>
      <c r="L40" s="11">
        <f t="shared" si="16"/>
        <v>-6114729.8303547706</v>
      </c>
      <c r="M40" s="11">
        <f t="shared" si="16"/>
        <v>-6209341.8611355973</v>
      </c>
      <c r="N40" s="11">
        <f>N70*(-1)</f>
        <v>-6083571.8458418911</v>
      </c>
      <c r="O40" s="11">
        <f t="shared" ref="O40:BS40" si="17">O70*(-1)</f>
        <v>-6260092.0700721592</v>
      </c>
      <c r="P40" s="11">
        <f t="shared" si="17"/>
        <v>-6439756.3928168854</v>
      </c>
      <c r="Q40" s="11">
        <f t="shared" si="17"/>
        <v>-6622627.6960463561</v>
      </c>
      <c r="R40" s="11">
        <f t="shared" si="17"/>
        <v>-6808770.1193702687</v>
      </c>
      <c r="S40" s="11">
        <f t="shared" si="17"/>
        <v>-6998249.0851905122</v>
      </c>
      <c r="T40" s="11">
        <f t="shared" si="17"/>
        <v>-7191131.3243570086</v>
      </c>
      <c r="U40" s="11">
        <f t="shared" si="17"/>
        <v>-7387484.9023366868</v>
      </c>
      <c r="V40" s="11">
        <f t="shared" si="17"/>
        <v>-7587379.2459058091</v>
      </c>
      <c r="W40" s="11">
        <f t="shared" si="17"/>
        <v>-7790885.1703761639</v>
      </c>
      <c r="X40" s="11">
        <f t="shared" si="17"/>
        <v>-7998074.9073657757</v>
      </c>
      <c r="Y40" s="11">
        <f t="shared" si="17"/>
        <v>-8209022.1331250323</v>
      </c>
      <c r="Z40" s="11">
        <f t="shared" si="17"/>
        <v>-8423801.9974293262</v>
      </c>
      <c r="AA40" s="11">
        <f t="shared" si="17"/>
        <v>-8642491.1530495565</v>
      </c>
      <c r="AB40" s="11">
        <f t="shared" si="17"/>
        <v>-8865167.7858120427</v>
      </c>
      <c r="AC40" s="11">
        <f t="shared" si="17"/>
        <v>-9091911.6452596243</v>
      </c>
      <c r="AD40" s="11">
        <f t="shared" si="17"/>
        <v>-9322804.0759260096</v>
      </c>
      <c r="AE40" s="11">
        <f t="shared" si="17"/>
        <v>-9557928.0492355786</v>
      </c>
      <c r="AF40" s="11">
        <f t="shared" si="17"/>
        <v>-9797368.1960411817</v>
      </c>
      <c r="AG40" s="11">
        <f t="shared" si="17"/>
        <v>-10041210.839812754</v>
      </c>
      <c r="AH40" s="11">
        <f t="shared" si="17"/>
        <v>-10289544.030489607</v>
      </c>
      <c r="AI40" s="11">
        <f t="shared" si="17"/>
        <v>-10542457.579009848</v>
      </c>
      <c r="AJ40" s="11">
        <f t="shared" si="17"/>
        <v>-10800043.092530342</v>
      </c>
      <c r="AK40" s="11">
        <f t="shared" si="17"/>
        <v>-11062394.010351095</v>
      </c>
      <c r="AL40" s="11">
        <f t="shared" si="17"/>
        <v>-11329605.640558124</v>
      </c>
      <c r="AM40" s="11">
        <f t="shared" si="17"/>
        <v>-11601775.197399134</v>
      </c>
      <c r="AN40" s="11">
        <f t="shared" si="17"/>
        <v>-11879001.83940682</v>
      </c>
      <c r="AO40" s="11">
        <f t="shared" si="17"/>
        <v>-12161386.708284505</v>
      </c>
      <c r="AP40" s="11">
        <f t="shared" si="17"/>
        <v>-12449032.968569603</v>
      </c>
      <c r="AQ40" s="11">
        <f t="shared" si="17"/>
        <v>-12742045.848090246</v>
      </c>
      <c r="AR40" s="11">
        <f t="shared" si="17"/>
        <v>-13040532.679231154</v>
      </c>
      <c r="AS40" s="11">
        <f t="shared" si="17"/>
        <v>-13344602.941024734</v>
      </c>
      <c r="AT40" s="11">
        <f t="shared" si="17"/>
        <v>-13654368.302084034</v>
      </c>
      <c r="AU40" s="11">
        <f t="shared" si="17"/>
        <v>-13969942.664394369</v>
      </c>
      <c r="AV40" s="11">
        <f t="shared" si="17"/>
        <v>-14291442.207980769</v>
      </c>
      <c r="AW40" s="11">
        <f t="shared" si="17"/>
        <v>-14618985.436468739</v>
      </c>
      <c r="AX40" s="11">
        <f t="shared" si="17"/>
        <v>-14952693.223556327</v>
      </c>
      <c r="AY40" s="11">
        <f t="shared" si="17"/>
        <v>-15292688.860415507</v>
      </c>
      <c r="AZ40" s="11">
        <f t="shared" si="17"/>
        <v>-15639098.104041727</v>
      </c>
      <c r="BA40" s="11">
        <f t="shared" si="17"/>
        <v>-15992049.226570323</v>
      </c>
      <c r="BB40" s="11">
        <f t="shared" si="17"/>
        <v>-16351673.065579342</v>
      </c>
      <c r="BC40" s="11">
        <f t="shared" si="17"/>
        <v>-16718103.075398399</v>
      </c>
      <c r="BD40" s="11">
        <f t="shared" si="17"/>
        <v>-17091475.379443675</v>
      </c>
      <c r="BE40" s="11">
        <f t="shared" si="17"/>
        <v>-17471928.823599715</v>
      </c>
      <c r="BF40" s="11">
        <f t="shared" si="17"/>
        <v>-17859605.030668732</v>
      </c>
      <c r="BG40" s="11">
        <f t="shared" si="17"/>
        <v>-18254648.455908969</v>
      </c>
      <c r="BH40" s="11">
        <f t="shared" si="17"/>
        <v>-18657206.443683866</v>
      </c>
      <c r="BI40" s="11">
        <f t="shared" si="17"/>
        <v>-19067429.285244111</v>
      </c>
      <c r="BJ40" s="11">
        <f t="shared" si="17"/>
        <v>-19485470.277665414</v>
      </c>
      <c r="BK40" s="11">
        <f t="shared" si="17"/>
        <v>-19911485.783964992</v>
      </c>
      <c r="BL40" s="11">
        <f t="shared" si="17"/>
        <v>-20345635.29442041</v>
      </c>
      <c r="BM40" s="11">
        <f t="shared" si="17"/>
        <v>-20788081.489114787</v>
      </c>
      <c r="BN40" s="11">
        <f t="shared" si="17"/>
        <v>-21238990.301732905</v>
      </c>
      <c r="BO40" s="11">
        <f t="shared" si="17"/>
        <v>-21698530.984633237</v>
      </c>
      <c r="BP40" s="11">
        <f t="shared" si="17"/>
        <v>-22166876.175221421</v>
      </c>
      <c r="BQ40" s="11">
        <f t="shared" si="17"/>
        <v>-22644201.963651225</v>
      </c>
      <c r="BR40" s="11">
        <f t="shared" si="17"/>
        <v>-23130687.961879477</v>
      </c>
      <c r="BS40" s="11">
        <f t="shared" si="17"/>
        <v>-23626517.374102138</v>
      </c>
      <c r="BT40" s="72"/>
    </row>
    <row r="41" spans="3:73" x14ac:dyDescent="0.35">
      <c r="C41" t="s">
        <v>55</v>
      </c>
      <c r="D41" s="11"/>
      <c r="E41" s="11">
        <f>E87*-1</f>
        <v>-3733837.0239987839</v>
      </c>
      <c r="F41" s="11">
        <f t="shared" ref="F41:BQ41" si="18">F87*-1</f>
        <v>-2139010.6193244997</v>
      </c>
      <c r="G41" s="11">
        <f t="shared" si="18"/>
        <v>-2620138.0876253271</v>
      </c>
      <c r="H41" s="11">
        <f t="shared" si="18"/>
        <v>-2524207.873849865</v>
      </c>
      <c r="I41" s="11">
        <f t="shared" si="18"/>
        <v>-2447499.1573789692</v>
      </c>
      <c r="J41" s="11">
        <f t="shared" si="18"/>
        <v>-2438667.5776194162</v>
      </c>
      <c r="K41" s="11">
        <f t="shared" si="18"/>
        <v>-2347253.6620780667</v>
      </c>
      <c r="L41" s="11">
        <f t="shared" si="18"/>
        <v>-2346386.7484672624</v>
      </c>
      <c r="M41" s="11">
        <f t="shared" si="18"/>
        <v>-2345523.0107733649</v>
      </c>
      <c r="N41" s="11">
        <f t="shared" si="18"/>
        <v>-2372237.5865206313</v>
      </c>
      <c r="O41" s="11">
        <f t="shared" si="18"/>
        <v>-2424546.8155695926</v>
      </c>
      <c r="P41" s="11">
        <f t="shared" si="18"/>
        <v>-2451629.9380390532</v>
      </c>
      <c r="Q41" s="11">
        <f t="shared" si="18"/>
        <v>-2482023.3033180102</v>
      </c>
      <c r="R41" s="11">
        <f t="shared" si="18"/>
        <v>-2489364.0809490695</v>
      </c>
      <c r="S41" s="11">
        <f t="shared" si="18"/>
        <v>-2504169.9315965739</v>
      </c>
      <c r="T41" s="11">
        <f t="shared" si="18"/>
        <v>-2545926.7351489346</v>
      </c>
      <c r="U41" s="11">
        <f t="shared" si="18"/>
        <v>-2588577.1949775913</v>
      </c>
      <c r="V41" s="11">
        <f t="shared" si="18"/>
        <v>-2632139.1134755174</v>
      </c>
      <c r="W41" s="11">
        <f t="shared" si="18"/>
        <v>-2676630.6459005778</v>
      </c>
      <c r="X41" s="11">
        <f t="shared" si="18"/>
        <v>-2722070.3072895966</v>
      </c>
      <c r="Y41" s="11">
        <f t="shared" si="18"/>
        <v>-2768476.9795042565</v>
      </c>
      <c r="Z41" s="11">
        <f t="shared" si="18"/>
        <v>-2815869.918411185</v>
      </c>
      <c r="AA41" s="11">
        <f t="shared" si="18"/>
        <v>-2864268.7611985956</v>
      </c>
      <c r="AB41" s="11">
        <f t="shared" si="18"/>
        <v>-2913693.5338319088</v>
      </c>
      <c r="AC41" s="11">
        <f t="shared" si="18"/>
        <v>-2964164.6586508146</v>
      </c>
      <c r="AD41" s="11">
        <f t="shared" si="18"/>
        <v>-3015702.9621102102</v>
      </c>
      <c r="AE41" s="11">
        <f t="shared" si="18"/>
        <v>-3068329.6826676023</v>
      </c>
      <c r="AF41" s="11">
        <f t="shared" si="18"/>
        <v>-3122066.478819455</v>
      </c>
      <c r="AG41" s="11">
        <f t="shared" si="18"/>
        <v>-3176935.4372891136</v>
      </c>
      <c r="AH41" s="11">
        <f t="shared" si="18"/>
        <v>-3232959.0813689106</v>
      </c>
      <c r="AI41" s="11">
        <f t="shared" si="18"/>
        <v>-3290160.379419093</v>
      </c>
      <c r="AJ41" s="11">
        <f t="shared" si="18"/>
        <v>-3348562.7535262676</v>
      </c>
      <c r="AK41" s="11">
        <f t="shared" si="18"/>
        <v>-3408190.088324104</v>
      </c>
      <c r="AL41" s="11">
        <f t="shared" si="18"/>
        <v>-3469066.7399790124</v>
      </c>
      <c r="AM41" s="11">
        <f t="shared" si="18"/>
        <v>-3531217.5453435881</v>
      </c>
      <c r="AN41" s="11">
        <f t="shared" si="18"/>
        <v>-3594667.8312806836</v>
      </c>
      <c r="AO41" s="11">
        <f t="shared" si="18"/>
        <v>-3659443.4241608884</v>
      </c>
      <c r="AP41" s="11">
        <f t="shared" si="18"/>
        <v>-3725570.6595363761</v>
      </c>
      <c r="AQ41" s="11">
        <f t="shared" si="18"/>
        <v>-3793076.3919939478</v>
      </c>
      <c r="AR41" s="11">
        <f t="shared" si="18"/>
        <v>-3861988.0051903194</v>
      </c>
      <c r="AS41" s="11">
        <f t="shared" si="18"/>
        <v>-3932333.4220725079</v>
      </c>
      <c r="AT41" s="11">
        <f t="shared" si="18"/>
        <v>-4004141.1152864192</v>
      </c>
      <c r="AU41" s="11">
        <f t="shared" si="18"/>
        <v>-4077440.1177766342</v>
      </c>
      <c r="AV41" s="11">
        <f t="shared" si="18"/>
        <v>-4152260.0335804275</v>
      </c>
      <c r="AW41" s="11">
        <f t="shared" si="18"/>
        <v>-4228631.0488191498</v>
      </c>
      <c r="AX41" s="11">
        <f t="shared" si="18"/>
        <v>-4306583.9428900583</v>
      </c>
      <c r="AY41" s="11">
        <f t="shared" si="18"/>
        <v>-4386150.0998617383</v>
      </c>
      <c r="AZ41" s="11">
        <f t="shared" si="18"/>
        <v>-4467361.520076287</v>
      </c>
      <c r="BA41" s="11">
        <f t="shared" si="18"/>
        <v>-4550250.8319614213</v>
      </c>
      <c r="BB41" s="11">
        <f t="shared" si="18"/>
        <v>-4634851.3040557439</v>
      </c>
      <c r="BC41" s="11">
        <f t="shared" si="18"/>
        <v>-4721196.8572503673</v>
      </c>
      <c r="BD41" s="11">
        <f t="shared" si="18"/>
        <v>-4809322.0772501379</v>
      </c>
      <c r="BE41" s="11">
        <f t="shared" si="18"/>
        <v>-4899262.227257723</v>
      </c>
      <c r="BF41" s="11">
        <f t="shared" si="18"/>
        <v>-4991053.2608838389</v>
      </c>
      <c r="BG41" s="11">
        <f t="shared" si="18"/>
        <v>-5084731.8352868883</v>
      </c>
      <c r="BH41" s="11">
        <f t="shared" si="18"/>
        <v>-5180335.3245453238</v>
      </c>
      <c r="BI41" s="11">
        <f t="shared" si="18"/>
        <v>-5277901.8332659835</v>
      </c>
      <c r="BJ41" s="11">
        <f t="shared" si="18"/>
        <v>-5377470.2104317974</v>
      </c>
      <c r="BK41" s="11">
        <f t="shared" si="18"/>
        <v>-5479080.0634920569</v>
      </c>
      <c r="BL41" s="11">
        <f t="shared" si="18"/>
        <v>-5582771.7726986594</v>
      </c>
      <c r="BM41" s="11">
        <f t="shared" si="18"/>
        <v>-5688586.5056915721</v>
      </c>
      <c r="BN41" s="11">
        <f t="shared" si="18"/>
        <v>-5796566.2323368331</v>
      </c>
      <c r="BO41" s="11">
        <f t="shared" si="18"/>
        <v>-5906753.7398203509</v>
      </c>
      <c r="BP41" s="11">
        <f t="shared" si="18"/>
        <v>-6019192.6480008494</v>
      </c>
      <c r="BQ41" s="11">
        <f t="shared" si="18"/>
        <v>-6133927.425025099</v>
      </c>
      <c r="BR41" s="11">
        <f t="shared" ref="BR41:BS41" si="19">BR87*-1</f>
        <v>-6251003.4032087987</v>
      </c>
      <c r="BS41" s="11">
        <f t="shared" si="19"/>
        <v>-6370466.7951861927</v>
      </c>
      <c r="BT41" s="72"/>
    </row>
    <row r="42" spans="3:73" x14ac:dyDescent="0.35">
      <c r="C42" t="s">
        <v>54</v>
      </c>
      <c r="D42" s="11"/>
      <c r="E42" s="11">
        <f>E93*-1</f>
        <v>-1339000.0000000002</v>
      </c>
      <c r="F42" s="11">
        <f t="shared" ref="F42:BQ42" si="20">F93*-1</f>
        <v>-1339000.0000000002</v>
      </c>
      <c r="G42" s="11">
        <f t="shared" si="20"/>
        <v>-1339000.0000000002</v>
      </c>
      <c r="H42" s="11">
        <f t="shared" si="20"/>
        <v>-1339000.0000000002</v>
      </c>
      <c r="I42" s="11">
        <f t="shared" si="20"/>
        <v>-1339000.0000000002</v>
      </c>
      <c r="J42" s="11">
        <f t="shared" si="20"/>
        <v>-1339000.0000000002</v>
      </c>
      <c r="K42" s="11">
        <f t="shared" si="20"/>
        <v>-1339000.0000000002</v>
      </c>
      <c r="L42" s="11">
        <f t="shared" si="20"/>
        <v>-1339000.0000000002</v>
      </c>
      <c r="M42" s="11">
        <f t="shared" si="20"/>
        <v>-1339000.0000000002</v>
      </c>
      <c r="N42" s="11">
        <f t="shared" si="20"/>
        <v>-1339000.0000000002</v>
      </c>
      <c r="O42" s="11">
        <f t="shared" si="20"/>
        <v>-1339000.0000000002</v>
      </c>
      <c r="P42" s="11">
        <f t="shared" si="20"/>
        <v>-1339000.0000000002</v>
      </c>
      <c r="Q42" s="11">
        <f t="shared" si="20"/>
        <v>-1339000.0000000002</v>
      </c>
      <c r="R42" s="11">
        <f t="shared" si="20"/>
        <v>-1339000.0000000002</v>
      </c>
      <c r="S42" s="11">
        <f t="shared" si="20"/>
        <v>-1339000.0000000002</v>
      </c>
      <c r="T42" s="11">
        <f t="shared" si="20"/>
        <v>-1339000.0000000002</v>
      </c>
      <c r="U42" s="11">
        <f t="shared" si="20"/>
        <v>-1339000.0000000002</v>
      </c>
      <c r="V42" s="11">
        <f t="shared" si="20"/>
        <v>-1339000.0000000002</v>
      </c>
      <c r="W42" s="11">
        <f t="shared" si="20"/>
        <v>-1339000.0000000002</v>
      </c>
      <c r="X42" s="11">
        <f t="shared" si="20"/>
        <v>-1339000.0000000002</v>
      </c>
      <c r="Y42" s="11">
        <f t="shared" si="20"/>
        <v>-1339000.0000000002</v>
      </c>
      <c r="Z42" s="11">
        <f t="shared" si="20"/>
        <v>-1339000.0000000002</v>
      </c>
      <c r="AA42" s="11">
        <f t="shared" si="20"/>
        <v>-1339000.0000000002</v>
      </c>
      <c r="AB42" s="11">
        <f t="shared" si="20"/>
        <v>-1339000.0000000002</v>
      </c>
      <c r="AC42" s="11">
        <f t="shared" si="20"/>
        <v>-1339000.0000000002</v>
      </c>
      <c r="AD42" s="11">
        <f t="shared" si="20"/>
        <v>-1339000.0000000002</v>
      </c>
      <c r="AE42" s="11">
        <f t="shared" si="20"/>
        <v>-1339000.0000000002</v>
      </c>
      <c r="AF42" s="11">
        <f t="shared" si="20"/>
        <v>-1339000.0000000002</v>
      </c>
      <c r="AG42" s="11">
        <f t="shared" si="20"/>
        <v>-1339000.0000000002</v>
      </c>
      <c r="AH42" s="11">
        <f t="shared" si="20"/>
        <v>-1339000.0000000002</v>
      </c>
      <c r="AI42" s="11">
        <f t="shared" si="20"/>
        <v>-1339000.0000000002</v>
      </c>
      <c r="AJ42" s="11">
        <f t="shared" si="20"/>
        <v>-1339000.0000000002</v>
      </c>
      <c r="AK42" s="11">
        <f t="shared" si="20"/>
        <v>-1339000.0000000002</v>
      </c>
      <c r="AL42" s="11">
        <f t="shared" si="20"/>
        <v>-1339000.0000000002</v>
      </c>
      <c r="AM42" s="11">
        <f t="shared" si="20"/>
        <v>-1339000.0000000002</v>
      </c>
      <c r="AN42" s="11">
        <f t="shared" si="20"/>
        <v>-1339000.0000000002</v>
      </c>
      <c r="AO42" s="11">
        <f t="shared" si="20"/>
        <v>-1339000.0000000002</v>
      </c>
      <c r="AP42" s="11">
        <f t="shared" si="20"/>
        <v>-1339000.0000000002</v>
      </c>
      <c r="AQ42" s="11">
        <f t="shared" si="20"/>
        <v>-1339000.0000000002</v>
      </c>
      <c r="AR42" s="11">
        <f t="shared" si="20"/>
        <v>-1339000.0000000002</v>
      </c>
      <c r="AS42" s="11">
        <f t="shared" si="20"/>
        <v>-1339000.0000000002</v>
      </c>
      <c r="AT42" s="11">
        <f t="shared" si="20"/>
        <v>-1339000.0000000002</v>
      </c>
      <c r="AU42" s="11">
        <f t="shared" si="20"/>
        <v>-1339000.0000000002</v>
      </c>
      <c r="AV42" s="11">
        <f t="shared" si="20"/>
        <v>-1339000.0000000002</v>
      </c>
      <c r="AW42" s="11">
        <f t="shared" si="20"/>
        <v>-1339000.0000000002</v>
      </c>
      <c r="AX42" s="11">
        <f t="shared" si="20"/>
        <v>-1339000.0000000002</v>
      </c>
      <c r="AY42" s="11">
        <f t="shared" si="20"/>
        <v>-1339000.0000000002</v>
      </c>
      <c r="AZ42" s="11">
        <f t="shared" si="20"/>
        <v>-1339000.0000000002</v>
      </c>
      <c r="BA42" s="11">
        <f t="shared" si="20"/>
        <v>-1339000.0000000002</v>
      </c>
      <c r="BB42" s="11">
        <f t="shared" si="20"/>
        <v>-1339000.0000000002</v>
      </c>
      <c r="BC42" s="11">
        <f t="shared" si="20"/>
        <v>-1339000.0000000002</v>
      </c>
      <c r="BD42" s="11">
        <f t="shared" si="20"/>
        <v>-1339000.0000000002</v>
      </c>
      <c r="BE42" s="11">
        <f t="shared" si="20"/>
        <v>-1339000.0000000002</v>
      </c>
      <c r="BF42" s="11">
        <f t="shared" si="20"/>
        <v>-1339000.0000000002</v>
      </c>
      <c r="BG42" s="11">
        <f t="shared" si="20"/>
        <v>-1339000.0000000002</v>
      </c>
      <c r="BH42" s="11">
        <f t="shared" si="20"/>
        <v>-1339000.0000000002</v>
      </c>
      <c r="BI42" s="11">
        <f t="shared" si="20"/>
        <v>-1339000.0000000002</v>
      </c>
      <c r="BJ42" s="11">
        <f t="shared" si="20"/>
        <v>-1339000.0000000002</v>
      </c>
      <c r="BK42" s="11">
        <f t="shared" si="20"/>
        <v>-1339000.0000000002</v>
      </c>
      <c r="BL42" s="11">
        <f t="shared" si="20"/>
        <v>-1339000.0000000002</v>
      </c>
      <c r="BM42" s="11">
        <f t="shared" si="20"/>
        <v>-1339000.0000000002</v>
      </c>
      <c r="BN42" s="11">
        <f t="shared" si="20"/>
        <v>-1339000.0000000002</v>
      </c>
      <c r="BO42" s="11">
        <f t="shared" si="20"/>
        <v>-1339000.0000000002</v>
      </c>
      <c r="BP42" s="11">
        <f t="shared" si="20"/>
        <v>-1339000.0000000002</v>
      </c>
      <c r="BQ42" s="11">
        <f t="shared" si="20"/>
        <v>-1339000.0000000002</v>
      </c>
      <c r="BR42" s="11">
        <f t="shared" ref="BR42:BS42" si="21">BR93*-1</f>
        <v>-1339000.0000000002</v>
      </c>
      <c r="BS42" s="11">
        <f t="shared" si="21"/>
        <v>-1339000.0000000002</v>
      </c>
      <c r="BT42" s="72"/>
    </row>
    <row r="43" spans="3:73" x14ac:dyDescent="0.35">
      <c r="C43" s="19" t="s">
        <v>10</v>
      </c>
      <c r="D43" s="11"/>
      <c r="E43" s="11">
        <f>E74</f>
        <v>-1865671.6417910447</v>
      </c>
      <c r="F43" s="11">
        <f t="shared" ref="F43:BQ43" si="22">F74</f>
        <v>-1865671.6417910447</v>
      </c>
      <c r="G43" s="11">
        <f t="shared" si="22"/>
        <v>-1865671.6417910447</v>
      </c>
      <c r="H43" s="11">
        <f t="shared" si="22"/>
        <v>-1865671.6417910447</v>
      </c>
      <c r="I43" s="11">
        <f t="shared" si="22"/>
        <v>-1865671.6417910447</v>
      </c>
      <c r="J43" s="11">
        <f t="shared" si="22"/>
        <v>-1865671.6417910447</v>
      </c>
      <c r="K43" s="11">
        <f t="shared" si="22"/>
        <v>-1865671.6417910447</v>
      </c>
      <c r="L43" s="11">
        <f t="shared" si="22"/>
        <v>-1865671.6417910447</v>
      </c>
      <c r="M43" s="11">
        <f t="shared" si="22"/>
        <v>-1865671.6417910447</v>
      </c>
      <c r="N43" s="11">
        <f t="shared" si="22"/>
        <v>-1865671.6417910447</v>
      </c>
      <c r="O43" s="11">
        <f t="shared" si="22"/>
        <v>-1865671.6417910447</v>
      </c>
      <c r="P43" s="11">
        <f t="shared" si="22"/>
        <v>-1865671.6417910447</v>
      </c>
      <c r="Q43" s="11">
        <f t="shared" si="22"/>
        <v>-1865671.6417910447</v>
      </c>
      <c r="R43" s="11">
        <f t="shared" si="22"/>
        <v>-1865671.6417910447</v>
      </c>
      <c r="S43" s="11">
        <f t="shared" si="22"/>
        <v>-1865671.6417910447</v>
      </c>
      <c r="T43" s="11">
        <f t="shared" si="22"/>
        <v>-1865671.6417910447</v>
      </c>
      <c r="U43" s="11">
        <f t="shared" si="22"/>
        <v>-1865671.6417910447</v>
      </c>
      <c r="V43" s="11">
        <f t="shared" si="22"/>
        <v>-1865671.6417910447</v>
      </c>
      <c r="W43" s="11">
        <f t="shared" si="22"/>
        <v>-1865671.6417910447</v>
      </c>
      <c r="X43" s="11">
        <f t="shared" si="22"/>
        <v>-1865671.6417910447</v>
      </c>
      <c r="Y43" s="11">
        <f t="shared" si="22"/>
        <v>-1865671.6417910447</v>
      </c>
      <c r="Z43" s="11">
        <f t="shared" si="22"/>
        <v>-1865671.6417910447</v>
      </c>
      <c r="AA43" s="11">
        <f t="shared" si="22"/>
        <v>-1865671.6417910447</v>
      </c>
      <c r="AB43" s="11">
        <f t="shared" si="22"/>
        <v>-1865671.6417910447</v>
      </c>
      <c r="AC43" s="11">
        <f t="shared" si="22"/>
        <v>-1865671.6417910447</v>
      </c>
      <c r="AD43" s="11">
        <f t="shared" si="22"/>
        <v>-1865671.6417910447</v>
      </c>
      <c r="AE43" s="11">
        <f t="shared" si="22"/>
        <v>-1865671.6417910447</v>
      </c>
      <c r="AF43" s="11">
        <f t="shared" si="22"/>
        <v>-1865671.6417910447</v>
      </c>
      <c r="AG43" s="11">
        <f t="shared" si="22"/>
        <v>-1865671.6417910447</v>
      </c>
      <c r="AH43" s="11">
        <f t="shared" si="22"/>
        <v>-1865671.6417910447</v>
      </c>
      <c r="AI43" s="11">
        <f t="shared" si="22"/>
        <v>-1865671.6417910447</v>
      </c>
      <c r="AJ43" s="11">
        <f t="shared" si="22"/>
        <v>-1865671.6417910447</v>
      </c>
      <c r="AK43" s="11">
        <f t="shared" si="22"/>
        <v>-1865671.6417910447</v>
      </c>
      <c r="AL43" s="11">
        <f t="shared" si="22"/>
        <v>-1865671.6417910447</v>
      </c>
      <c r="AM43" s="11">
        <f t="shared" si="22"/>
        <v>-1865671.6417910447</v>
      </c>
      <c r="AN43" s="11">
        <f t="shared" si="22"/>
        <v>-1865671.6417910447</v>
      </c>
      <c r="AO43" s="11">
        <f t="shared" si="22"/>
        <v>-1865671.6417910447</v>
      </c>
      <c r="AP43" s="11">
        <f t="shared" si="22"/>
        <v>-1865671.6417910447</v>
      </c>
      <c r="AQ43" s="11">
        <f t="shared" si="22"/>
        <v>-1865671.6417910447</v>
      </c>
      <c r="AR43" s="11">
        <f t="shared" si="22"/>
        <v>-1865671.6417910447</v>
      </c>
      <c r="AS43" s="11">
        <f t="shared" si="22"/>
        <v>-1865671.6417910447</v>
      </c>
      <c r="AT43" s="11">
        <f t="shared" si="22"/>
        <v>-1865671.6417910447</v>
      </c>
      <c r="AU43" s="11">
        <f t="shared" si="22"/>
        <v>-1865671.6417910447</v>
      </c>
      <c r="AV43" s="11">
        <f t="shared" si="22"/>
        <v>-1865671.6417910447</v>
      </c>
      <c r="AW43" s="11">
        <f t="shared" si="22"/>
        <v>-1865671.6417910447</v>
      </c>
      <c r="AX43" s="11">
        <f t="shared" si="22"/>
        <v>-1865671.6417910447</v>
      </c>
      <c r="AY43" s="11">
        <f t="shared" si="22"/>
        <v>-1865671.6417910447</v>
      </c>
      <c r="AZ43" s="11">
        <f t="shared" si="22"/>
        <v>-1865671.6417910447</v>
      </c>
      <c r="BA43" s="11">
        <f t="shared" si="22"/>
        <v>-1865671.6417910447</v>
      </c>
      <c r="BB43" s="11">
        <f t="shared" si="22"/>
        <v>-1865671.6417910447</v>
      </c>
      <c r="BC43" s="11">
        <f t="shared" si="22"/>
        <v>-1865671.6417910447</v>
      </c>
      <c r="BD43" s="11">
        <f t="shared" si="22"/>
        <v>-1865671.6417910447</v>
      </c>
      <c r="BE43" s="11">
        <f t="shared" si="22"/>
        <v>-1865671.6417910447</v>
      </c>
      <c r="BF43" s="11">
        <f t="shared" si="22"/>
        <v>-1865671.6417910447</v>
      </c>
      <c r="BG43" s="11">
        <f t="shared" si="22"/>
        <v>-1865671.6417910447</v>
      </c>
      <c r="BH43" s="11">
        <f t="shared" si="22"/>
        <v>-1865671.6417910447</v>
      </c>
      <c r="BI43" s="11">
        <f t="shared" si="22"/>
        <v>-1865671.6417910447</v>
      </c>
      <c r="BJ43" s="11">
        <f t="shared" si="22"/>
        <v>-1865671.6417910447</v>
      </c>
      <c r="BK43" s="11">
        <f t="shared" si="22"/>
        <v>-1865671.6417910447</v>
      </c>
      <c r="BL43" s="11">
        <f t="shared" si="22"/>
        <v>-1865671.6417910447</v>
      </c>
      <c r="BM43" s="11">
        <f t="shared" si="22"/>
        <v>-1865671.6417910447</v>
      </c>
      <c r="BN43" s="11">
        <f t="shared" si="22"/>
        <v>-1865671.6417910447</v>
      </c>
      <c r="BO43" s="11">
        <f t="shared" si="22"/>
        <v>-1865671.6417910447</v>
      </c>
      <c r="BP43" s="11">
        <f t="shared" si="22"/>
        <v>-1865671.6417910447</v>
      </c>
      <c r="BQ43" s="11">
        <f t="shared" si="22"/>
        <v>-1865671.6417910447</v>
      </c>
      <c r="BR43" s="11">
        <f t="shared" ref="BR43:BS43" si="23">BR74</f>
        <v>-1865671.6417910447</v>
      </c>
      <c r="BS43" s="11">
        <f t="shared" si="23"/>
        <v>-1865671.6417910447</v>
      </c>
      <c r="BT43" s="72"/>
    </row>
    <row r="44" spans="3:73" x14ac:dyDescent="0.35">
      <c r="C44" s="21" t="s">
        <v>7</v>
      </c>
      <c r="D44" s="22"/>
      <c r="E44" s="22">
        <f t="shared" ref="E44:AJ44" si="24">SUM(E33:E43)</f>
        <v>10449204.045075841</v>
      </c>
      <c r="F44" s="22">
        <f t="shared" si="24"/>
        <v>9689427.9366826601</v>
      </c>
      <c r="G44" s="22">
        <f t="shared" si="24"/>
        <v>8967021.9052631781</v>
      </c>
      <c r="H44" s="22">
        <f t="shared" si="24"/>
        <v>9724944.5923557505</v>
      </c>
      <c r="I44" s="22">
        <f t="shared" si="24"/>
        <v>9700518.6217962541</v>
      </c>
      <c r="J44" s="22">
        <f t="shared" si="24"/>
        <v>9522639.4324909486</v>
      </c>
      <c r="K44" s="22">
        <f t="shared" si="24"/>
        <v>9804973.0183162987</v>
      </c>
      <c r="L44" s="22">
        <f t="shared" si="24"/>
        <v>10547194.60198693</v>
      </c>
      <c r="M44" s="22">
        <f t="shared" si="24"/>
        <v>10664361.525351997</v>
      </c>
      <c r="N44" s="22">
        <f t="shared" si="24"/>
        <v>10357015.525679473</v>
      </c>
      <c r="O44" s="22">
        <f t="shared" si="24"/>
        <v>10568536.004396904</v>
      </c>
      <c r="P44" s="22">
        <f t="shared" si="24"/>
        <v>10810945.489819311</v>
      </c>
      <c r="Q44" s="22">
        <f t="shared" si="24"/>
        <v>11055820.890560206</v>
      </c>
      <c r="R44" s="22">
        <f t="shared" si="24"/>
        <v>11329640.560239546</v>
      </c>
      <c r="S44" s="22">
        <f t="shared" si="24"/>
        <v>11602004.6718188</v>
      </c>
      <c r="T44" s="22">
        <f t="shared" si="24"/>
        <v>11853547.53570788</v>
      </c>
      <c r="U44" s="22">
        <f t="shared" si="24"/>
        <v>12110449.042639643</v>
      </c>
      <c r="V44" s="22">
        <f t="shared" si="24"/>
        <v>12372816.436207499</v>
      </c>
      <c r="W44" s="22">
        <f t="shared" si="24"/>
        <v>12640759.108059689</v>
      </c>
      <c r="X44" s="22">
        <f t="shared" si="24"/>
        <v>12914388.641003598</v>
      </c>
      <c r="Y44" s="22">
        <f t="shared" si="24"/>
        <v>13193818.852978688</v>
      </c>
      <c r="Z44" s="22">
        <f t="shared" si="24"/>
        <v>13479165.841915447</v>
      </c>
      <c r="AA44" s="22">
        <f t="shared" si="24"/>
        <v>13770548.031498753</v>
      </c>
      <c r="AB44" s="22">
        <f t="shared" si="24"/>
        <v>14068086.217853714</v>
      </c>
      <c r="AC44" s="22">
        <f t="shared" si="24"/>
        <v>14371903.617172986</v>
      </c>
      <c r="AD44" s="22">
        <f t="shared" si="24"/>
        <v>14682125.914304711</v>
      </c>
      <c r="AE44" s="22">
        <f t="shared" si="24"/>
        <v>14998881.3123204</v>
      </c>
      <c r="AF44" s="22">
        <f t="shared" si="24"/>
        <v>15322300.58308322</v>
      </c>
      <c r="AG44" s="22">
        <f t="shared" si="24"/>
        <v>15652517.11883669</v>
      </c>
      <c r="AH44" s="22">
        <f t="shared" si="24"/>
        <v>15989666.98483463</v>
      </c>
      <c r="AI44" s="22">
        <f t="shared" si="24"/>
        <v>16333888.973033894</v>
      </c>
      <c r="AJ44" s="22">
        <f t="shared" si="24"/>
        <v>16685324.656871308</v>
      </c>
      <c r="AK44" s="22">
        <f t="shared" ref="AK44:BP44" si="25">SUM(AK33:AK43)</f>
        <v>17044118.447147086</v>
      </c>
      <c r="AL44" s="22">
        <f t="shared" si="25"/>
        <v>17410417.649037428</v>
      </c>
      <c r="AM44" s="22">
        <f t="shared" si="25"/>
        <v>17784372.520259153</v>
      </c>
      <c r="AN44" s="22">
        <f t="shared" si="25"/>
        <v>18166136.330410238</v>
      </c>
      <c r="AO44" s="22">
        <f t="shared" si="25"/>
        <v>18555865.421510115</v>
      </c>
      <c r="AP44" s="22">
        <f t="shared" si="25"/>
        <v>18953719.269764464</v>
      </c>
      <c r="AQ44" s="22">
        <f t="shared" si="25"/>
        <v>19359860.548579484</v>
      </c>
      <c r="AR44" s="22">
        <f t="shared" si="25"/>
        <v>19774455.192851283</v>
      </c>
      <c r="AS44" s="22">
        <f t="shared" si="25"/>
        <v>20197672.464556798</v>
      </c>
      <c r="AT44" s="22">
        <f t="shared" si="25"/>
        <v>20629685.019672491</v>
      </c>
      <c r="AU44" s="22">
        <f t="shared" si="25"/>
        <v>21070668.976448618</v>
      </c>
      <c r="AV44" s="22">
        <f t="shared" si="25"/>
        <v>21520803.985066649</v>
      </c>
      <c r="AW44" s="22">
        <f t="shared" si="25"/>
        <v>21980273.298708335</v>
      </c>
      <c r="AX44" s="22">
        <f t="shared" si="25"/>
        <v>22449263.846065577</v>
      </c>
      <c r="AY44" s="22">
        <f t="shared" si="25"/>
        <v>22927966.305320777</v>
      </c>
      <c r="AZ44" s="22">
        <f t="shared" si="25"/>
        <v>23416575.179627787</v>
      </c>
      <c r="BA44" s="22">
        <f t="shared" si="25"/>
        <v>23915288.87412478</v>
      </c>
      <c r="BB44" s="22">
        <f t="shared" si="25"/>
        <v>24424309.774510399</v>
      </c>
      <c r="BC44" s="22">
        <f t="shared" si="25"/>
        <v>24943844.327215459</v>
      </c>
      <c r="BD44" s="22">
        <f t="shared" si="25"/>
        <v>25474103.121203512</v>
      </c>
      <c r="BE44" s="22">
        <f t="shared" si="25"/>
        <v>26015300.971433662</v>
      </c>
      <c r="BF44" s="22">
        <f t="shared" si="25"/>
        <v>26567657.004020184</v>
      </c>
      <c r="BG44" s="22">
        <f t="shared" si="25"/>
        <v>27131394.743124168</v>
      </c>
      <c r="BH44" s="22">
        <f t="shared" si="25"/>
        <v>27706742.199613065</v>
      </c>
      <c r="BI44" s="22">
        <f t="shared" si="25"/>
        <v>28293931.961524837</v>
      </c>
      <c r="BJ44" s="22">
        <f t="shared" si="25"/>
        <v>28893201.286374234</v>
      </c>
      <c r="BK44" s="22">
        <f t="shared" si="25"/>
        <v>29504792.195339654</v>
      </c>
      <c r="BL44" s="22">
        <f t="shared" si="25"/>
        <v>30128951.569369387</v>
      </c>
      <c r="BM44" s="22">
        <f t="shared" si="25"/>
        <v>30765931.247247666</v>
      </c>
      <c r="BN44" s="22">
        <f t="shared" si="25"/>
        <v>31415988.125661209</v>
      </c>
      <c r="BO44" s="22">
        <f t="shared" si="25"/>
        <v>32079384.261307798</v>
      </c>
      <c r="BP44" s="22">
        <f t="shared" si="25"/>
        <v>32756386.975090154</v>
      </c>
      <c r="BQ44" s="22">
        <f t="shared" ref="BQ44:BS44" si="26">SUM(BQ33:BQ43)</f>
        <v>33447268.958438173</v>
      </c>
      <c r="BR44" s="22">
        <f t="shared" si="26"/>
        <v>34152308.381804347</v>
      </c>
      <c r="BS44" s="22">
        <f t="shared" si="26"/>
        <v>34871789.005377971</v>
      </c>
      <c r="BT44" s="72"/>
    </row>
    <row r="45" spans="3:73" x14ac:dyDescent="0.35">
      <c r="C45" t="s">
        <v>59</v>
      </c>
      <c r="D45" s="11"/>
      <c r="E45" s="11">
        <f t="shared" ref="E45:N45" si="27">selskatt*E44*(-1)</f>
        <v>-2403316.9303674437</v>
      </c>
      <c r="F45" s="11">
        <f t="shared" si="27"/>
        <v>-2228568.4254370118</v>
      </c>
      <c r="G45" s="11">
        <f t="shared" si="27"/>
        <v>-2062415.038210531</v>
      </c>
      <c r="H45" s="11">
        <f t="shared" si="27"/>
        <v>-2236737.2562418226</v>
      </c>
      <c r="I45" s="11">
        <f t="shared" si="27"/>
        <v>-2231119.2830131385</v>
      </c>
      <c r="J45" s="11">
        <f t="shared" si="27"/>
        <v>-2190207.0694729183</v>
      </c>
      <c r="K45" s="11">
        <f t="shared" si="27"/>
        <v>-2255143.7942127488</v>
      </c>
      <c r="L45" s="11">
        <f t="shared" si="27"/>
        <v>-2425854.7584569938</v>
      </c>
      <c r="M45" s="11">
        <f t="shared" si="27"/>
        <v>-2452803.1508309594</v>
      </c>
      <c r="N45" s="11">
        <f t="shared" si="27"/>
        <v>-2382113.5709062787</v>
      </c>
      <c r="O45" s="11">
        <f t="shared" ref="O45:BS45" si="28">selskatt*O44*(-1)</f>
        <v>-2430763.2810112881</v>
      </c>
      <c r="P45" s="11">
        <f t="shared" si="28"/>
        <v>-2486517.4626584416</v>
      </c>
      <c r="Q45" s="11">
        <f t="shared" si="28"/>
        <v>-2542838.8048288473</v>
      </c>
      <c r="R45" s="11">
        <f t="shared" si="28"/>
        <v>-2605817.3288550959</v>
      </c>
      <c r="S45" s="11">
        <f t="shared" si="28"/>
        <v>-2668461.0745183243</v>
      </c>
      <c r="T45" s="11">
        <f t="shared" si="28"/>
        <v>-2726315.9332128125</v>
      </c>
      <c r="U45" s="11">
        <f t="shared" si="28"/>
        <v>-2785403.2798071178</v>
      </c>
      <c r="V45" s="11">
        <f t="shared" si="28"/>
        <v>-2845747.7803277248</v>
      </c>
      <c r="W45" s="11">
        <f t="shared" si="28"/>
        <v>-2907374.5948537285</v>
      </c>
      <c r="X45" s="11">
        <f t="shared" si="28"/>
        <v>-2970309.3874308276</v>
      </c>
      <c r="Y45" s="11">
        <f t="shared" si="28"/>
        <v>-3034578.3361850982</v>
      </c>
      <c r="Z45" s="11">
        <f t="shared" si="28"/>
        <v>-3100208.1436405531</v>
      </c>
      <c r="AA45" s="11">
        <f t="shared" si="28"/>
        <v>-3167226.0472447132</v>
      </c>
      <c r="AB45" s="11">
        <f t="shared" si="28"/>
        <v>-3235659.8301063543</v>
      </c>
      <c r="AC45" s="11">
        <f t="shared" si="28"/>
        <v>-3305537.8319497872</v>
      </c>
      <c r="AD45" s="11">
        <f t="shared" si="28"/>
        <v>-3376888.9602900837</v>
      </c>
      <c r="AE45" s="11">
        <f t="shared" si="28"/>
        <v>-3449742.7018336924</v>
      </c>
      <c r="AF45" s="11">
        <f t="shared" si="28"/>
        <v>-3524129.1341091408</v>
      </c>
      <c r="AG45" s="11">
        <f t="shared" si="28"/>
        <v>-3600078.9373324388</v>
      </c>
      <c r="AH45" s="11">
        <f t="shared" si="28"/>
        <v>-3677623.4065119652</v>
      </c>
      <c r="AI45" s="11">
        <f t="shared" si="28"/>
        <v>-3756794.4637977956</v>
      </c>
      <c r="AJ45" s="11">
        <f t="shared" si="28"/>
        <v>-3837624.6710804007</v>
      </c>
      <c r="AK45" s="11">
        <f t="shared" si="28"/>
        <v>-3920147.24284383</v>
      </c>
      <c r="AL45" s="11">
        <f t="shared" si="28"/>
        <v>-4004396.0592786088</v>
      </c>
      <c r="AM45" s="11">
        <f t="shared" si="28"/>
        <v>-4090405.6796596055</v>
      </c>
      <c r="AN45" s="11">
        <f t="shared" si="28"/>
        <v>-4178211.3559943549</v>
      </c>
      <c r="AO45" s="11">
        <f t="shared" si="28"/>
        <v>-4267849.0469473265</v>
      </c>
      <c r="AP45" s="11">
        <f t="shared" si="28"/>
        <v>-4359355.4320458267</v>
      </c>
      <c r="AQ45" s="11">
        <f t="shared" si="28"/>
        <v>-4452767.9261732819</v>
      </c>
      <c r="AR45" s="11">
        <f t="shared" si="28"/>
        <v>-4548124.6943557952</v>
      </c>
      <c r="AS45" s="11">
        <f t="shared" si="28"/>
        <v>-4645464.6668480635</v>
      </c>
      <c r="AT45" s="11">
        <f t="shared" si="28"/>
        <v>-4744827.5545246731</v>
      </c>
      <c r="AU45" s="11">
        <f t="shared" si="28"/>
        <v>-4846253.8645831821</v>
      </c>
      <c r="AV45" s="11">
        <f t="shared" si="28"/>
        <v>-4949784.9165653298</v>
      </c>
      <c r="AW45" s="11">
        <f t="shared" si="28"/>
        <v>-5055462.8587029176</v>
      </c>
      <c r="AX45" s="11">
        <f t="shared" si="28"/>
        <v>-5163330.6845950829</v>
      </c>
      <c r="AY45" s="11">
        <f t="shared" si="28"/>
        <v>-5273432.2502237791</v>
      </c>
      <c r="AZ45" s="11">
        <f t="shared" si="28"/>
        <v>-5385812.2913143914</v>
      </c>
      <c r="BA45" s="11">
        <f t="shared" si="28"/>
        <v>-5500516.4410486994</v>
      </c>
      <c r="BB45" s="11">
        <f t="shared" si="28"/>
        <v>-5617591.2481373921</v>
      </c>
      <c r="BC45" s="11">
        <f t="shared" si="28"/>
        <v>-5737084.1952595562</v>
      </c>
      <c r="BD45" s="11">
        <f t="shared" si="28"/>
        <v>-5859043.7178768078</v>
      </c>
      <c r="BE45" s="11">
        <f t="shared" si="28"/>
        <v>-5983519.2234297423</v>
      </c>
      <c r="BF45" s="11">
        <f t="shared" si="28"/>
        <v>-6110561.1109246425</v>
      </c>
      <c r="BG45" s="11">
        <f t="shared" si="28"/>
        <v>-6240220.7909185588</v>
      </c>
      <c r="BH45" s="11">
        <f t="shared" si="28"/>
        <v>-6372550.7059110049</v>
      </c>
      <c r="BI45" s="11">
        <f t="shared" si="28"/>
        <v>-6507604.3511507129</v>
      </c>
      <c r="BJ45" s="11">
        <f t="shared" si="28"/>
        <v>-6645436.295866074</v>
      </c>
      <c r="BK45" s="11">
        <f t="shared" si="28"/>
        <v>-6786102.2049281206</v>
      </c>
      <c r="BL45" s="11">
        <f t="shared" si="28"/>
        <v>-6929658.8609549589</v>
      </c>
      <c r="BM45" s="11">
        <f t="shared" si="28"/>
        <v>-7076164.1868669633</v>
      </c>
      <c r="BN45" s="11">
        <f t="shared" si="28"/>
        <v>-7225677.2689020783</v>
      </c>
      <c r="BO45" s="11">
        <f t="shared" si="28"/>
        <v>-7378258.3801007941</v>
      </c>
      <c r="BP45" s="11">
        <f t="shared" si="28"/>
        <v>-7533969.0042707352</v>
      </c>
      <c r="BQ45" s="11">
        <f t="shared" si="28"/>
        <v>-7692871.8604407804</v>
      </c>
      <c r="BR45" s="11">
        <f t="shared" si="28"/>
        <v>-7855030.9278150005</v>
      </c>
      <c r="BS45" s="11">
        <f t="shared" si="28"/>
        <v>-8020511.471236934</v>
      </c>
      <c r="BT45" s="72"/>
    </row>
    <row r="46" spans="3:73" x14ac:dyDescent="0.35">
      <c r="C46" s="21" t="s">
        <v>8</v>
      </c>
      <c r="D46" s="22"/>
      <c r="E46" s="22">
        <f>SUM(E44:E45)</f>
        <v>8045887.1147083975</v>
      </c>
      <c r="F46" s="22">
        <f t="shared" ref="F46:N46" si="29">SUM(F44:F45)</f>
        <v>7460859.5112456484</v>
      </c>
      <c r="G46" s="22">
        <f t="shared" si="29"/>
        <v>6904606.8670526473</v>
      </c>
      <c r="H46" s="22">
        <f t="shared" si="29"/>
        <v>7488207.3361139279</v>
      </c>
      <c r="I46" s="22">
        <f t="shared" si="29"/>
        <v>7469399.3387831151</v>
      </c>
      <c r="J46" s="22">
        <f t="shared" si="29"/>
        <v>7332432.3630180303</v>
      </c>
      <c r="K46" s="22">
        <f t="shared" si="29"/>
        <v>7549829.2241035495</v>
      </c>
      <c r="L46" s="22">
        <f t="shared" si="29"/>
        <v>8121339.8435299359</v>
      </c>
      <c r="M46" s="22">
        <f t="shared" si="29"/>
        <v>8211558.3745210376</v>
      </c>
      <c r="N46" s="22">
        <f t="shared" si="29"/>
        <v>7974901.9547731942</v>
      </c>
      <c r="O46" s="22">
        <f t="shared" ref="O46:BS46" si="30">SUM(O44:O45)</f>
        <v>8137772.7233856162</v>
      </c>
      <c r="P46" s="22">
        <f t="shared" si="30"/>
        <v>8324428.027160869</v>
      </c>
      <c r="Q46" s="22">
        <f t="shared" si="30"/>
        <v>8512982.0857313592</v>
      </c>
      <c r="R46" s="22">
        <f t="shared" si="30"/>
        <v>8723823.2313844506</v>
      </c>
      <c r="S46" s="22">
        <f t="shared" si="30"/>
        <v>8933543.5973004755</v>
      </c>
      <c r="T46" s="22">
        <f t="shared" si="30"/>
        <v>9127231.6024950668</v>
      </c>
      <c r="U46" s="22">
        <f t="shared" si="30"/>
        <v>9325045.7628325261</v>
      </c>
      <c r="V46" s="22">
        <f t="shared" si="30"/>
        <v>9527068.6558797751</v>
      </c>
      <c r="W46" s="22">
        <f t="shared" si="30"/>
        <v>9733384.5132059604</v>
      </c>
      <c r="X46" s="22">
        <f t="shared" si="30"/>
        <v>9944079.2535727695</v>
      </c>
      <c r="Y46" s="22">
        <f t="shared" si="30"/>
        <v>10159240.51679359</v>
      </c>
      <c r="Z46" s="22">
        <f t="shared" si="30"/>
        <v>10378957.698274894</v>
      </c>
      <c r="AA46" s="22">
        <f t="shared" si="30"/>
        <v>10603321.98425404</v>
      </c>
      <c r="AB46" s="22">
        <f t="shared" si="30"/>
        <v>10832426.387747359</v>
      </c>
      <c r="AC46" s="22">
        <f t="shared" si="30"/>
        <v>11066365.785223199</v>
      </c>
      <c r="AD46" s="22">
        <f t="shared" si="30"/>
        <v>11305236.954014627</v>
      </c>
      <c r="AE46" s="22">
        <f t="shared" si="30"/>
        <v>11549138.610486709</v>
      </c>
      <c r="AF46" s="22">
        <f t="shared" si="30"/>
        <v>11798171.448974079</v>
      </c>
      <c r="AG46" s="22">
        <f t="shared" si="30"/>
        <v>12052438.181504251</v>
      </c>
      <c r="AH46" s="22">
        <f t="shared" si="30"/>
        <v>12312043.578322664</v>
      </c>
      <c r="AI46" s="22">
        <f t="shared" si="30"/>
        <v>12577094.509236097</v>
      </c>
      <c r="AJ46" s="22">
        <f t="shared" si="30"/>
        <v>12847699.985790906</v>
      </c>
      <c r="AK46" s="22">
        <f t="shared" si="30"/>
        <v>13123971.204303257</v>
      </c>
      <c r="AL46" s="22">
        <f t="shared" si="30"/>
        <v>13406021.589758819</v>
      </c>
      <c r="AM46" s="22">
        <f t="shared" si="30"/>
        <v>13693966.840599548</v>
      </c>
      <c r="AN46" s="22">
        <f t="shared" si="30"/>
        <v>13987924.974415883</v>
      </c>
      <c r="AO46" s="22">
        <f t="shared" si="30"/>
        <v>14288016.374562789</v>
      </c>
      <c r="AP46" s="22">
        <f t="shared" si="30"/>
        <v>14594363.837718638</v>
      </c>
      <c r="AQ46" s="22">
        <f t="shared" si="30"/>
        <v>14907092.622406203</v>
      </c>
      <c r="AR46" s="22">
        <f t="shared" si="30"/>
        <v>15226330.498495487</v>
      </c>
      <c r="AS46" s="22">
        <f t="shared" si="30"/>
        <v>15552207.797708735</v>
      </c>
      <c r="AT46" s="22">
        <f t="shared" si="30"/>
        <v>15884857.465147818</v>
      </c>
      <c r="AU46" s="22">
        <f t="shared" si="30"/>
        <v>16224415.111865435</v>
      </c>
      <c r="AV46" s="22">
        <f t="shared" si="30"/>
        <v>16571019.06850132</v>
      </c>
      <c r="AW46" s="22">
        <f t="shared" si="30"/>
        <v>16924810.440005418</v>
      </c>
      <c r="AX46" s="22">
        <f t="shared" si="30"/>
        <v>17285933.161470495</v>
      </c>
      <c r="AY46" s="22">
        <f t="shared" si="30"/>
        <v>17654534.055096999</v>
      </c>
      <c r="AZ46" s="22">
        <f t="shared" si="30"/>
        <v>18030762.888313398</v>
      </c>
      <c r="BA46" s="22">
        <f t="shared" si="30"/>
        <v>18414772.43307608</v>
      </c>
      <c r="BB46" s="22">
        <f t="shared" si="30"/>
        <v>18806718.526373006</v>
      </c>
      <c r="BC46" s="22">
        <f t="shared" si="30"/>
        <v>19206760.131955903</v>
      </c>
      <c r="BD46" s="22">
        <f t="shared" si="30"/>
        <v>19615059.403326705</v>
      </c>
      <c r="BE46" s="22">
        <f t="shared" si="30"/>
        <v>20031781.748003919</v>
      </c>
      <c r="BF46" s="22">
        <f t="shared" si="30"/>
        <v>20457095.893095542</v>
      </c>
      <c r="BG46" s="22">
        <f t="shared" si="30"/>
        <v>20891173.95220561</v>
      </c>
      <c r="BH46" s="22">
        <f t="shared" si="30"/>
        <v>21334191.493702061</v>
      </c>
      <c r="BI46" s="22">
        <f t="shared" si="30"/>
        <v>21786327.610374123</v>
      </c>
      <c r="BJ46" s="22">
        <f t="shared" si="30"/>
        <v>22247764.990508161</v>
      </c>
      <c r="BK46" s="22">
        <f t="shared" si="30"/>
        <v>22718689.990411535</v>
      </c>
      <c r="BL46" s="22">
        <f t="shared" si="30"/>
        <v>23199292.708414428</v>
      </c>
      <c r="BM46" s="22">
        <f t="shared" si="30"/>
        <v>23689767.060380705</v>
      </c>
      <c r="BN46" s="22">
        <f t="shared" si="30"/>
        <v>24190310.856759131</v>
      </c>
      <c r="BO46" s="22">
        <f t="shared" si="30"/>
        <v>24701125.881207004</v>
      </c>
      <c r="BP46" s="22">
        <f t="shared" si="30"/>
        <v>25222417.970819417</v>
      </c>
      <c r="BQ46" s="22">
        <f t="shared" si="30"/>
        <v>25754397.097997393</v>
      </c>
      <c r="BR46" s="22">
        <f t="shared" si="30"/>
        <v>26297277.453989346</v>
      </c>
      <c r="BS46" s="22">
        <f t="shared" si="30"/>
        <v>26851277.534141038</v>
      </c>
      <c r="BT46" s="73">
        <f>SUM(E46:BS46)</f>
        <v>977102947.68853223</v>
      </c>
    </row>
    <row r="47" spans="3:73" x14ac:dyDescent="0.35">
      <c r="C47" t="s">
        <v>10</v>
      </c>
      <c r="D47" s="11"/>
      <c r="E47" s="11">
        <f>E43*(-1)</f>
        <v>1865671.6417910447</v>
      </c>
      <c r="F47" s="11">
        <f t="shared" ref="F47:BQ47" si="31">F43*(-1)</f>
        <v>1865671.6417910447</v>
      </c>
      <c r="G47" s="11">
        <f t="shared" si="31"/>
        <v>1865671.6417910447</v>
      </c>
      <c r="H47" s="11">
        <f t="shared" si="31"/>
        <v>1865671.6417910447</v>
      </c>
      <c r="I47" s="11">
        <f t="shared" si="31"/>
        <v>1865671.6417910447</v>
      </c>
      <c r="J47" s="11">
        <f t="shared" si="31"/>
        <v>1865671.6417910447</v>
      </c>
      <c r="K47" s="11">
        <f t="shared" si="31"/>
        <v>1865671.6417910447</v>
      </c>
      <c r="L47" s="11">
        <f t="shared" si="31"/>
        <v>1865671.6417910447</v>
      </c>
      <c r="M47" s="11">
        <f t="shared" si="31"/>
        <v>1865671.6417910447</v>
      </c>
      <c r="N47" s="11">
        <f t="shared" si="31"/>
        <v>1865671.6417910447</v>
      </c>
      <c r="O47" s="11">
        <f t="shared" si="31"/>
        <v>1865671.6417910447</v>
      </c>
      <c r="P47" s="11">
        <f t="shared" si="31"/>
        <v>1865671.6417910447</v>
      </c>
      <c r="Q47" s="11">
        <f t="shared" si="31"/>
        <v>1865671.6417910447</v>
      </c>
      <c r="R47" s="11">
        <f t="shared" si="31"/>
        <v>1865671.6417910447</v>
      </c>
      <c r="S47" s="11">
        <f t="shared" si="31"/>
        <v>1865671.6417910447</v>
      </c>
      <c r="T47" s="11">
        <f t="shared" si="31"/>
        <v>1865671.6417910447</v>
      </c>
      <c r="U47" s="11">
        <f t="shared" si="31"/>
        <v>1865671.6417910447</v>
      </c>
      <c r="V47" s="11">
        <f t="shared" si="31"/>
        <v>1865671.6417910447</v>
      </c>
      <c r="W47" s="11">
        <f t="shared" si="31"/>
        <v>1865671.6417910447</v>
      </c>
      <c r="X47" s="11">
        <f t="shared" si="31"/>
        <v>1865671.6417910447</v>
      </c>
      <c r="Y47" s="11">
        <f t="shared" si="31"/>
        <v>1865671.6417910447</v>
      </c>
      <c r="Z47" s="11">
        <f t="shared" si="31"/>
        <v>1865671.6417910447</v>
      </c>
      <c r="AA47" s="11">
        <f t="shared" si="31"/>
        <v>1865671.6417910447</v>
      </c>
      <c r="AB47" s="11">
        <f t="shared" si="31"/>
        <v>1865671.6417910447</v>
      </c>
      <c r="AC47" s="11">
        <f t="shared" si="31"/>
        <v>1865671.6417910447</v>
      </c>
      <c r="AD47" s="11">
        <f t="shared" si="31"/>
        <v>1865671.6417910447</v>
      </c>
      <c r="AE47" s="11">
        <f t="shared" si="31"/>
        <v>1865671.6417910447</v>
      </c>
      <c r="AF47" s="11">
        <f t="shared" si="31"/>
        <v>1865671.6417910447</v>
      </c>
      <c r="AG47" s="11">
        <f t="shared" si="31"/>
        <v>1865671.6417910447</v>
      </c>
      <c r="AH47" s="11">
        <f t="shared" si="31"/>
        <v>1865671.6417910447</v>
      </c>
      <c r="AI47" s="11">
        <f t="shared" si="31"/>
        <v>1865671.6417910447</v>
      </c>
      <c r="AJ47" s="11">
        <f t="shared" si="31"/>
        <v>1865671.6417910447</v>
      </c>
      <c r="AK47" s="11">
        <f t="shared" si="31"/>
        <v>1865671.6417910447</v>
      </c>
      <c r="AL47" s="11">
        <f t="shared" si="31"/>
        <v>1865671.6417910447</v>
      </c>
      <c r="AM47" s="11">
        <f t="shared" si="31"/>
        <v>1865671.6417910447</v>
      </c>
      <c r="AN47" s="11">
        <f t="shared" si="31"/>
        <v>1865671.6417910447</v>
      </c>
      <c r="AO47" s="11">
        <f t="shared" si="31"/>
        <v>1865671.6417910447</v>
      </c>
      <c r="AP47" s="11">
        <f t="shared" si="31"/>
        <v>1865671.6417910447</v>
      </c>
      <c r="AQ47" s="11">
        <f t="shared" si="31"/>
        <v>1865671.6417910447</v>
      </c>
      <c r="AR47" s="11">
        <f t="shared" si="31"/>
        <v>1865671.6417910447</v>
      </c>
      <c r="AS47" s="11">
        <f t="shared" si="31"/>
        <v>1865671.6417910447</v>
      </c>
      <c r="AT47" s="11">
        <f t="shared" si="31"/>
        <v>1865671.6417910447</v>
      </c>
      <c r="AU47" s="11">
        <f t="shared" si="31"/>
        <v>1865671.6417910447</v>
      </c>
      <c r="AV47" s="11">
        <f t="shared" si="31"/>
        <v>1865671.6417910447</v>
      </c>
      <c r="AW47" s="11">
        <f t="shared" si="31"/>
        <v>1865671.6417910447</v>
      </c>
      <c r="AX47" s="11">
        <f t="shared" si="31"/>
        <v>1865671.6417910447</v>
      </c>
      <c r="AY47" s="11">
        <f t="shared" si="31"/>
        <v>1865671.6417910447</v>
      </c>
      <c r="AZ47" s="11">
        <f t="shared" si="31"/>
        <v>1865671.6417910447</v>
      </c>
      <c r="BA47" s="11">
        <f t="shared" si="31"/>
        <v>1865671.6417910447</v>
      </c>
      <c r="BB47" s="11">
        <f t="shared" si="31"/>
        <v>1865671.6417910447</v>
      </c>
      <c r="BC47" s="11">
        <f t="shared" si="31"/>
        <v>1865671.6417910447</v>
      </c>
      <c r="BD47" s="11">
        <f t="shared" si="31"/>
        <v>1865671.6417910447</v>
      </c>
      <c r="BE47" s="11">
        <f t="shared" si="31"/>
        <v>1865671.6417910447</v>
      </c>
      <c r="BF47" s="11">
        <f t="shared" si="31"/>
        <v>1865671.6417910447</v>
      </c>
      <c r="BG47" s="11">
        <f t="shared" si="31"/>
        <v>1865671.6417910447</v>
      </c>
      <c r="BH47" s="11">
        <f t="shared" si="31"/>
        <v>1865671.6417910447</v>
      </c>
      <c r="BI47" s="11">
        <f t="shared" si="31"/>
        <v>1865671.6417910447</v>
      </c>
      <c r="BJ47" s="11">
        <f t="shared" si="31"/>
        <v>1865671.6417910447</v>
      </c>
      <c r="BK47" s="11">
        <f t="shared" si="31"/>
        <v>1865671.6417910447</v>
      </c>
      <c r="BL47" s="11">
        <f t="shared" si="31"/>
        <v>1865671.6417910447</v>
      </c>
      <c r="BM47" s="11">
        <f t="shared" si="31"/>
        <v>1865671.6417910447</v>
      </c>
      <c r="BN47" s="11">
        <f t="shared" si="31"/>
        <v>1865671.6417910447</v>
      </c>
      <c r="BO47" s="11">
        <f t="shared" si="31"/>
        <v>1865671.6417910447</v>
      </c>
      <c r="BP47" s="11">
        <f t="shared" si="31"/>
        <v>1865671.6417910447</v>
      </c>
      <c r="BQ47" s="11">
        <f t="shared" si="31"/>
        <v>1865671.6417910447</v>
      </c>
      <c r="BR47" s="11">
        <f t="shared" ref="BR47:BS47" si="32">BR43*(-1)</f>
        <v>1865671.6417910447</v>
      </c>
      <c r="BS47" s="11">
        <f t="shared" si="32"/>
        <v>1865671.6417910447</v>
      </c>
      <c r="BT47" s="74">
        <f t="shared" ref="BT47:BT48" si="33">SUM(E47:BS47)</f>
        <v>125000000.00000004</v>
      </c>
      <c r="BU47" s="14"/>
    </row>
    <row r="48" spans="3:73" x14ac:dyDescent="0.35">
      <c r="C48" t="s">
        <v>33</v>
      </c>
      <c r="D48" s="11"/>
      <c r="E48" s="11">
        <f>E109</f>
        <v>-1916228.6951043215</v>
      </c>
      <c r="F48" s="11">
        <f t="shared" ref="F48:M48" si="34">F109</f>
        <v>-83835.005410810933</v>
      </c>
      <c r="G48" s="11">
        <f t="shared" si="34"/>
        <v>700621.11664751545</v>
      </c>
      <c r="H48" s="11">
        <f t="shared" si="34"/>
        <v>41917.502705410123</v>
      </c>
      <c r="I48" s="11">
        <f t="shared" si="34"/>
        <v>-29941.073361005634</v>
      </c>
      <c r="J48" s="11">
        <f t="shared" si="34"/>
        <v>299410.73361004889</v>
      </c>
      <c r="K48" s="11">
        <f t="shared" si="34"/>
        <v>778467.90738613158</v>
      </c>
      <c r="L48" s="11">
        <f t="shared" si="34"/>
        <v>239528.58688803762</v>
      </c>
      <c r="M48" s="11">
        <f t="shared" si="34"/>
        <v>-101799.64942741767</v>
      </c>
      <c r="N48" s="11">
        <f>N109</f>
        <v>372227.42402401194</v>
      </c>
      <c r="O48" s="11">
        <f t="shared" ref="O48:BS48" si="35">O109</f>
        <v>379671.97250449285</v>
      </c>
      <c r="P48" s="11">
        <f>P109</f>
        <v>387265.41195458546</v>
      </c>
      <c r="Q48" s="11">
        <f t="shared" si="35"/>
        <v>395010.72019367665</v>
      </c>
      <c r="R48" s="11">
        <f t="shared" si="35"/>
        <v>402910.9345975481</v>
      </c>
      <c r="S48" s="11">
        <f t="shared" si="35"/>
        <v>410969.15328950062</v>
      </c>
      <c r="T48" s="11">
        <f t="shared" si="35"/>
        <v>419188.53635529429</v>
      </c>
      <c r="U48" s="11">
        <f t="shared" si="35"/>
        <v>427572.307082396</v>
      </c>
      <c r="V48" s="11">
        <f t="shared" si="35"/>
        <v>436123.75322404504</v>
      </c>
      <c r="W48" s="11">
        <f t="shared" si="35"/>
        <v>444846.22828852385</v>
      </c>
      <c r="X48" s="11">
        <f t="shared" si="35"/>
        <v>453743.15285429731</v>
      </c>
      <c r="Y48" s="11">
        <f t="shared" si="35"/>
        <v>462818.01591138542</v>
      </c>
      <c r="Z48" s="11">
        <f t="shared" si="35"/>
        <v>472074.37622961029</v>
      </c>
      <c r="AA48" s="11">
        <f t="shared" si="35"/>
        <v>481515.86375420168</v>
      </c>
      <c r="AB48" s="11">
        <f t="shared" si="35"/>
        <v>491146.18102928251</v>
      </c>
      <c r="AC48" s="11">
        <f t="shared" si="35"/>
        <v>500969.10464987159</v>
      </c>
      <c r="AD48" s="11">
        <f t="shared" si="35"/>
        <v>510988.48674287647</v>
      </c>
      <c r="AE48" s="11">
        <f t="shared" si="35"/>
        <v>521208.25647772104</v>
      </c>
      <c r="AF48" s="11">
        <f t="shared" si="35"/>
        <v>531632.42160728201</v>
      </c>
      <c r="AG48" s="11">
        <f t="shared" si="35"/>
        <v>542265.07003942877</v>
      </c>
      <c r="AH48" s="11">
        <f t="shared" si="35"/>
        <v>553110.37144021317</v>
      </c>
      <c r="AI48" s="11">
        <f t="shared" si="35"/>
        <v>564172.5788690187</v>
      </c>
      <c r="AJ48" s="11">
        <f t="shared" si="35"/>
        <v>575456.03044640273</v>
      </c>
      <c r="AK48" s="11">
        <f t="shared" si="35"/>
        <v>586965.15105532855</v>
      </c>
      <c r="AL48" s="11">
        <f t="shared" si="35"/>
        <v>598704.45407643169</v>
      </c>
      <c r="AM48" s="11">
        <f t="shared" si="35"/>
        <v>610678.54315796494</v>
      </c>
      <c r="AN48" s="11">
        <f t="shared" si="35"/>
        <v>622892.11402111873</v>
      </c>
      <c r="AO48" s="11">
        <f t="shared" si="35"/>
        <v>635349.95630155504</v>
      </c>
      <c r="AP48" s="11">
        <f t="shared" si="35"/>
        <v>648056.95542756841</v>
      </c>
      <c r="AQ48" s="11">
        <f t="shared" si="35"/>
        <v>661018.09453612193</v>
      </c>
      <c r="AR48" s="11">
        <f t="shared" si="35"/>
        <v>674238.45642685145</v>
      </c>
      <c r="AS48" s="11">
        <f t="shared" si="35"/>
        <v>687723.22555539012</v>
      </c>
      <c r="AT48" s="11">
        <f t="shared" si="35"/>
        <v>701477.69006649405</v>
      </c>
      <c r="AU48" s="11">
        <f t="shared" si="35"/>
        <v>715507.24386782199</v>
      </c>
      <c r="AV48" s="11">
        <f t="shared" si="35"/>
        <v>729817.38874518126</v>
      </c>
      <c r="AW48" s="11">
        <f t="shared" si="35"/>
        <v>744413.73652008921</v>
      </c>
      <c r="AX48" s="11">
        <f t="shared" si="35"/>
        <v>759302.01125047356</v>
      </c>
      <c r="AY48" s="11">
        <f t="shared" si="35"/>
        <v>774488.0514754951</v>
      </c>
      <c r="AZ48" s="11">
        <f t="shared" si="35"/>
        <v>789977.81250500679</v>
      </c>
      <c r="BA48" s="11">
        <f t="shared" si="35"/>
        <v>805777.36875510961</v>
      </c>
      <c r="BB48" s="11">
        <f t="shared" si="35"/>
        <v>821892.91613020748</v>
      </c>
      <c r="BC48" s="11">
        <f t="shared" si="35"/>
        <v>838330.77445281297</v>
      </c>
      <c r="BD48" s="11">
        <f t="shared" si="35"/>
        <v>855097.38994186372</v>
      </c>
      <c r="BE48" s="11">
        <f t="shared" si="35"/>
        <v>872199.33774071932</v>
      </c>
      <c r="BF48" s="11">
        <f t="shared" si="35"/>
        <v>889643.32449551672</v>
      </c>
      <c r="BG48" s="11">
        <f t="shared" si="35"/>
        <v>907436.19098543376</v>
      </c>
      <c r="BH48" s="11">
        <f t="shared" si="35"/>
        <v>925584.91480513662</v>
      </c>
      <c r="BI48" s="11">
        <f t="shared" si="35"/>
        <v>944096.61310125142</v>
      </c>
      <c r="BJ48" s="11">
        <f t="shared" si="35"/>
        <v>962978.5453632623</v>
      </c>
      <c r="BK48" s="11">
        <f t="shared" si="35"/>
        <v>982238.11627053469</v>
      </c>
      <c r="BL48" s="11">
        <f t="shared" si="35"/>
        <v>1001882.8785959408</v>
      </c>
      <c r="BM48" s="11">
        <f t="shared" si="35"/>
        <v>1021920.53616786</v>
      </c>
      <c r="BN48" s="11">
        <f t="shared" si="35"/>
        <v>1042358.9468912184</v>
      </c>
      <c r="BO48" s="11">
        <f t="shared" si="35"/>
        <v>1063206.125829041</v>
      </c>
      <c r="BP48" s="11">
        <f t="shared" si="35"/>
        <v>1084470.2483456284</v>
      </c>
      <c r="BQ48" s="11">
        <f t="shared" si="35"/>
        <v>1106159.6533125415</v>
      </c>
      <c r="BR48" s="11">
        <f t="shared" si="35"/>
        <v>1128282.8463787884</v>
      </c>
      <c r="BS48" s="11">
        <f t="shared" si="35"/>
        <v>-57542425.165318139</v>
      </c>
      <c r="BT48" s="75">
        <f t="shared" si="33"/>
        <v>-18683229.777267128</v>
      </c>
    </row>
    <row r="49" spans="3:72" x14ac:dyDescent="0.35">
      <c r="C49" t="s">
        <v>5</v>
      </c>
      <c r="D49" s="11">
        <f>invest</f>
        <v>-125000000</v>
      </c>
      <c r="E49" s="11"/>
      <c r="F49" s="11"/>
      <c r="G49" s="11"/>
      <c r="H49" s="11"/>
      <c r="I49" s="11"/>
      <c r="J49" s="11"/>
      <c r="BT49" s="74">
        <f>SUM(D49:BS49)</f>
        <v>-125000000</v>
      </c>
    </row>
    <row r="50" spans="3:72" x14ac:dyDescent="0.35">
      <c r="C50" t="s">
        <v>97</v>
      </c>
      <c r="D50" s="11">
        <f>D109</f>
        <v>18683229.777267125</v>
      </c>
      <c r="E50" s="11"/>
      <c r="F50" s="11"/>
      <c r="G50" s="11"/>
      <c r="H50" s="11"/>
      <c r="I50" s="11"/>
      <c r="K50" s="19"/>
      <c r="BT50" s="75">
        <f>SUM(D50:BS50)</f>
        <v>18683229.777267125</v>
      </c>
    </row>
    <row r="51" spans="3:72" ht="15" thickBot="1" x14ac:dyDescent="0.4">
      <c r="C51" s="21" t="s">
        <v>32</v>
      </c>
      <c r="D51" s="22">
        <f>SUM(D46:D50)</f>
        <v>-106316770.22273287</v>
      </c>
      <c r="E51" s="22">
        <f t="shared" ref="E51:N51" si="36">SUM(E46:E50)</f>
        <v>7995330.0613951217</v>
      </c>
      <c r="F51" s="22">
        <f>SUM(F46:F50)</f>
        <v>9242696.1476258822</v>
      </c>
      <c r="G51" s="22">
        <f t="shared" si="36"/>
        <v>9470899.6254912075</v>
      </c>
      <c r="H51" s="22">
        <f t="shared" si="36"/>
        <v>9395796.4806103818</v>
      </c>
      <c r="I51" s="22">
        <f t="shared" si="36"/>
        <v>9305129.9072131552</v>
      </c>
      <c r="J51" s="22">
        <f t="shared" si="36"/>
        <v>9497514.738419123</v>
      </c>
      <c r="K51" s="22">
        <f t="shared" si="36"/>
        <v>10193968.773280725</v>
      </c>
      <c r="L51" s="22">
        <f t="shared" si="36"/>
        <v>10226540.072209019</v>
      </c>
      <c r="M51" s="22">
        <f t="shared" si="36"/>
        <v>9975430.3668846637</v>
      </c>
      <c r="N51" s="22">
        <f t="shared" si="36"/>
        <v>10212801.020588251</v>
      </c>
      <c r="O51" s="22">
        <f t="shared" ref="O51:BS51" si="37">SUM(O46:O50)</f>
        <v>10383116.337681154</v>
      </c>
      <c r="P51" s="22">
        <f t="shared" si="37"/>
        <v>10577365.080906499</v>
      </c>
      <c r="Q51" s="22">
        <f t="shared" si="37"/>
        <v>10773664.44771608</v>
      </c>
      <c r="R51" s="22">
        <f t="shared" si="37"/>
        <v>10992405.807773042</v>
      </c>
      <c r="S51" s="22">
        <f t="shared" si="37"/>
        <v>11210184.39238102</v>
      </c>
      <c r="T51" s="22">
        <f t="shared" si="37"/>
        <v>11412091.780641407</v>
      </c>
      <c r="U51" s="22">
        <f t="shared" si="37"/>
        <v>11618289.711705968</v>
      </c>
      <c r="V51" s="22">
        <f t="shared" si="37"/>
        <v>11828864.050894864</v>
      </c>
      <c r="W51" s="22">
        <f t="shared" si="37"/>
        <v>12043902.38328553</v>
      </c>
      <c r="X51" s="22">
        <f t="shared" si="37"/>
        <v>12263494.048218112</v>
      </c>
      <c r="Y51" s="22">
        <f t="shared" si="37"/>
        <v>12487730.174496021</v>
      </c>
      <c r="Z51" s="22">
        <f t="shared" si="37"/>
        <v>12716703.716295548</v>
      </c>
      <c r="AA51" s="22">
        <f t="shared" si="37"/>
        <v>12950509.489799287</v>
      </c>
      <c r="AB51" s="22">
        <f t="shared" si="37"/>
        <v>13189244.210567687</v>
      </c>
      <c r="AC51" s="22">
        <f t="shared" si="37"/>
        <v>13433006.531664114</v>
      </c>
      <c r="AD51" s="22">
        <f t="shared" si="37"/>
        <v>13681897.082548548</v>
      </c>
      <c r="AE51" s="22">
        <f t="shared" si="37"/>
        <v>13936018.508755475</v>
      </c>
      <c r="AF51" s="22">
        <f t="shared" si="37"/>
        <v>14195475.512372404</v>
      </c>
      <c r="AG51" s="22">
        <f t="shared" si="37"/>
        <v>14460374.893334724</v>
      </c>
      <c r="AH51" s="22">
        <f t="shared" si="37"/>
        <v>14730825.591553923</v>
      </c>
      <c r="AI51" s="22">
        <f t="shared" si="37"/>
        <v>15006938.729896162</v>
      </c>
      <c r="AJ51" s="22">
        <f t="shared" si="37"/>
        <v>15288827.658028353</v>
      </c>
      <c r="AK51" s="22">
        <f t="shared" si="37"/>
        <v>15576607.997149631</v>
      </c>
      <c r="AL51" s="22">
        <f t="shared" si="37"/>
        <v>15870397.685626294</v>
      </c>
      <c r="AM51" s="22">
        <f t="shared" si="37"/>
        <v>16170317.025548559</v>
      </c>
      <c r="AN51" s="22">
        <f t="shared" si="37"/>
        <v>16476488.730228048</v>
      </c>
      <c r="AO51" s="22">
        <f t="shared" si="37"/>
        <v>16789037.972655389</v>
      </c>
      <c r="AP51" s="22">
        <f t="shared" si="37"/>
        <v>17108092.43493725</v>
      </c>
      <c r="AQ51" s="22">
        <f t="shared" si="37"/>
        <v>17433782.358733371</v>
      </c>
      <c r="AR51" s="22">
        <f t="shared" si="37"/>
        <v>17766240.596713383</v>
      </c>
      <c r="AS51" s="22">
        <f t="shared" si="37"/>
        <v>18105602.665055171</v>
      </c>
      <c r="AT51" s="22">
        <f t="shared" si="37"/>
        <v>18452006.797005355</v>
      </c>
      <c r="AU51" s="22">
        <f t="shared" si="37"/>
        <v>18805593.997524302</v>
      </c>
      <c r="AV51" s="22">
        <f t="shared" si="37"/>
        <v>19166508.099037547</v>
      </c>
      <c r="AW51" s="22">
        <f t="shared" si="37"/>
        <v>19534895.818316553</v>
      </c>
      <c r="AX51" s="22">
        <f t="shared" si="37"/>
        <v>19910906.814512014</v>
      </c>
      <c r="AY51" s="22">
        <f t="shared" si="37"/>
        <v>20294693.74836354</v>
      </c>
      <c r="AZ51" s="22">
        <f t="shared" si="37"/>
        <v>20686412.34260945</v>
      </c>
      <c r="BA51" s="22">
        <f t="shared" si="37"/>
        <v>21086221.443622235</v>
      </c>
      <c r="BB51" s="22">
        <f t="shared" si="37"/>
        <v>21494283.08429426</v>
      </c>
      <c r="BC51" s="22">
        <f t="shared" si="37"/>
        <v>21910762.548199762</v>
      </c>
      <c r="BD51" s="22">
        <f t="shared" si="37"/>
        <v>22335828.435059614</v>
      </c>
      <c r="BE51" s="22">
        <f t="shared" si="37"/>
        <v>22769652.727535684</v>
      </c>
      <c r="BF51" s="22">
        <f t="shared" si="37"/>
        <v>23212410.859382104</v>
      </c>
      <c r="BG51" s="22">
        <f t="shared" si="37"/>
        <v>23664281.784982089</v>
      </c>
      <c r="BH51" s="22">
        <f t="shared" si="37"/>
        <v>24125448.050298244</v>
      </c>
      <c r="BI51" s="22">
        <f t="shared" si="37"/>
        <v>24596095.86526642</v>
      </c>
      <c r="BJ51" s="22">
        <f t="shared" si="37"/>
        <v>25076415.177662469</v>
      </c>
      <c r="BK51" s="22">
        <f t="shared" si="37"/>
        <v>25566599.748473115</v>
      </c>
      <c r="BL51" s="22">
        <f t="shared" si="37"/>
        <v>26066847.228801414</v>
      </c>
      <c r="BM51" s="22">
        <f t="shared" si="37"/>
        <v>26577359.23833961</v>
      </c>
      <c r="BN51" s="22">
        <f t="shared" si="37"/>
        <v>27098341.445441395</v>
      </c>
      <c r="BO51" s="22">
        <f t="shared" si="37"/>
        <v>27630003.648827091</v>
      </c>
      <c r="BP51" s="22">
        <f t="shared" si="37"/>
        <v>28172559.860956091</v>
      </c>
      <c r="BQ51" s="22">
        <f t="shared" si="37"/>
        <v>28726228.393100981</v>
      </c>
      <c r="BR51" s="22">
        <f t="shared" si="37"/>
        <v>29291231.94215918</v>
      </c>
      <c r="BS51" s="22">
        <f t="shared" si="37"/>
        <v>-28825475.989386056</v>
      </c>
      <c r="BT51" s="76">
        <f>SUM(D51:BS51)</f>
        <v>977102947.68853235</v>
      </c>
    </row>
    <row r="52" spans="3:72" ht="15" thickBot="1" x14ac:dyDescent="0.4">
      <c r="M52" s="54"/>
      <c r="N52" s="79"/>
      <c r="O52" s="54"/>
    </row>
    <row r="53" spans="3:72" ht="15" thickBot="1" x14ac:dyDescent="0.4">
      <c r="C53" t="s">
        <v>98</v>
      </c>
      <c r="D53" s="77">
        <f>NPV(D54,E51:BS51)+D51</f>
        <v>104677936.49293235</v>
      </c>
      <c r="E53" s="19"/>
      <c r="M53" s="11"/>
      <c r="N53" s="11"/>
      <c r="O53" s="11"/>
    </row>
    <row r="54" spans="3:72" x14ac:dyDescent="0.35">
      <c r="C54" t="s">
        <v>99</v>
      </c>
      <c r="D54" s="50">
        <f>rtk</f>
        <v>5.5836339999999998E-2</v>
      </c>
      <c r="L54" s="51"/>
      <c r="M54" s="11"/>
      <c r="N54" s="11"/>
      <c r="O54" s="11"/>
    </row>
    <row r="55" spans="3:72" x14ac:dyDescent="0.35">
      <c r="C55" t="s">
        <v>100</v>
      </c>
      <c r="D55" s="200">
        <f>IRR(D51:BS51)</f>
        <v>9.9973931340695099E-2</v>
      </c>
      <c r="E55" s="56"/>
      <c r="N55" s="11"/>
    </row>
    <row r="56" spans="3:72" x14ac:dyDescent="0.35">
      <c r="D56" s="14"/>
      <c r="E56" s="45"/>
      <c r="N56" s="11"/>
    </row>
    <row r="57" spans="3:72" x14ac:dyDescent="0.35">
      <c r="O57" s="13"/>
    </row>
    <row r="58" spans="3:72" ht="21" x14ac:dyDescent="0.5">
      <c r="C58" s="57" t="s">
        <v>49</v>
      </c>
      <c r="N58" s="51"/>
      <c r="O58" s="51"/>
      <c r="P58" s="51"/>
    </row>
    <row r="60" spans="3:72" x14ac:dyDescent="0.35">
      <c r="C60" s="19" t="s">
        <v>53</v>
      </c>
      <c r="D60">
        <v>0</v>
      </c>
      <c r="E60">
        <v>1</v>
      </c>
      <c r="F60">
        <v>2</v>
      </c>
      <c r="G60">
        <v>3</v>
      </c>
      <c r="H60">
        <v>4</v>
      </c>
      <c r="I60">
        <v>5</v>
      </c>
      <c r="J60">
        <v>6</v>
      </c>
      <c r="K60">
        <v>7</v>
      </c>
      <c r="L60">
        <v>8</v>
      </c>
      <c r="M60">
        <v>9</v>
      </c>
      <c r="N60">
        <v>10</v>
      </c>
      <c r="O60">
        <v>11</v>
      </c>
      <c r="P60">
        <v>12</v>
      </c>
      <c r="Q60">
        <v>13</v>
      </c>
      <c r="R60">
        <v>14</v>
      </c>
      <c r="S60">
        <v>15</v>
      </c>
      <c r="T60">
        <v>16</v>
      </c>
      <c r="U60">
        <v>17</v>
      </c>
      <c r="V60">
        <v>18</v>
      </c>
      <c r="W60">
        <v>19</v>
      </c>
      <c r="X60">
        <v>20</v>
      </c>
      <c r="Y60">
        <v>21</v>
      </c>
      <c r="Z60">
        <v>22</v>
      </c>
      <c r="AA60">
        <v>23</v>
      </c>
      <c r="AB60">
        <v>24</v>
      </c>
      <c r="AC60">
        <v>25</v>
      </c>
      <c r="AD60">
        <v>26</v>
      </c>
      <c r="AE60">
        <v>27</v>
      </c>
      <c r="AF60">
        <v>28</v>
      </c>
      <c r="AG60">
        <v>29</v>
      </c>
      <c r="AH60">
        <v>30</v>
      </c>
      <c r="AI60">
        <v>31</v>
      </c>
      <c r="AJ60">
        <v>32</v>
      </c>
      <c r="AK60">
        <v>33</v>
      </c>
      <c r="AL60">
        <v>34</v>
      </c>
      <c r="AM60">
        <v>35</v>
      </c>
      <c r="AN60">
        <v>36</v>
      </c>
      <c r="AO60">
        <v>37</v>
      </c>
      <c r="AP60">
        <v>38</v>
      </c>
      <c r="AQ60">
        <v>39</v>
      </c>
      <c r="AR60">
        <v>40</v>
      </c>
      <c r="AS60">
        <v>41</v>
      </c>
      <c r="AT60">
        <v>42</v>
      </c>
      <c r="AU60">
        <v>43</v>
      </c>
      <c r="AV60">
        <v>44</v>
      </c>
      <c r="AW60">
        <v>45</v>
      </c>
      <c r="AX60">
        <v>46</v>
      </c>
      <c r="AY60">
        <v>47</v>
      </c>
      <c r="AZ60">
        <v>48</v>
      </c>
      <c r="BA60">
        <v>49</v>
      </c>
      <c r="BB60">
        <v>50</v>
      </c>
      <c r="BC60">
        <v>51</v>
      </c>
      <c r="BD60">
        <v>52</v>
      </c>
      <c r="BE60">
        <v>53</v>
      </c>
      <c r="BF60">
        <v>54</v>
      </c>
      <c r="BG60">
        <v>55</v>
      </c>
      <c r="BH60">
        <v>56</v>
      </c>
      <c r="BI60">
        <v>57</v>
      </c>
      <c r="BJ60">
        <v>58</v>
      </c>
      <c r="BK60">
        <v>59</v>
      </c>
      <c r="BL60">
        <v>60</v>
      </c>
      <c r="BM60">
        <v>61</v>
      </c>
      <c r="BN60">
        <v>62</v>
      </c>
      <c r="BO60">
        <v>63</v>
      </c>
      <c r="BP60">
        <v>64</v>
      </c>
      <c r="BQ60">
        <v>65</v>
      </c>
      <c r="BR60">
        <v>66</v>
      </c>
      <c r="BS60">
        <v>67</v>
      </c>
    </row>
    <row r="61" spans="3:72" x14ac:dyDescent="0.35">
      <c r="C61" t="s">
        <v>62</v>
      </c>
      <c r="E61" s="12">
        <f t="shared" ref="E61:N61" si="38">E31</f>
        <v>36.192</v>
      </c>
      <c r="F61" s="12">
        <f t="shared" si="38"/>
        <v>32.479999999999997</v>
      </c>
      <c r="G61" s="12">
        <f t="shared" si="38"/>
        <v>32.317599999999999</v>
      </c>
      <c r="H61" s="12">
        <f t="shared" si="38"/>
        <v>33.674799999999998</v>
      </c>
      <c r="I61" s="12">
        <f t="shared" si="38"/>
        <v>33.756</v>
      </c>
      <c r="J61" s="12">
        <f t="shared" si="38"/>
        <v>33.698</v>
      </c>
      <c r="K61" s="12">
        <f t="shared" si="38"/>
        <v>34.277999999999999</v>
      </c>
      <c r="L61" s="12">
        <f t="shared" si="38"/>
        <v>35.786000000000001</v>
      </c>
      <c r="M61" s="12">
        <f t="shared" si="38"/>
        <v>36.25</v>
      </c>
      <c r="N61" s="12">
        <f t="shared" si="38"/>
        <v>36.052799999999998</v>
      </c>
      <c r="O61" s="12">
        <f t="shared" ref="O61:AT61" si="39">N61*(1+infl)</f>
        <v>36.773855999999995</v>
      </c>
      <c r="P61" s="12">
        <f t="shared" si="39"/>
        <v>37.509333119999994</v>
      </c>
      <c r="Q61" s="12">
        <f t="shared" si="39"/>
        <v>38.259519782399991</v>
      </c>
      <c r="R61" s="12">
        <f t="shared" si="39"/>
        <v>39.024710178047989</v>
      </c>
      <c r="S61" s="12">
        <f t="shared" si="39"/>
        <v>39.805204381608952</v>
      </c>
      <c r="T61" s="12">
        <f t="shared" si="39"/>
        <v>40.601308469241133</v>
      </c>
      <c r="U61" s="12">
        <f t="shared" si="39"/>
        <v>41.413334638625955</v>
      </c>
      <c r="V61" s="12">
        <f t="shared" si="39"/>
        <v>42.241601331398478</v>
      </c>
      <c r="W61" s="12">
        <f t="shared" si="39"/>
        <v>43.086433358026447</v>
      </c>
      <c r="X61" s="12">
        <f t="shared" si="39"/>
        <v>43.948162025186974</v>
      </c>
      <c r="Y61" s="12">
        <f t="shared" si="39"/>
        <v>44.827125265690718</v>
      </c>
      <c r="Z61" s="12">
        <f t="shared" si="39"/>
        <v>45.723667771004536</v>
      </c>
      <c r="AA61" s="12">
        <f t="shared" si="39"/>
        <v>46.638141126424628</v>
      </c>
      <c r="AB61" s="12">
        <f t="shared" si="39"/>
        <v>47.570903948953124</v>
      </c>
      <c r="AC61" s="12">
        <f t="shared" si="39"/>
        <v>48.522322027932184</v>
      </c>
      <c r="AD61" s="12">
        <f t="shared" si="39"/>
        <v>49.49276846849083</v>
      </c>
      <c r="AE61" s="12">
        <f t="shared" si="39"/>
        <v>50.48262383786065</v>
      </c>
      <c r="AF61" s="12">
        <f t="shared" si="39"/>
        <v>51.492276314617861</v>
      </c>
      <c r="AG61" s="12">
        <f t="shared" si="39"/>
        <v>52.522121840910216</v>
      </c>
      <c r="AH61" s="12">
        <f t="shared" si="39"/>
        <v>53.572564277728425</v>
      </c>
      <c r="AI61" s="12">
        <f t="shared" si="39"/>
        <v>54.644015563282991</v>
      </c>
      <c r="AJ61" s="12">
        <f t="shared" si="39"/>
        <v>55.736895874548651</v>
      </c>
      <c r="AK61" s="12">
        <f t="shared" si="39"/>
        <v>56.851633792039628</v>
      </c>
      <c r="AL61" s="12">
        <f t="shared" si="39"/>
        <v>57.988666467880421</v>
      </c>
      <c r="AM61" s="12">
        <f t="shared" si="39"/>
        <v>59.148439797238034</v>
      </c>
      <c r="AN61" s="12">
        <f t="shared" si="39"/>
        <v>60.331408593182793</v>
      </c>
      <c r="AO61" s="12">
        <f t="shared" si="39"/>
        <v>61.538036765046449</v>
      </c>
      <c r="AP61" s="12">
        <f t="shared" si="39"/>
        <v>62.768797500347382</v>
      </c>
      <c r="AQ61" s="12">
        <f t="shared" si="39"/>
        <v>64.024173450354326</v>
      </c>
      <c r="AR61" s="12">
        <f t="shared" si="39"/>
        <v>65.304656919361406</v>
      </c>
      <c r="AS61" s="12">
        <f t="shared" si="39"/>
        <v>66.610750057748632</v>
      </c>
      <c r="AT61" s="12">
        <f t="shared" si="39"/>
        <v>67.94296505890361</v>
      </c>
      <c r="AU61" s="12">
        <f t="shared" ref="AU61:BS61" si="40">AT61*(1+infl)</f>
        <v>69.301824360081682</v>
      </c>
      <c r="AV61" s="12">
        <f t="shared" si="40"/>
        <v>70.687860847283318</v>
      </c>
      <c r="AW61" s="12">
        <f t="shared" si="40"/>
        <v>72.101618064228987</v>
      </c>
      <c r="AX61" s="12">
        <f t="shared" si="40"/>
        <v>73.543650425513562</v>
      </c>
      <c r="AY61" s="12">
        <f t="shared" si="40"/>
        <v>75.014523434023829</v>
      </c>
      <c r="AZ61" s="12">
        <f t="shared" si="40"/>
        <v>76.514813902704304</v>
      </c>
      <c r="BA61" s="12">
        <f t="shared" si="40"/>
        <v>78.045110180758385</v>
      </c>
      <c r="BB61" s="12">
        <f t="shared" si="40"/>
        <v>79.606012384373557</v>
      </c>
      <c r="BC61" s="12">
        <f t="shared" si="40"/>
        <v>81.198132632061032</v>
      </c>
      <c r="BD61" s="12">
        <f t="shared" si="40"/>
        <v>82.822095284702257</v>
      </c>
      <c r="BE61" s="12">
        <f t="shared" si="40"/>
        <v>84.47853719039631</v>
      </c>
      <c r="BF61" s="12">
        <f t="shared" si="40"/>
        <v>86.168107934204244</v>
      </c>
      <c r="BG61" s="12">
        <f t="shared" si="40"/>
        <v>87.891470092888326</v>
      </c>
      <c r="BH61" s="12">
        <f t="shared" si="40"/>
        <v>89.649299494746089</v>
      </c>
      <c r="BI61" s="12">
        <f t="shared" si="40"/>
        <v>91.442285484641019</v>
      </c>
      <c r="BJ61" s="12">
        <f t="shared" si="40"/>
        <v>93.271131194333847</v>
      </c>
      <c r="BK61" s="12">
        <f t="shared" si="40"/>
        <v>95.13655381822052</v>
      </c>
      <c r="BL61" s="12">
        <f t="shared" si="40"/>
        <v>97.039284894584938</v>
      </c>
      <c r="BM61" s="12">
        <f t="shared" si="40"/>
        <v>98.980070592476636</v>
      </c>
      <c r="BN61" s="12">
        <f t="shared" si="40"/>
        <v>100.95967200432617</v>
      </c>
      <c r="BO61" s="12">
        <f t="shared" si="40"/>
        <v>102.97886544441269</v>
      </c>
      <c r="BP61" s="12">
        <f t="shared" si="40"/>
        <v>105.03844275330094</v>
      </c>
      <c r="BQ61" s="12">
        <f t="shared" si="40"/>
        <v>107.13921160836696</v>
      </c>
      <c r="BR61" s="12">
        <f t="shared" si="40"/>
        <v>109.28199584053431</v>
      </c>
      <c r="BS61" s="12">
        <f t="shared" si="40"/>
        <v>111.46763575734499</v>
      </c>
    </row>
    <row r="62" spans="3:72" x14ac:dyDescent="0.35">
      <c r="C62" t="s">
        <v>31</v>
      </c>
      <c r="D62" s="11"/>
      <c r="E62" s="11">
        <f t="shared" ref="E62:N62" si="41">E32</f>
        <v>103000</v>
      </c>
      <c r="F62" s="11">
        <f t="shared" si="41"/>
        <v>103000</v>
      </c>
      <c r="G62" s="11">
        <f t="shared" si="41"/>
        <v>103000</v>
      </c>
      <c r="H62" s="11">
        <f t="shared" si="41"/>
        <v>103000</v>
      </c>
      <c r="I62" s="11">
        <f t="shared" si="41"/>
        <v>103000</v>
      </c>
      <c r="J62" s="11">
        <f t="shared" si="41"/>
        <v>103000</v>
      </c>
      <c r="K62" s="11">
        <f t="shared" si="41"/>
        <v>103000</v>
      </c>
      <c r="L62" s="11">
        <f t="shared" si="41"/>
        <v>103000</v>
      </c>
      <c r="M62" s="11">
        <f t="shared" si="41"/>
        <v>103000</v>
      </c>
      <c r="N62" s="11">
        <f t="shared" si="41"/>
        <v>103000</v>
      </c>
      <c r="O62" s="11">
        <f t="shared" ref="O62:AT62" si="42">O32</f>
        <v>103000</v>
      </c>
      <c r="P62" s="11">
        <f t="shared" si="42"/>
        <v>103000</v>
      </c>
      <c r="Q62" s="11">
        <f t="shared" si="42"/>
        <v>103000</v>
      </c>
      <c r="R62" s="11">
        <f t="shared" si="42"/>
        <v>103000</v>
      </c>
      <c r="S62" s="11">
        <f t="shared" si="42"/>
        <v>103000</v>
      </c>
      <c r="T62" s="11">
        <f t="shared" si="42"/>
        <v>103000</v>
      </c>
      <c r="U62" s="11">
        <f t="shared" si="42"/>
        <v>103000</v>
      </c>
      <c r="V62" s="11">
        <f t="shared" si="42"/>
        <v>103000</v>
      </c>
      <c r="W62" s="11">
        <f t="shared" si="42"/>
        <v>103000</v>
      </c>
      <c r="X62" s="11">
        <f t="shared" si="42"/>
        <v>103000</v>
      </c>
      <c r="Y62" s="11">
        <f t="shared" si="42"/>
        <v>103000</v>
      </c>
      <c r="Z62" s="11">
        <f t="shared" si="42"/>
        <v>103000</v>
      </c>
      <c r="AA62" s="11">
        <f t="shared" si="42"/>
        <v>103000</v>
      </c>
      <c r="AB62" s="11">
        <f t="shared" si="42"/>
        <v>103000</v>
      </c>
      <c r="AC62" s="11">
        <f t="shared" si="42"/>
        <v>103000</v>
      </c>
      <c r="AD62" s="11">
        <f t="shared" si="42"/>
        <v>103000</v>
      </c>
      <c r="AE62" s="11">
        <f t="shared" si="42"/>
        <v>103000</v>
      </c>
      <c r="AF62" s="11">
        <f t="shared" si="42"/>
        <v>103000</v>
      </c>
      <c r="AG62" s="11">
        <f t="shared" si="42"/>
        <v>103000</v>
      </c>
      <c r="AH62" s="11">
        <f t="shared" si="42"/>
        <v>103000</v>
      </c>
      <c r="AI62" s="11">
        <f t="shared" si="42"/>
        <v>103000</v>
      </c>
      <c r="AJ62" s="11">
        <f t="shared" si="42"/>
        <v>103000</v>
      </c>
      <c r="AK62" s="11">
        <f t="shared" si="42"/>
        <v>103000</v>
      </c>
      <c r="AL62" s="11">
        <f t="shared" si="42"/>
        <v>103000</v>
      </c>
      <c r="AM62" s="11">
        <f t="shared" si="42"/>
        <v>103000</v>
      </c>
      <c r="AN62" s="11">
        <f t="shared" si="42"/>
        <v>103000</v>
      </c>
      <c r="AO62" s="11">
        <f t="shared" si="42"/>
        <v>103000</v>
      </c>
      <c r="AP62" s="11">
        <f t="shared" si="42"/>
        <v>103000</v>
      </c>
      <c r="AQ62" s="11">
        <f t="shared" si="42"/>
        <v>103000</v>
      </c>
      <c r="AR62" s="11">
        <f t="shared" si="42"/>
        <v>103000</v>
      </c>
      <c r="AS62" s="11">
        <f t="shared" si="42"/>
        <v>103000</v>
      </c>
      <c r="AT62" s="11">
        <f t="shared" si="42"/>
        <v>103000</v>
      </c>
      <c r="AU62" s="11">
        <f t="shared" ref="AU62:BS62" si="43">AU32</f>
        <v>103000</v>
      </c>
      <c r="AV62" s="11">
        <f t="shared" si="43"/>
        <v>103000</v>
      </c>
      <c r="AW62" s="11">
        <f t="shared" si="43"/>
        <v>103000</v>
      </c>
      <c r="AX62" s="11">
        <f t="shared" si="43"/>
        <v>103000</v>
      </c>
      <c r="AY62" s="11">
        <f t="shared" si="43"/>
        <v>103000</v>
      </c>
      <c r="AZ62" s="11">
        <f t="shared" si="43"/>
        <v>103000</v>
      </c>
      <c r="BA62" s="11">
        <f t="shared" si="43"/>
        <v>103000</v>
      </c>
      <c r="BB62" s="11">
        <f t="shared" si="43"/>
        <v>103000</v>
      </c>
      <c r="BC62" s="11">
        <f t="shared" si="43"/>
        <v>103000</v>
      </c>
      <c r="BD62" s="11">
        <f t="shared" si="43"/>
        <v>103000</v>
      </c>
      <c r="BE62" s="11">
        <f t="shared" si="43"/>
        <v>103000</v>
      </c>
      <c r="BF62" s="11">
        <f t="shared" si="43"/>
        <v>103000</v>
      </c>
      <c r="BG62" s="11">
        <f t="shared" si="43"/>
        <v>103000</v>
      </c>
      <c r="BH62" s="11">
        <f t="shared" si="43"/>
        <v>103000</v>
      </c>
      <c r="BI62" s="11">
        <f t="shared" si="43"/>
        <v>103000</v>
      </c>
      <c r="BJ62" s="11">
        <f t="shared" si="43"/>
        <v>103000</v>
      </c>
      <c r="BK62" s="11">
        <f t="shared" si="43"/>
        <v>103000</v>
      </c>
      <c r="BL62" s="11">
        <f t="shared" si="43"/>
        <v>103000</v>
      </c>
      <c r="BM62" s="11">
        <f t="shared" si="43"/>
        <v>103000</v>
      </c>
      <c r="BN62" s="11">
        <f t="shared" si="43"/>
        <v>103000</v>
      </c>
      <c r="BO62" s="11">
        <f t="shared" si="43"/>
        <v>103000</v>
      </c>
      <c r="BP62" s="11">
        <f t="shared" si="43"/>
        <v>103000</v>
      </c>
      <c r="BQ62" s="11">
        <f t="shared" si="43"/>
        <v>103000</v>
      </c>
      <c r="BR62" s="11">
        <f t="shared" si="43"/>
        <v>103000</v>
      </c>
      <c r="BS62" s="11">
        <f t="shared" si="43"/>
        <v>103000</v>
      </c>
    </row>
    <row r="63" spans="3:72" x14ac:dyDescent="0.35">
      <c r="C63" t="s">
        <v>63</v>
      </c>
      <c r="D63" s="11"/>
      <c r="E63" s="11">
        <f t="shared" ref="E63" si="44">E61*E62*valuta</f>
        <v>33549984</v>
      </c>
      <c r="F63" s="11">
        <f t="shared" ref="F63" si="45">F61*F62*valuta</f>
        <v>30108959.999999996</v>
      </c>
      <c r="G63" s="11">
        <f t="shared" ref="G63" si="46">G61*G62*valuta</f>
        <v>29958415.199999999</v>
      </c>
      <c r="H63" s="11">
        <f t="shared" ref="H63" si="47">H61*H62*valuta</f>
        <v>31216539.599999998</v>
      </c>
      <c r="I63" s="11">
        <f t="shared" ref="I63" si="48">I61*I62*valuta</f>
        <v>31291812</v>
      </c>
      <c r="J63" s="11">
        <f t="shared" ref="J63" si="49">J61*J62*valuta</f>
        <v>31238046</v>
      </c>
      <c r="K63" s="11">
        <f t="shared" ref="K63" si="50">K61*K62*valuta</f>
        <v>31775706</v>
      </c>
      <c r="L63" s="11">
        <f t="shared" ref="L63" si="51">L61*L62*valuta</f>
        <v>33173622</v>
      </c>
      <c r="M63" s="11">
        <f t="shared" ref="M63" si="52">M61*M62*valuta</f>
        <v>33603750</v>
      </c>
      <c r="N63" s="11">
        <f t="shared" ref="N63:BS63" si="53">N61*N62*valuta</f>
        <v>33420945.599999998</v>
      </c>
      <c r="O63" s="11">
        <f t="shared" si="53"/>
        <v>34089364.511999995</v>
      </c>
      <c r="P63" s="11">
        <f t="shared" si="53"/>
        <v>34771151.802239992</v>
      </c>
      <c r="Q63" s="11">
        <f t="shared" si="53"/>
        <v>35466574.838284791</v>
      </c>
      <c r="R63" s="11">
        <f t="shared" si="53"/>
        <v>36175906.335050486</v>
      </c>
      <c r="S63" s="11">
        <f t="shared" si="53"/>
        <v>36899424.461751498</v>
      </c>
      <c r="T63" s="11">
        <f t="shared" si="53"/>
        <v>37637412.950986527</v>
      </c>
      <c r="U63" s="11">
        <f t="shared" si="53"/>
        <v>38390161.210006259</v>
      </c>
      <c r="V63" s="11">
        <f t="shared" si="53"/>
        <v>39157964.434206389</v>
      </c>
      <c r="W63" s="11">
        <f t="shared" si="53"/>
        <v>39941123.722890519</v>
      </c>
      <c r="X63" s="11">
        <f t="shared" si="53"/>
        <v>40739946.197348326</v>
      </c>
      <c r="Y63" s="11">
        <f t="shared" si="53"/>
        <v>41554745.121295296</v>
      </c>
      <c r="Z63" s="11">
        <f t="shared" si="53"/>
        <v>42385840.023721203</v>
      </c>
      <c r="AA63" s="11">
        <f t="shared" si="53"/>
        <v>43233556.824195631</v>
      </c>
      <c r="AB63" s="11">
        <f t="shared" si="53"/>
        <v>44098227.960679546</v>
      </c>
      <c r="AC63" s="11">
        <f t="shared" si="53"/>
        <v>44980192.519893132</v>
      </c>
      <c r="AD63" s="11">
        <f t="shared" si="53"/>
        <v>45879796.370290995</v>
      </c>
      <c r="AE63" s="11">
        <f t="shared" si="53"/>
        <v>46797392.297696829</v>
      </c>
      <c r="AF63" s="11">
        <f t="shared" si="53"/>
        <v>47733340.143650755</v>
      </c>
      <c r="AG63" s="11">
        <f t="shared" si="53"/>
        <v>48688006.946523771</v>
      </c>
      <c r="AH63" s="11">
        <f t="shared" si="53"/>
        <v>49661767.085454248</v>
      </c>
      <c r="AI63" s="11">
        <f t="shared" si="53"/>
        <v>50655002.427163333</v>
      </c>
      <c r="AJ63" s="11">
        <f t="shared" si="53"/>
        <v>51668102.4757066</v>
      </c>
      <c r="AK63" s="11">
        <f t="shared" si="53"/>
        <v>52701464.525220737</v>
      </c>
      <c r="AL63" s="11">
        <f t="shared" si="53"/>
        <v>53755493.815725155</v>
      </c>
      <c r="AM63" s="11">
        <f t="shared" si="53"/>
        <v>54830603.692039654</v>
      </c>
      <c r="AN63" s="11">
        <f t="shared" si="53"/>
        <v>55927215.765880451</v>
      </c>
      <c r="AO63" s="11">
        <f t="shared" si="53"/>
        <v>57045760.081198052</v>
      </c>
      <c r="AP63" s="11">
        <f t="shared" si="53"/>
        <v>58186675.282822028</v>
      </c>
      <c r="AQ63" s="11">
        <f t="shared" si="53"/>
        <v>59350408.788478456</v>
      </c>
      <c r="AR63" s="11">
        <f t="shared" si="53"/>
        <v>60537416.964248024</v>
      </c>
      <c r="AS63" s="11">
        <f t="shared" si="53"/>
        <v>61748165.303532988</v>
      </c>
      <c r="AT63" s="11">
        <f t="shared" si="53"/>
        <v>62983128.609603643</v>
      </c>
      <c r="AU63" s="11">
        <f t="shared" si="53"/>
        <v>64242791.181795716</v>
      </c>
      <c r="AV63" s="11">
        <f t="shared" si="53"/>
        <v>65527647.005431637</v>
      </c>
      <c r="AW63" s="11">
        <f t="shared" si="53"/>
        <v>66838199.945540272</v>
      </c>
      <c r="AX63" s="11">
        <f t="shared" si="53"/>
        <v>68174963.944451079</v>
      </c>
      <c r="AY63" s="11">
        <f t="shared" si="53"/>
        <v>69538463.223340079</v>
      </c>
      <c r="AZ63" s="11">
        <f t="shared" si="53"/>
        <v>70929232.487806886</v>
      </c>
      <c r="BA63" s="11">
        <f t="shared" si="53"/>
        <v>72347817.13756302</v>
      </c>
      <c r="BB63" s="11">
        <f t="shared" si="53"/>
        <v>73794773.480314285</v>
      </c>
      <c r="BC63" s="11">
        <f t="shared" si="53"/>
        <v>75270668.94992058</v>
      </c>
      <c r="BD63" s="11">
        <f t="shared" si="53"/>
        <v>76776082.328918993</v>
      </c>
      <c r="BE63" s="11">
        <f t="shared" si="53"/>
        <v>78311603.975497365</v>
      </c>
      <c r="BF63" s="11">
        <f t="shared" si="53"/>
        <v>79877836.055007339</v>
      </c>
      <c r="BG63" s="11">
        <f t="shared" si="53"/>
        <v>81475392.776107475</v>
      </c>
      <c r="BH63" s="11">
        <f t="shared" si="53"/>
        <v>83104900.631629631</v>
      </c>
      <c r="BI63" s="11">
        <f t="shared" si="53"/>
        <v>84766998.644262224</v>
      </c>
      <c r="BJ63" s="11">
        <f t="shared" si="53"/>
        <v>86462338.617147475</v>
      </c>
      <c r="BK63" s="11">
        <f t="shared" si="53"/>
        <v>88191585.389490426</v>
      </c>
      <c r="BL63" s="11">
        <f t="shared" si="53"/>
        <v>89955417.097280234</v>
      </c>
      <c r="BM63" s="11">
        <f t="shared" si="53"/>
        <v>91754525.439225838</v>
      </c>
      <c r="BN63" s="11">
        <f t="shared" si="53"/>
        <v>93589615.948010355</v>
      </c>
      <c r="BO63" s="11">
        <f t="shared" si="53"/>
        <v>95461408.26697056</v>
      </c>
      <c r="BP63" s="11">
        <f t="shared" si="53"/>
        <v>97370636.43230997</v>
      </c>
      <c r="BQ63" s="11">
        <f t="shared" si="53"/>
        <v>99318049.160956174</v>
      </c>
      <c r="BR63" s="11">
        <f t="shared" si="53"/>
        <v>101304410.14417531</v>
      </c>
      <c r="BS63" s="11">
        <f t="shared" si="53"/>
        <v>103330498.34705882</v>
      </c>
    </row>
    <row r="64" spans="3:72" x14ac:dyDescent="0.35">
      <c r="C64" s="23" t="s">
        <v>64</v>
      </c>
      <c r="D64" s="17"/>
      <c r="E64" s="17"/>
      <c r="F64" s="17"/>
      <c r="G64" s="17"/>
      <c r="H64" s="17"/>
      <c r="I64" s="17"/>
      <c r="J64" s="23"/>
      <c r="K64" s="23"/>
      <c r="L64" s="23"/>
    </row>
    <row r="65" spans="3:129" x14ac:dyDescent="0.35">
      <c r="C65" s="3" t="s">
        <v>76</v>
      </c>
      <c r="D65" s="14"/>
      <c r="E65" s="14">
        <f>SUM(E35:E38)</f>
        <v>-9541896</v>
      </c>
      <c r="F65" s="14">
        <f t="shared" ref="F65:AJ65" si="54">SUM(F35:F38)</f>
        <v>-9732733.9199999999</v>
      </c>
      <c r="G65" s="14">
        <f t="shared" si="54"/>
        <v>-9927388.5984000005</v>
      </c>
      <c r="H65" s="14">
        <f t="shared" si="54"/>
        <v>-10125936.370368</v>
      </c>
      <c r="I65" s="14">
        <f t="shared" si="54"/>
        <v>-10328455.097775361</v>
      </c>
      <c r="J65" s="14">
        <f t="shared" si="54"/>
        <v>-10535024.199730868</v>
      </c>
      <c r="K65" s="14">
        <f t="shared" si="54"/>
        <v>-10745724.683725482</v>
      </c>
      <c r="L65" s="14">
        <f t="shared" si="54"/>
        <v>-10960639.177399993</v>
      </c>
      <c r="M65" s="14">
        <f t="shared" si="54"/>
        <v>-11179851.960947994</v>
      </c>
      <c r="N65" s="14">
        <f t="shared" si="54"/>
        <v>-11403449.000166953</v>
      </c>
      <c r="O65" s="14">
        <f t="shared" si="54"/>
        <v>-11631517.980170291</v>
      </c>
      <c r="P65" s="14">
        <f t="shared" si="54"/>
        <v>-11864148.339773696</v>
      </c>
      <c r="Q65" s="14">
        <f t="shared" si="54"/>
        <v>-12101431.306569174</v>
      </c>
      <c r="R65" s="14">
        <f t="shared" si="54"/>
        <v>-12343459.932700556</v>
      </c>
      <c r="S65" s="14">
        <f t="shared" si="54"/>
        <v>-12590329.131354563</v>
      </c>
      <c r="T65" s="14">
        <f t="shared" si="54"/>
        <v>-12842135.713981658</v>
      </c>
      <c r="U65" s="14">
        <f t="shared" si="54"/>
        <v>-13098978.428261291</v>
      </c>
      <c r="V65" s="14">
        <f t="shared" si="54"/>
        <v>-13360957.996826515</v>
      </c>
      <c r="W65" s="14">
        <f t="shared" si="54"/>
        <v>-13628177.156763047</v>
      </c>
      <c r="X65" s="14">
        <f t="shared" si="54"/>
        <v>-13900740.69989831</v>
      </c>
      <c r="Y65" s="14">
        <f t="shared" si="54"/>
        <v>-14178755.513896275</v>
      </c>
      <c r="Z65" s="14">
        <f t="shared" si="54"/>
        <v>-14462330.6241742</v>
      </c>
      <c r="AA65" s="14">
        <f t="shared" si="54"/>
        <v>-14751577.236657683</v>
      </c>
      <c r="AB65" s="14">
        <f t="shared" si="54"/>
        <v>-15046608.781390835</v>
      </c>
      <c r="AC65" s="14">
        <f t="shared" si="54"/>
        <v>-15347540.957018651</v>
      </c>
      <c r="AD65" s="14">
        <f t="shared" si="54"/>
        <v>-15654491.776159026</v>
      </c>
      <c r="AE65" s="14">
        <f t="shared" si="54"/>
        <v>-15967581.611682205</v>
      </c>
      <c r="AF65" s="14">
        <f t="shared" si="54"/>
        <v>-16286933.243915852</v>
      </c>
      <c r="AG65" s="14">
        <f t="shared" si="54"/>
        <v>-16612671.908794167</v>
      </c>
      <c r="AH65" s="14">
        <f t="shared" si="54"/>
        <v>-16944925.346970052</v>
      </c>
      <c r="AI65" s="14">
        <f t="shared" si="54"/>
        <v>-17283823.853909448</v>
      </c>
      <c r="AJ65" s="14">
        <f t="shared" si="54"/>
        <v>-17629500.33098764</v>
      </c>
      <c r="AK65" s="14">
        <f t="shared" ref="AK65:BS65" si="55">SUM(AK35:AK38)</f>
        <v>-17982090.337607395</v>
      </c>
      <c r="AL65" s="14">
        <f t="shared" si="55"/>
        <v>-18341732.14435954</v>
      </c>
      <c r="AM65" s="14">
        <f t="shared" si="55"/>
        <v>-18708566.78724673</v>
      </c>
      <c r="AN65" s="14">
        <f t="shared" si="55"/>
        <v>-19082738.122991666</v>
      </c>
      <c r="AO65" s="14">
        <f t="shared" si="55"/>
        <v>-19464392.885451503</v>
      </c>
      <c r="AP65" s="14">
        <f t="shared" si="55"/>
        <v>-19853680.743160535</v>
      </c>
      <c r="AQ65" s="14">
        <f t="shared" si="55"/>
        <v>-20250754.358023737</v>
      </c>
      <c r="AR65" s="14">
        <f t="shared" si="55"/>
        <v>-20655769.445184216</v>
      </c>
      <c r="AS65" s="14">
        <f t="shared" si="55"/>
        <v>-21068884.834087901</v>
      </c>
      <c r="AT65" s="14">
        <f t="shared" si="55"/>
        <v>-21490262.530769657</v>
      </c>
      <c r="AU65" s="14">
        <f t="shared" si="55"/>
        <v>-21920067.781385045</v>
      </c>
      <c r="AV65" s="14">
        <f t="shared" si="55"/>
        <v>-22358469.137012754</v>
      </c>
      <c r="AW65" s="14">
        <f t="shared" si="55"/>
        <v>-22805638.519753009</v>
      </c>
      <c r="AX65" s="14">
        <f t="shared" si="55"/>
        <v>-23261751.290148068</v>
      </c>
      <c r="AY65" s="14">
        <f t="shared" si="55"/>
        <v>-23726986.31595102</v>
      </c>
      <c r="AZ65" s="14">
        <f t="shared" si="55"/>
        <v>-24201526.042270046</v>
      </c>
      <c r="BA65" s="14">
        <f t="shared" si="55"/>
        <v>-24685556.563115448</v>
      </c>
      <c r="BB65" s="14">
        <f t="shared" si="55"/>
        <v>-25179267.694377758</v>
      </c>
      <c r="BC65" s="14">
        <f t="shared" si="55"/>
        <v>-25682853.048265308</v>
      </c>
      <c r="BD65" s="14">
        <f t="shared" si="55"/>
        <v>-26196510.109230619</v>
      </c>
      <c r="BE65" s="14">
        <f t="shared" si="55"/>
        <v>-26720440.311415225</v>
      </c>
      <c r="BF65" s="14">
        <f t="shared" si="55"/>
        <v>-27254849.117643539</v>
      </c>
      <c r="BG65" s="14">
        <f t="shared" si="55"/>
        <v>-27799946.099996399</v>
      </c>
      <c r="BH65" s="14">
        <f t="shared" si="55"/>
        <v>-28355945.02199633</v>
      </c>
      <c r="BI65" s="14">
        <f t="shared" si="55"/>
        <v>-28923063.922436256</v>
      </c>
      <c r="BJ65" s="14">
        <f t="shared" si="55"/>
        <v>-29501525.200884987</v>
      </c>
      <c r="BK65" s="14">
        <f t="shared" si="55"/>
        <v>-30091555.704902679</v>
      </c>
      <c r="BL65" s="14">
        <f t="shared" si="55"/>
        <v>-30693386.81900074</v>
      </c>
      <c r="BM65" s="14">
        <f t="shared" si="55"/>
        <v>-31307254.55538075</v>
      </c>
      <c r="BN65" s="14">
        <f t="shared" si="55"/>
        <v>-31933399.646488365</v>
      </c>
      <c r="BO65" s="14">
        <f t="shared" si="55"/>
        <v>-32572067.639418125</v>
      </c>
      <c r="BP65" s="14">
        <f t="shared" si="55"/>
        <v>-33223508.992206499</v>
      </c>
      <c r="BQ65" s="14">
        <f t="shared" si="55"/>
        <v>-33887979.172050625</v>
      </c>
      <c r="BR65" s="14">
        <f t="shared" si="55"/>
        <v>-34565738.755491637</v>
      </c>
      <c r="BS65" s="14">
        <f t="shared" si="55"/>
        <v>-35257053.530601472</v>
      </c>
    </row>
    <row r="66" spans="3:129" x14ac:dyDescent="0.35">
      <c r="C66" s="3" t="s">
        <v>55</v>
      </c>
      <c r="D66" s="14"/>
      <c r="E66" s="14">
        <f t="shared" ref="E66:AJ66" si="56">E138*-1</f>
        <v>-868470.14925373136</v>
      </c>
      <c r="F66" s="14">
        <f t="shared" si="56"/>
        <v>-855410.44776119408</v>
      </c>
      <c r="G66" s="14">
        <f t="shared" si="56"/>
        <v>-842350.74626865669</v>
      </c>
      <c r="H66" s="14">
        <f t="shared" si="56"/>
        <v>-829291.04477611941</v>
      </c>
      <c r="I66" s="14">
        <f t="shared" si="56"/>
        <v>-816231.34328358213</v>
      </c>
      <c r="J66" s="14">
        <f t="shared" si="56"/>
        <v>-803171.64179104473</v>
      </c>
      <c r="K66" s="14">
        <f t="shared" si="56"/>
        <v>-790111.94029850746</v>
      </c>
      <c r="L66" s="14">
        <f t="shared" si="56"/>
        <v>-777052.23880597006</v>
      </c>
      <c r="M66" s="14">
        <f t="shared" si="56"/>
        <v>-763992.53731343278</v>
      </c>
      <c r="N66" s="14">
        <f t="shared" si="56"/>
        <v>-750932.8358208955</v>
      </c>
      <c r="O66" s="14">
        <f t="shared" si="56"/>
        <v>-737873.13432835811</v>
      </c>
      <c r="P66" s="14">
        <f t="shared" si="56"/>
        <v>-724813.43283582083</v>
      </c>
      <c r="Q66" s="14">
        <f t="shared" si="56"/>
        <v>-711753.73134328355</v>
      </c>
      <c r="R66" s="14">
        <f t="shared" si="56"/>
        <v>-698694.02985074616</v>
      </c>
      <c r="S66" s="14">
        <f t="shared" si="56"/>
        <v>-685634.32835820888</v>
      </c>
      <c r="T66" s="14">
        <f t="shared" si="56"/>
        <v>-672574.6268656716</v>
      </c>
      <c r="U66" s="14">
        <f t="shared" si="56"/>
        <v>-659514.9253731342</v>
      </c>
      <c r="V66" s="14">
        <f t="shared" si="56"/>
        <v>-646455.22388059692</v>
      </c>
      <c r="W66" s="14">
        <f t="shared" si="56"/>
        <v>-633395.52238805965</v>
      </c>
      <c r="X66" s="14">
        <f t="shared" si="56"/>
        <v>-620335.82089552225</v>
      </c>
      <c r="Y66" s="14">
        <f t="shared" si="56"/>
        <v>-607276.11940298497</v>
      </c>
      <c r="Z66" s="14">
        <f t="shared" si="56"/>
        <v>-594216.41791044769</v>
      </c>
      <c r="AA66" s="14">
        <f t="shared" si="56"/>
        <v>-581156.7164179103</v>
      </c>
      <c r="AB66" s="14">
        <f t="shared" si="56"/>
        <v>-568097.01492537302</v>
      </c>
      <c r="AC66" s="14">
        <f t="shared" si="56"/>
        <v>-555037.31343283562</v>
      </c>
      <c r="AD66" s="14">
        <f t="shared" si="56"/>
        <v>-541977.61194029835</v>
      </c>
      <c r="AE66" s="14">
        <f t="shared" si="56"/>
        <v>-528917.91044776107</v>
      </c>
      <c r="AF66" s="14">
        <f t="shared" si="56"/>
        <v>-515858.20895522373</v>
      </c>
      <c r="AG66" s="14">
        <f t="shared" si="56"/>
        <v>-502798.50746268639</v>
      </c>
      <c r="AH66" s="14">
        <f t="shared" si="56"/>
        <v>-489738.80597014906</v>
      </c>
      <c r="AI66" s="14">
        <f t="shared" si="56"/>
        <v>-476679.10447761178</v>
      </c>
      <c r="AJ66" s="14">
        <f t="shared" si="56"/>
        <v>-463619.40298507444</v>
      </c>
      <c r="AK66" s="14">
        <f t="shared" ref="AK66:BS66" si="57">AK138*-1</f>
        <v>-450559.7014925371</v>
      </c>
      <c r="AL66" s="14">
        <f t="shared" si="57"/>
        <v>-437499.99999999983</v>
      </c>
      <c r="AM66" s="14">
        <f t="shared" si="57"/>
        <v>-424440.29850746249</v>
      </c>
      <c r="AN66" s="14">
        <f t="shared" si="57"/>
        <v>-411380.59701492515</v>
      </c>
      <c r="AO66" s="14">
        <f t="shared" si="57"/>
        <v>-398320.89552238781</v>
      </c>
      <c r="AP66" s="14">
        <f t="shared" si="57"/>
        <v>-385261.19402985054</v>
      </c>
      <c r="AQ66" s="14">
        <f t="shared" si="57"/>
        <v>-372201.4925373132</v>
      </c>
      <c r="AR66" s="14">
        <f t="shared" si="57"/>
        <v>-359141.79104477586</v>
      </c>
      <c r="AS66" s="14">
        <f t="shared" si="57"/>
        <v>-346082.08955223858</v>
      </c>
      <c r="AT66" s="14">
        <f t="shared" si="57"/>
        <v>-333022.38805970125</v>
      </c>
      <c r="AU66" s="14">
        <f t="shared" si="57"/>
        <v>-319962.68656716391</v>
      </c>
      <c r="AV66" s="14">
        <f t="shared" si="57"/>
        <v>-306902.98507462657</v>
      </c>
      <c r="AW66" s="14">
        <f t="shared" si="57"/>
        <v>-293843.28358208929</v>
      </c>
      <c r="AX66" s="14">
        <f t="shared" si="57"/>
        <v>-280783.58208955196</v>
      </c>
      <c r="AY66" s="14">
        <f t="shared" si="57"/>
        <v>-267723.88059701462</v>
      </c>
      <c r="AZ66" s="14">
        <f t="shared" si="57"/>
        <v>-254664.17910447731</v>
      </c>
      <c r="BA66" s="14">
        <f t="shared" si="57"/>
        <v>-241604.47761194</v>
      </c>
      <c r="BB66" s="14">
        <f t="shared" si="57"/>
        <v>-228544.77611940267</v>
      </c>
      <c r="BC66" s="14">
        <f t="shared" si="57"/>
        <v>-215485.07462686536</v>
      </c>
      <c r="BD66" s="14">
        <f t="shared" si="57"/>
        <v>-202425.37313432805</v>
      </c>
      <c r="BE66" s="14">
        <f t="shared" si="57"/>
        <v>-189365.67164179072</v>
      </c>
      <c r="BF66" s="14">
        <f t="shared" si="57"/>
        <v>-176305.97014925341</v>
      </c>
      <c r="BG66" s="14">
        <f t="shared" si="57"/>
        <v>-163246.26865671607</v>
      </c>
      <c r="BH66" s="14">
        <f t="shared" si="57"/>
        <v>-150186.56716417876</v>
      </c>
      <c r="BI66" s="14">
        <f t="shared" si="57"/>
        <v>-137126.86567164146</v>
      </c>
      <c r="BJ66" s="14">
        <f t="shared" si="57"/>
        <v>-124067.16417910412</v>
      </c>
      <c r="BK66" s="14">
        <f t="shared" si="57"/>
        <v>-111007.4626865668</v>
      </c>
      <c r="BL66" s="14">
        <f t="shared" si="57"/>
        <v>-97947.761194029488</v>
      </c>
      <c r="BM66" s="14">
        <f t="shared" si="57"/>
        <v>-84888.059701492166</v>
      </c>
      <c r="BN66" s="14">
        <f t="shared" si="57"/>
        <v>-71828.358208954844</v>
      </c>
      <c r="BO66" s="14">
        <f t="shared" si="57"/>
        <v>-58768.656716417521</v>
      </c>
      <c r="BP66" s="14">
        <f t="shared" si="57"/>
        <v>-45708.955223880213</v>
      </c>
      <c r="BQ66" s="14">
        <f t="shared" si="57"/>
        <v>-32649.253731342895</v>
      </c>
      <c r="BR66" s="14">
        <f t="shared" si="57"/>
        <v>-19589.552238805587</v>
      </c>
      <c r="BS66" s="14">
        <f t="shared" si="57"/>
        <v>-6529.8507462682719</v>
      </c>
    </row>
    <row r="67" spans="3:129" x14ac:dyDescent="0.35">
      <c r="C67" s="3" t="s">
        <v>66</v>
      </c>
      <c r="D67" s="14"/>
      <c r="E67" s="14">
        <f>E74</f>
        <v>-1865671.6417910447</v>
      </c>
      <c r="F67" s="14">
        <f t="shared" ref="F67:M67" si="58">F74</f>
        <v>-1865671.6417910447</v>
      </c>
      <c r="G67" s="14">
        <f t="shared" si="58"/>
        <v>-1865671.6417910447</v>
      </c>
      <c r="H67" s="14">
        <f t="shared" si="58"/>
        <v>-1865671.6417910447</v>
      </c>
      <c r="I67" s="14">
        <f t="shared" si="58"/>
        <v>-1865671.6417910447</v>
      </c>
      <c r="J67" s="14">
        <f t="shared" si="58"/>
        <v>-1865671.6417910447</v>
      </c>
      <c r="K67" s="14">
        <f t="shared" si="58"/>
        <v>-1865671.6417910447</v>
      </c>
      <c r="L67" s="14">
        <f t="shared" si="58"/>
        <v>-1865671.6417910447</v>
      </c>
      <c r="M67" s="14">
        <f t="shared" si="58"/>
        <v>-1865671.6417910447</v>
      </c>
      <c r="N67" s="14">
        <f>N74</f>
        <v>-1865671.6417910447</v>
      </c>
      <c r="O67" s="14">
        <f t="shared" ref="O67:BS67" si="59">O74</f>
        <v>-1865671.6417910447</v>
      </c>
      <c r="P67" s="14">
        <f t="shared" si="59"/>
        <v>-1865671.6417910447</v>
      </c>
      <c r="Q67" s="14">
        <f t="shared" si="59"/>
        <v>-1865671.6417910447</v>
      </c>
      <c r="R67" s="14">
        <f t="shared" si="59"/>
        <v>-1865671.6417910447</v>
      </c>
      <c r="S67" s="14">
        <f t="shared" si="59"/>
        <v>-1865671.6417910447</v>
      </c>
      <c r="T67" s="14">
        <f t="shared" si="59"/>
        <v>-1865671.6417910447</v>
      </c>
      <c r="U67" s="14">
        <f t="shared" si="59"/>
        <v>-1865671.6417910447</v>
      </c>
      <c r="V67" s="14">
        <f t="shared" si="59"/>
        <v>-1865671.6417910447</v>
      </c>
      <c r="W67" s="14">
        <f t="shared" si="59"/>
        <v>-1865671.6417910447</v>
      </c>
      <c r="X67" s="14">
        <f t="shared" si="59"/>
        <v>-1865671.6417910447</v>
      </c>
      <c r="Y67" s="14">
        <f t="shared" si="59"/>
        <v>-1865671.6417910447</v>
      </c>
      <c r="Z67" s="14">
        <f t="shared" si="59"/>
        <v>-1865671.6417910447</v>
      </c>
      <c r="AA67" s="14">
        <f t="shared" si="59"/>
        <v>-1865671.6417910447</v>
      </c>
      <c r="AB67" s="14">
        <f t="shared" si="59"/>
        <v>-1865671.6417910447</v>
      </c>
      <c r="AC67" s="14">
        <f t="shared" si="59"/>
        <v>-1865671.6417910447</v>
      </c>
      <c r="AD67" s="14">
        <f t="shared" si="59"/>
        <v>-1865671.6417910447</v>
      </c>
      <c r="AE67" s="14">
        <f t="shared" si="59"/>
        <v>-1865671.6417910447</v>
      </c>
      <c r="AF67" s="14">
        <f t="shared" si="59"/>
        <v>-1865671.6417910447</v>
      </c>
      <c r="AG67" s="14">
        <f t="shared" si="59"/>
        <v>-1865671.6417910447</v>
      </c>
      <c r="AH67" s="14">
        <f t="shared" si="59"/>
        <v>-1865671.6417910447</v>
      </c>
      <c r="AI67" s="14">
        <f t="shared" si="59"/>
        <v>-1865671.6417910447</v>
      </c>
      <c r="AJ67" s="14">
        <f t="shared" si="59"/>
        <v>-1865671.6417910447</v>
      </c>
      <c r="AK67" s="14">
        <f t="shared" si="59"/>
        <v>-1865671.6417910447</v>
      </c>
      <c r="AL67" s="14">
        <f t="shared" si="59"/>
        <v>-1865671.6417910447</v>
      </c>
      <c r="AM67" s="14">
        <f t="shared" si="59"/>
        <v>-1865671.6417910447</v>
      </c>
      <c r="AN67" s="14">
        <f t="shared" si="59"/>
        <v>-1865671.6417910447</v>
      </c>
      <c r="AO67" s="14">
        <f t="shared" si="59"/>
        <v>-1865671.6417910447</v>
      </c>
      <c r="AP67" s="14">
        <f t="shared" si="59"/>
        <v>-1865671.6417910447</v>
      </c>
      <c r="AQ67" s="14">
        <f t="shared" si="59"/>
        <v>-1865671.6417910447</v>
      </c>
      <c r="AR67" s="14">
        <f t="shared" si="59"/>
        <v>-1865671.6417910447</v>
      </c>
      <c r="AS67" s="14">
        <f t="shared" si="59"/>
        <v>-1865671.6417910447</v>
      </c>
      <c r="AT67" s="14">
        <f t="shared" si="59"/>
        <v>-1865671.6417910447</v>
      </c>
      <c r="AU67" s="14">
        <f t="shared" si="59"/>
        <v>-1865671.6417910447</v>
      </c>
      <c r="AV67" s="14">
        <f t="shared" si="59"/>
        <v>-1865671.6417910447</v>
      </c>
      <c r="AW67" s="14">
        <f t="shared" si="59"/>
        <v>-1865671.6417910447</v>
      </c>
      <c r="AX67" s="14">
        <f t="shared" si="59"/>
        <v>-1865671.6417910447</v>
      </c>
      <c r="AY67" s="14">
        <f t="shared" si="59"/>
        <v>-1865671.6417910447</v>
      </c>
      <c r="AZ67" s="14">
        <f t="shared" si="59"/>
        <v>-1865671.6417910447</v>
      </c>
      <c r="BA67" s="14">
        <f t="shared" si="59"/>
        <v>-1865671.6417910447</v>
      </c>
      <c r="BB67" s="14">
        <f t="shared" si="59"/>
        <v>-1865671.6417910447</v>
      </c>
      <c r="BC67" s="14">
        <f t="shared" si="59"/>
        <v>-1865671.6417910447</v>
      </c>
      <c r="BD67" s="14">
        <f t="shared" si="59"/>
        <v>-1865671.6417910447</v>
      </c>
      <c r="BE67" s="14">
        <f t="shared" si="59"/>
        <v>-1865671.6417910447</v>
      </c>
      <c r="BF67" s="14">
        <f t="shared" si="59"/>
        <v>-1865671.6417910447</v>
      </c>
      <c r="BG67" s="14">
        <f t="shared" si="59"/>
        <v>-1865671.6417910447</v>
      </c>
      <c r="BH67" s="14">
        <f t="shared" si="59"/>
        <v>-1865671.6417910447</v>
      </c>
      <c r="BI67" s="14">
        <f t="shared" si="59"/>
        <v>-1865671.6417910447</v>
      </c>
      <c r="BJ67" s="14">
        <f t="shared" si="59"/>
        <v>-1865671.6417910447</v>
      </c>
      <c r="BK67" s="14">
        <f t="shared" si="59"/>
        <v>-1865671.6417910447</v>
      </c>
      <c r="BL67" s="14">
        <f t="shared" si="59"/>
        <v>-1865671.6417910447</v>
      </c>
      <c r="BM67" s="14">
        <f t="shared" si="59"/>
        <v>-1865671.6417910447</v>
      </c>
      <c r="BN67" s="14">
        <f t="shared" si="59"/>
        <v>-1865671.6417910447</v>
      </c>
      <c r="BO67" s="14">
        <f t="shared" si="59"/>
        <v>-1865671.6417910447</v>
      </c>
      <c r="BP67" s="14">
        <f t="shared" si="59"/>
        <v>-1865671.6417910447</v>
      </c>
      <c r="BQ67" s="14">
        <f t="shared" si="59"/>
        <v>-1865671.6417910447</v>
      </c>
      <c r="BR67" s="14">
        <f t="shared" si="59"/>
        <v>-1865671.6417910447</v>
      </c>
      <c r="BS67" s="14">
        <f t="shared" si="59"/>
        <v>-1865671.6417910447</v>
      </c>
    </row>
    <row r="68" spans="3:129" x14ac:dyDescent="0.35">
      <c r="C68" s="3" t="s">
        <v>67</v>
      </c>
      <c r="D68" s="14"/>
      <c r="E68" s="14">
        <f>E77*(-1)</f>
        <v>-2729477.6119402982</v>
      </c>
      <c r="F68" s="14">
        <f t="shared" ref="F68:M68" si="60">F77*(-1)</f>
        <v>-2688432.8358208952</v>
      </c>
      <c r="G68" s="14">
        <f t="shared" si="60"/>
        <v>-2647388.0597014925</v>
      </c>
      <c r="H68" s="14">
        <f t="shared" si="60"/>
        <v>-2606343.2835820895</v>
      </c>
      <c r="I68" s="14">
        <f t="shared" si="60"/>
        <v>-2565298.5074626864</v>
      </c>
      <c r="J68" s="14">
        <f t="shared" si="60"/>
        <v>-2524253.7313432833</v>
      </c>
      <c r="K68" s="14">
        <f t="shared" si="60"/>
        <v>-2483208.9552238802</v>
      </c>
      <c r="L68" s="14">
        <f t="shared" si="60"/>
        <v>-2442164.1791044772</v>
      </c>
      <c r="M68" s="14">
        <f t="shared" si="60"/>
        <v>-2401119.4029850741</v>
      </c>
      <c r="N68" s="14">
        <f>N77*(-1)</f>
        <v>-2360074.6268656715</v>
      </c>
      <c r="O68" s="14">
        <f t="shared" ref="O68:BS68" si="61">O77*(-1)</f>
        <v>-2319029.8507462684</v>
      </c>
      <c r="P68" s="14">
        <f t="shared" si="61"/>
        <v>-2277985.0746268653</v>
      </c>
      <c r="Q68" s="14">
        <f t="shared" si="61"/>
        <v>-2236940.2985074623</v>
      </c>
      <c r="R68" s="14">
        <f t="shared" si="61"/>
        <v>-2195895.5223880592</v>
      </c>
      <c r="S68" s="14">
        <f t="shared" si="61"/>
        <v>-2154850.7462686561</v>
      </c>
      <c r="T68" s="14">
        <f t="shared" si="61"/>
        <v>-2113805.9701492535</v>
      </c>
      <c r="U68" s="14">
        <f t="shared" si="61"/>
        <v>-2072761.1940298502</v>
      </c>
      <c r="V68" s="14">
        <f t="shared" si="61"/>
        <v>-2031716.4179104473</v>
      </c>
      <c r="W68" s="14">
        <f t="shared" si="61"/>
        <v>-1990671.6417910443</v>
      </c>
      <c r="X68" s="14">
        <f t="shared" si="61"/>
        <v>-1949626.8656716412</v>
      </c>
      <c r="Y68" s="14">
        <f t="shared" si="61"/>
        <v>-1908582.0895522384</v>
      </c>
      <c r="Z68" s="14">
        <f t="shared" si="61"/>
        <v>-1867537.3134328353</v>
      </c>
      <c r="AA68" s="14">
        <f t="shared" si="61"/>
        <v>-1826492.5373134322</v>
      </c>
      <c r="AB68" s="14">
        <f t="shared" si="61"/>
        <v>-1785447.7611940294</v>
      </c>
      <c r="AC68" s="14">
        <f t="shared" si="61"/>
        <v>-1744402.9850746263</v>
      </c>
      <c r="AD68" s="14">
        <f t="shared" si="61"/>
        <v>-1703358.2089552232</v>
      </c>
      <c r="AE68" s="14">
        <f t="shared" si="61"/>
        <v>-1662313.4328358204</v>
      </c>
      <c r="AF68" s="14">
        <f t="shared" si="61"/>
        <v>-1621268.6567164173</v>
      </c>
      <c r="AG68" s="14">
        <f t="shared" si="61"/>
        <v>-1580223.8805970142</v>
      </c>
      <c r="AH68" s="14">
        <f t="shared" si="61"/>
        <v>-1539179.1044776114</v>
      </c>
      <c r="AI68" s="14">
        <f t="shared" si="61"/>
        <v>-1498134.3283582083</v>
      </c>
      <c r="AJ68" s="14">
        <f t="shared" si="61"/>
        <v>-1457089.5522388052</v>
      </c>
      <c r="AK68" s="14">
        <f t="shared" si="61"/>
        <v>-1416044.7761194024</v>
      </c>
      <c r="AL68" s="14">
        <f t="shared" si="61"/>
        <v>-1374999.9999999993</v>
      </c>
      <c r="AM68" s="14">
        <f t="shared" si="61"/>
        <v>-1333955.2238805962</v>
      </c>
      <c r="AN68" s="14">
        <f t="shared" si="61"/>
        <v>-1292910.4477611932</v>
      </c>
      <c r="AO68" s="14">
        <f t="shared" si="61"/>
        <v>-1251865.6716417903</v>
      </c>
      <c r="AP68" s="14">
        <f t="shared" si="61"/>
        <v>-1210820.8955223872</v>
      </c>
      <c r="AQ68" s="14">
        <f t="shared" si="61"/>
        <v>-1169776.1194029842</v>
      </c>
      <c r="AR68" s="14">
        <f t="shared" si="61"/>
        <v>-1128731.3432835813</v>
      </c>
      <c r="AS68" s="14">
        <f t="shared" si="61"/>
        <v>-1087686.5671641782</v>
      </c>
      <c r="AT68" s="14">
        <f t="shared" si="61"/>
        <v>-1046641.7910447753</v>
      </c>
      <c r="AU68" s="14">
        <f t="shared" si="61"/>
        <v>-1005597.0149253722</v>
      </c>
      <c r="AV68" s="14">
        <f t="shared" si="61"/>
        <v>-964552.23880596925</v>
      </c>
      <c r="AW68" s="14">
        <f t="shared" si="61"/>
        <v>-923507.46268656629</v>
      </c>
      <c r="AX68" s="14">
        <f t="shared" si="61"/>
        <v>-882462.68656716321</v>
      </c>
      <c r="AY68" s="14">
        <f t="shared" si="61"/>
        <v>-841417.91044776025</v>
      </c>
      <c r="AZ68" s="14">
        <f t="shared" si="61"/>
        <v>-800373.13432835718</v>
      </c>
      <c r="BA68" s="14">
        <f t="shared" si="61"/>
        <v>-759328.35820895422</v>
      </c>
      <c r="BB68" s="14">
        <f t="shared" si="61"/>
        <v>-718283.58208955126</v>
      </c>
      <c r="BC68" s="14">
        <f t="shared" si="61"/>
        <v>-677238.80597014818</v>
      </c>
      <c r="BD68" s="14">
        <f t="shared" si="61"/>
        <v>-636194.02985074522</v>
      </c>
      <c r="BE68" s="14">
        <f t="shared" si="61"/>
        <v>-595149.25373134227</v>
      </c>
      <c r="BF68" s="14">
        <f t="shared" si="61"/>
        <v>-554104.47761193919</v>
      </c>
      <c r="BG68" s="14">
        <f t="shared" si="61"/>
        <v>-513059.70149253623</v>
      </c>
      <c r="BH68" s="14">
        <f t="shared" si="61"/>
        <v>-472014.92537313321</v>
      </c>
      <c r="BI68" s="14">
        <f t="shared" si="61"/>
        <v>-430970.1492537302</v>
      </c>
      <c r="BJ68" s="14">
        <f t="shared" si="61"/>
        <v>-389925.37313432724</v>
      </c>
      <c r="BK68" s="14">
        <f t="shared" si="61"/>
        <v>-348880.59701492422</v>
      </c>
      <c r="BL68" s="14">
        <f t="shared" si="61"/>
        <v>-307835.8208955212</v>
      </c>
      <c r="BM68" s="14">
        <f t="shared" si="61"/>
        <v>-266791.04477611819</v>
      </c>
      <c r="BN68" s="14">
        <f t="shared" si="61"/>
        <v>-225746.2686567152</v>
      </c>
      <c r="BO68" s="14">
        <f t="shared" si="61"/>
        <v>-184701.49253731221</v>
      </c>
      <c r="BP68" s="14">
        <f t="shared" si="61"/>
        <v>-143656.71641790925</v>
      </c>
      <c r="BQ68" s="14">
        <f t="shared" si="61"/>
        <v>-102611.94029850623</v>
      </c>
      <c r="BR68" s="14">
        <f t="shared" si="61"/>
        <v>-61567.164179103267</v>
      </c>
      <c r="BS68" s="14">
        <f t="shared" si="61"/>
        <v>-20522.388059700283</v>
      </c>
    </row>
    <row r="69" spans="3:129" x14ac:dyDescent="0.35">
      <c r="C69" s="32" t="s">
        <v>78</v>
      </c>
      <c r="D69" s="35"/>
      <c r="E69" s="35">
        <f>SUM(E63:E68)</f>
        <v>18544468.597014926</v>
      </c>
      <c r="F69" s="35">
        <f>SUM(F63:F68)</f>
        <v>14966711.154626865</v>
      </c>
      <c r="G69" s="35">
        <f t="shared" ref="G69:M69" si="62">SUM(G63:G68)</f>
        <v>14675616.153838804</v>
      </c>
      <c r="H69" s="35">
        <f t="shared" si="62"/>
        <v>15789297.259482743</v>
      </c>
      <c r="I69" s="35">
        <f t="shared" si="62"/>
        <v>15716155.409687323</v>
      </c>
      <c r="J69" s="35">
        <f>SUM(J63:J68)</f>
        <v>15509924.785343759</v>
      </c>
      <c r="K69" s="35">
        <f t="shared" si="62"/>
        <v>15890988.778961081</v>
      </c>
      <c r="L69" s="35">
        <f t="shared" si="62"/>
        <v>17128094.762898516</v>
      </c>
      <c r="M69" s="35">
        <f t="shared" si="62"/>
        <v>17393114.456962455</v>
      </c>
      <c r="N69" s="35">
        <f>SUM(N63:N68)</f>
        <v>17040817.495355435</v>
      </c>
      <c r="O69" s="35">
        <f>SUM(O63:O68)</f>
        <v>17535271.90496403</v>
      </c>
      <c r="P69" s="35">
        <f t="shared" ref="P69:BS69" si="63">SUM(P63:P68)</f>
        <v>18038533.313212562</v>
      </c>
      <c r="Q69" s="35">
        <f t="shared" si="63"/>
        <v>18550777.860073823</v>
      </c>
      <c r="R69" s="35">
        <f t="shared" si="63"/>
        <v>19072185.208320078</v>
      </c>
      <c r="S69" s="35">
        <f t="shared" si="63"/>
        <v>19602938.613979023</v>
      </c>
      <c r="T69" s="35">
        <f t="shared" si="63"/>
        <v>20143224.9981989</v>
      </c>
      <c r="U69" s="35">
        <f t="shared" si="63"/>
        <v>20693235.02055094</v>
      </c>
      <c r="V69" s="35">
        <f t="shared" si="63"/>
        <v>21253163.153797783</v>
      </c>
      <c r="W69" s="35">
        <f t="shared" si="63"/>
        <v>21823207.760157321</v>
      </c>
      <c r="X69" s="35">
        <f t="shared" si="63"/>
        <v>22403571.169091806</v>
      </c>
      <c r="Y69" s="35">
        <f t="shared" si="63"/>
        <v>22994459.75665275</v>
      </c>
      <c r="Z69" s="35">
        <f t="shared" si="63"/>
        <v>23596084.026412673</v>
      </c>
      <c r="AA69" s="35">
        <f t="shared" si="63"/>
        <v>24208658.692015562</v>
      </c>
      <c r="AB69" s="35">
        <f t="shared" si="63"/>
        <v>24832402.761378266</v>
      </c>
      <c r="AC69" s="35">
        <f t="shared" si="63"/>
        <v>25467539.622575976</v>
      </c>
      <c r="AD69" s="35">
        <f t="shared" si="63"/>
        <v>26114297.1314454</v>
      </c>
      <c r="AE69" s="35">
        <f t="shared" si="63"/>
        <v>26772907.700939994</v>
      </c>
      <c r="AF69" s="35">
        <f t="shared" si="63"/>
        <v>27443608.392272215</v>
      </c>
      <c r="AG69" s="35">
        <f t="shared" si="63"/>
        <v>28126641.007878859</v>
      </c>
      <c r="AH69" s="35">
        <f t="shared" si="63"/>
        <v>28822252.186245393</v>
      </c>
      <c r="AI69" s="35">
        <f t="shared" si="63"/>
        <v>29530693.498627022</v>
      </c>
      <c r="AJ69" s="35">
        <f t="shared" si="63"/>
        <v>30252221.547704034</v>
      </c>
      <c r="AK69" s="35">
        <f t="shared" si="63"/>
        <v>30987098.068210348</v>
      </c>
      <c r="AL69" s="35">
        <f t="shared" si="63"/>
        <v>31735590.029574573</v>
      </c>
      <c r="AM69" s="35">
        <f t="shared" si="63"/>
        <v>32497969.740613818</v>
      </c>
      <c r="AN69" s="35">
        <f t="shared" si="63"/>
        <v>33274514.956321619</v>
      </c>
      <c r="AO69" s="35">
        <f t="shared" si="63"/>
        <v>34065508.986791328</v>
      </c>
      <c r="AP69" s="35">
        <f t="shared" si="63"/>
        <v>34871240.808318213</v>
      </c>
      <c r="AQ69" s="35">
        <f t="shared" si="63"/>
        <v>35692005.176723376</v>
      </c>
      <c r="AR69" s="35">
        <f t="shared" si="63"/>
        <v>36528102.742944404</v>
      </c>
      <c r="AS69" s="35">
        <f t="shared" si="63"/>
        <v>37379840.170937628</v>
      </c>
      <c r="AT69" s="35">
        <f t="shared" si="63"/>
        <v>38247530.257938467</v>
      </c>
      <c r="AU69" s="35">
        <f t="shared" si="63"/>
        <v>39131492.057127081</v>
      </c>
      <c r="AV69" s="35">
        <f t="shared" si="63"/>
        <v>40032051.002747245</v>
      </c>
      <c r="AW69" s="35">
        <f t="shared" si="63"/>
        <v>40949539.037727557</v>
      </c>
      <c r="AX69" s="35">
        <f t="shared" si="63"/>
        <v>41884294.743855253</v>
      </c>
      <c r="AY69" s="35">
        <f t="shared" si="63"/>
        <v>42836663.474553235</v>
      </c>
      <c r="AZ69" s="35">
        <f t="shared" si="63"/>
        <v>43806997.490312956</v>
      </c>
      <c r="BA69" s="35">
        <f t="shared" si="63"/>
        <v>44795656.096835636</v>
      </c>
      <c r="BB69" s="35">
        <f t="shared" si="63"/>
        <v>45803005.785936527</v>
      </c>
      <c r="BC69" s="35">
        <f t="shared" si="63"/>
        <v>46829420.379267216</v>
      </c>
      <c r="BD69" s="35">
        <f t="shared" si="63"/>
        <v>47875281.174912252</v>
      </c>
      <c r="BE69" s="35">
        <f t="shared" si="63"/>
        <v>48940977.096917965</v>
      </c>
      <c r="BF69" s="35">
        <f t="shared" si="63"/>
        <v>50026904.847811565</v>
      </c>
      <c r="BG69" s="35">
        <f t="shared" si="63"/>
        <v>51133469.064170778</v>
      </c>
      <c r="BH69" s="35">
        <f t="shared" si="63"/>
        <v>52261082.475304946</v>
      </c>
      <c r="BI69" s="35">
        <f t="shared" si="63"/>
        <v>53410166.065109551</v>
      </c>
      <c r="BJ69" s="35">
        <f t="shared" si="63"/>
        <v>54581149.237158015</v>
      </c>
      <c r="BK69" s="35">
        <f t="shared" si="63"/>
        <v>55774469.983095206</v>
      </c>
      <c r="BL69" s="35">
        <f t="shared" si="63"/>
        <v>56990575.054398902</v>
      </c>
      <c r="BM69" s="35">
        <f t="shared" si="63"/>
        <v>58229920.137576431</v>
      </c>
      <c r="BN69" s="35">
        <f t="shared" si="63"/>
        <v>59492970.032865271</v>
      </c>
      <c r="BO69" s="35">
        <f t="shared" si="63"/>
        <v>60780198.836507656</v>
      </c>
      <c r="BP69" s="35">
        <f t="shared" si="63"/>
        <v>62092090.126670636</v>
      </c>
      <c r="BQ69" s="35">
        <f t="shared" si="63"/>
        <v>63429137.153084658</v>
      </c>
      <c r="BR69" s="35">
        <f t="shared" si="63"/>
        <v>64791843.030474715</v>
      </c>
      <c r="BS69" s="35">
        <f t="shared" si="63"/>
        <v>66180720.935860328</v>
      </c>
    </row>
    <row r="70" spans="3:129" ht="15" thickBot="1" x14ac:dyDescent="0.4">
      <c r="C70" s="33" t="s">
        <v>79</v>
      </c>
      <c r="D70" s="36"/>
      <c r="E70" s="36">
        <f>E69*grunnrente</f>
        <v>6620375.2891343292</v>
      </c>
      <c r="F70" s="36">
        <f>F69*grunnrente</f>
        <v>5343115.8822017917</v>
      </c>
      <c r="G70" s="36">
        <f t="shared" ref="G70:M70" si="64">G69*grunnrente</f>
        <v>5239194.9669204541</v>
      </c>
      <c r="H70" s="36">
        <f t="shared" si="64"/>
        <v>5636779.1216353402</v>
      </c>
      <c r="I70" s="36">
        <f t="shared" si="64"/>
        <v>5610667.4812583756</v>
      </c>
      <c r="J70" s="36">
        <f t="shared" si="64"/>
        <v>5537043.1483677225</v>
      </c>
      <c r="K70" s="36">
        <f t="shared" si="64"/>
        <v>5673082.994089107</v>
      </c>
      <c r="L70" s="36">
        <f t="shared" si="64"/>
        <v>6114729.8303547706</v>
      </c>
      <c r="M70" s="36">
        <f t="shared" si="64"/>
        <v>6209341.8611355973</v>
      </c>
      <c r="N70" s="36">
        <f t="shared" ref="N70:AS70" si="65">N69*grunnrente</f>
        <v>6083571.8458418911</v>
      </c>
      <c r="O70" s="36">
        <f t="shared" si="65"/>
        <v>6260092.0700721592</v>
      </c>
      <c r="P70" s="36">
        <f t="shared" si="65"/>
        <v>6439756.3928168854</v>
      </c>
      <c r="Q70" s="36">
        <f t="shared" si="65"/>
        <v>6622627.6960463561</v>
      </c>
      <c r="R70" s="36">
        <f t="shared" si="65"/>
        <v>6808770.1193702687</v>
      </c>
      <c r="S70" s="36">
        <f t="shared" si="65"/>
        <v>6998249.0851905122</v>
      </c>
      <c r="T70" s="36">
        <f t="shared" si="65"/>
        <v>7191131.3243570086</v>
      </c>
      <c r="U70" s="36">
        <f t="shared" si="65"/>
        <v>7387484.9023366868</v>
      </c>
      <c r="V70" s="36">
        <f t="shared" si="65"/>
        <v>7587379.2459058091</v>
      </c>
      <c r="W70" s="36">
        <f t="shared" si="65"/>
        <v>7790885.1703761639</v>
      </c>
      <c r="X70" s="36">
        <f t="shared" si="65"/>
        <v>7998074.9073657757</v>
      </c>
      <c r="Y70" s="36">
        <f t="shared" si="65"/>
        <v>8209022.1331250323</v>
      </c>
      <c r="Z70" s="36">
        <f t="shared" si="65"/>
        <v>8423801.9974293262</v>
      </c>
      <c r="AA70" s="36">
        <f t="shared" si="65"/>
        <v>8642491.1530495565</v>
      </c>
      <c r="AB70" s="36">
        <f t="shared" si="65"/>
        <v>8865167.7858120427</v>
      </c>
      <c r="AC70" s="36">
        <f t="shared" si="65"/>
        <v>9091911.6452596243</v>
      </c>
      <c r="AD70" s="36">
        <f t="shared" si="65"/>
        <v>9322804.0759260096</v>
      </c>
      <c r="AE70" s="36">
        <f t="shared" si="65"/>
        <v>9557928.0492355786</v>
      </c>
      <c r="AF70" s="36">
        <f t="shared" si="65"/>
        <v>9797368.1960411817</v>
      </c>
      <c r="AG70" s="36">
        <f t="shared" si="65"/>
        <v>10041210.839812754</v>
      </c>
      <c r="AH70" s="36">
        <f t="shared" si="65"/>
        <v>10289544.030489607</v>
      </c>
      <c r="AI70" s="36">
        <f t="shared" si="65"/>
        <v>10542457.579009848</v>
      </c>
      <c r="AJ70" s="36">
        <f t="shared" si="65"/>
        <v>10800043.092530342</v>
      </c>
      <c r="AK70" s="36">
        <f t="shared" si="65"/>
        <v>11062394.010351095</v>
      </c>
      <c r="AL70" s="36">
        <f t="shared" si="65"/>
        <v>11329605.640558124</v>
      </c>
      <c r="AM70" s="36">
        <f t="shared" si="65"/>
        <v>11601775.197399134</v>
      </c>
      <c r="AN70" s="36">
        <f t="shared" si="65"/>
        <v>11879001.83940682</v>
      </c>
      <c r="AO70" s="36">
        <f t="shared" si="65"/>
        <v>12161386.708284505</v>
      </c>
      <c r="AP70" s="36">
        <f t="shared" si="65"/>
        <v>12449032.968569603</v>
      </c>
      <c r="AQ70" s="36">
        <f t="shared" si="65"/>
        <v>12742045.848090246</v>
      </c>
      <c r="AR70" s="36">
        <f t="shared" si="65"/>
        <v>13040532.679231154</v>
      </c>
      <c r="AS70" s="36">
        <f t="shared" si="65"/>
        <v>13344602.941024734</v>
      </c>
      <c r="AT70" s="36">
        <f t="shared" ref="AT70:BS70" si="66">AT69*grunnrente</f>
        <v>13654368.302084034</v>
      </c>
      <c r="AU70" s="36">
        <f t="shared" si="66"/>
        <v>13969942.664394369</v>
      </c>
      <c r="AV70" s="36">
        <f t="shared" si="66"/>
        <v>14291442.207980769</v>
      </c>
      <c r="AW70" s="36">
        <f t="shared" si="66"/>
        <v>14618985.436468739</v>
      </c>
      <c r="AX70" s="36">
        <f t="shared" si="66"/>
        <v>14952693.223556327</v>
      </c>
      <c r="AY70" s="36">
        <f t="shared" si="66"/>
        <v>15292688.860415507</v>
      </c>
      <c r="AZ70" s="36">
        <f t="shared" si="66"/>
        <v>15639098.104041727</v>
      </c>
      <c r="BA70" s="36">
        <f t="shared" si="66"/>
        <v>15992049.226570323</v>
      </c>
      <c r="BB70" s="36">
        <f t="shared" si="66"/>
        <v>16351673.065579342</v>
      </c>
      <c r="BC70" s="36">
        <f t="shared" si="66"/>
        <v>16718103.075398399</v>
      </c>
      <c r="BD70" s="36">
        <f t="shared" si="66"/>
        <v>17091475.379443675</v>
      </c>
      <c r="BE70" s="36">
        <f t="shared" si="66"/>
        <v>17471928.823599715</v>
      </c>
      <c r="BF70" s="36">
        <f t="shared" si="66"/>
        <v>17859605.030668732</v>
      </c>
      <c r="BG70" s="36">
        <f t="shared" si="66"/>
        <v>18254648.455908969</v>
      </c>
      <c r="BH70" s="36">
        <f t="shared" si="66"/>
        <v>18657206.443683866</v>
      </c>
      <c r="BI70" s="36">
        <f t="shared" si="66"/>
        <v>19067429.285244111</v>
      </c>
      <c r="BJ70" s="36">
        <f t="shared" si="66"/>
        <v>19485470.277665414</v>
      </c>
      <c r="BK70" s="36">
        <f t="shared" si="66"/>
        <v>19911485.783964992</v>
      </c>
      <c r="BL70" s="36">
        <f t="shared" si="66"/>
        <v>20345635.29442041</v>
      </c>
      <c r="BM70" s="36">
        <f t="shared" si="66"/>
        <v>20788081.489114787</v>
      </c>
      <c r="BN70" s="36">
        <f t="shared" si="66"/>
        <v>21238990.301732905</v>
      </c>
      <c r="BO70" s="36">
        <f t="shared" si="66"/>
        <v>21698530.984633237</v>
      </c>
      <c r="BP70" s="36">
        <f t="shared" si="66"/>
        <v>22166876.175221421</v>
      </c>
      <c r="BQ70" s="36">
        <f t="shared" si="66"/>
        <v>22644201.963651225</v>
      </c>
      <c r="BR70" s="36">
        <f t="shared" si="66"/>
        <v>23130687.961879477</v>
      </c>
      <c r="BS70" s="36">
        <f t="shared" si="66"/>
        <v>23626517.374102138</v>
      </c>
    </row>
    <row r="71" spans="3:129" ht="15" thickTop="1" x14ac:dyDescent="0.35">
      <c r="J71" s="2"/>
      <c r="K71" s="2"/>
      <c r="L71" s="2"/>
      <c r="M71" s="2"/>
    </row>
    <row r="72" spans="3:129" x14ac:dyDescent="0.35">
      <c r="C72" s="26" t="s">
        <v>66</v>
      </c>
      <c r="D72" s="3">
        <v>0</v>
      </c>
      <c r="E72" s="3">
        <v>1</v>
      </c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  <c r="M72" s="3">
        <v>9</v>
      </c>
      <c r="N72" s="3">
        <v>10</v>
      </c>
      <c r="O72" s="3">
        <v>11</v>
      </c>
      <c r="P72" s="3">
        <v>12</v>
      </c>
      <c r="Q72" s="3">
        <v>13</v>
      </c>
      <c r="R72" s="3">
        <v>14</v>
      </c>
      <c r="S72" s="3">
        <v>15</v>
      </c>
      <c r="T72" s="3">
        <v>16</v>
      </c>
      <c r="U72" s="3">
        <v>17</v>
      </c>
      <c r="V72" s="3">
        <v>18</v>
      </c>
      <c r="W72" s="3">
        <v>19</v>
      </c>
      <c r="X72" s="3">
        <v>20</v>
      </c>
      <c r="Y72" s="3">
        <v>21</v>
      </c>
      <c r="Z72" s="3">
        <v>22</v>
      </c>
      <c r="AA72" s="3">
        <v>23</v>
      </c>
      <c r="AB72" s="3">
        <v>24</v>
      </c>
      <c r="AC72" s="3">
        <v>25</v>
      </c>
      <c r="AD72" s="3">
        <v>26</v>
      </c>
      <c r="AE72" s="3">
        <v>27</v>
      </c>
      <c r="AF72" s="3">
        <v>28</v>
      </c>
      <c r="AG72" s="3">
        <v>29</v>
      </c>
      <c r="AH72" s="3">
        <v>30</v>
      </c>
      <c r="AI72" s="3">
        <v>31</v>
      </c>
      <c r="AJ72" s="3">
        <v>32</v>
      </c>
      <c r="AK72" s="3">
        <v>33</v>
      </c>
      <c r="AL72" s="3">
        <v>34</v>
      </c>
      <c r="AM72" s="3">
        <v>35</v>
      </c>
      <c r="AN72" s="3">
        <v>36</v>
      </c>
      <c r="AO72" s="3">
        <v>37</v>
      </c>
      <c r="AP72" s="3">
        <v>38</v>
      </c>
      <c r="AQ72" s="3">
        <v>39</v>
      </c>
      <c r="AR72" s="3">
        <v>40</v>
      </c>
      <c r="AS72" s="3">
        <v>41</v>
      </c>
      <c r="AT72" s="3">
        <v>42</v>
      </c>
      <c r="AU72" s="3">
        <v>43</v>
      </c>
      <c r="AV72" s="3">
        <v>44</v>
      </c>
      <c r="AW72" s="3">
        <v>45</v>
      </c>
      <c r="AX72" s="3">
        <v>46</v>
      </c>
      <c r="AY72" s="3">
        <v>47</v>
      </c>
      <c r="AZ72" s="3">
        <v>48</v>
      </c>
      <c r="BA72" s="3">
        <v>49</v>
      </c>
      <c r="BB72" s="3">
        <v>50</v>
      </c>
      <c r="BC72" s="3">
        <v>51</v>
      </c>
      <c r="BD72" s="3">
        <v>52</v>
      </c>
      <c r="BE72" s="3">
        <v>53</v>
      </c>
      <c r="BF72" s="3">
        <v>54</v>
      </c>
      <c r="BG72" s="3">
        <v>55</v>
      </c>
      <c r="BH72" s="3">
        <v>56</v>
      </c>
      <c r="BI72" s="3">
        <v>57</v>
      </c>
      <c r="BJ72" s="3">
        <v>58</v>
      </c>
      <c r="BK72" s="3">
        <v>59</v>
      </c>
      <c r="BL72" s="3">
        <v>60</v>
      </c>
      <c r="BM72" s="3">
        <v>61</v>
      </c>
      <c r="BN72" s="3">
        <v>62</v>
      </c>
      <c r="BO72" s="3">
        <v>63</v>
      </c>
      <c r="BP72" s="3">
        <v>64</v>
      </c>
      <c r="BQ72" s="3">
        <v>65</v>
      </c>
      <c r="BR72" s="3">
        <v>66</v>
      </c>
      <c r="BS72" s="3">
        <v>67</v>
      </c>
      <c r="BT72" s="3">
        <v>68</v>
      </c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</row>
    <row r="73" spans="3:129" x14ac:dyDescent="0.35">
      <c r="C73" s="24" t="s">
        <v>68</v>
      </c>
      <c r="D73" s="11"/>
      <c r="E73" s="27">
        <f>invest*-1</f>
        <v>125000000</v>
      </c>
      <c r="F73" s="27">
        <f>E75</f>
        <v>123134328.35820895</v>
      </c>
      <c r="G73" s="27">
        <f t="shared" ref="G73:O73" si="67">F75</f>
        <v>121268656.71641791</v>
      </c>
      <c r="H73" s="27">
        <f t="shared" si="67"/>
        <v>119402985.07462686</v>
      </c>
      <c r="I73" s="27">
        <f t="shared" si="67"/>
        <v>117537313.43283582</v>
      </c>
      <c r="J73" s="27">
        <f t="shared" si="67"/>
        <v>115671641.79104477</v>
      </c>
      <c r="K73" s="27">
        <f t="shared" si="67"/>
        <v>113805970.14925373</v>
      </c>
      <c r="L73" s="27">
        <f t="shared" si="67"/>
        <v>111940298.50746268</v>
      </c>
      <c r="M73" s="27">
        <f>L75</f>
        <v>110074626.86567163</v>
      </c>
      <c r="N73" s="27">
        <f t="shared" si="67"/>
        <v>108208955.22388059</v>
      </c>
      <c r="O73" s="27">
        <f t="shared" si="67"/>
        <v>106343283.58208954</v>
      </c>
      <c r="P73" s="27">
        <f t="shared" ref="P73" si="68">O75</f>
        <v>104477611.9402985</v>
      </c>
      <c r="Q73" s="27">
        <f t="shared" ref="Q73" si="69">P75</f>
        <v>102611940.29850745</v>
      </c>
      <c r="R73" s="27">
        <f t="shared" ref="R73" si="70">Q75</f>
        <v>100746268.65671641</v>
      </c>
      <c r="S73" s="27">
        <f t="shared" ref="S73" si="71">R75</f>
        <v>98880597.014925361</v>
      </c>
      <c r="T73" s="27">
        <f t="shared" ref="T73" si="72">S75</f>
        <v>97014925.373134315</v>
      </c>
      <c r="U73" s="27">
        <f t="shared" ref="U73" si="73">T75</f>
        <v>95149253.731343269</v>
      </c>
      <c r="V73" s="27">
        <f t="shared" ref="V73" si="74">U75</f>
        <v>93283582.089552224</v>
      </c>
      <c r="W73" s="27">
        <f t="shared" ref="W73" si="75">V75</f>
        <v>91417910.447761178</v>
      </c>
      <c r="X73" s="27">
        <f t="shared" ref="X73" si="76">W75</f>
        <v>89552238.805970132</v>
      </c>
      <c r="Y73" s="27">
        <f t="shared" ref="Y73" si="77">X75</f>
        <v>87686567.164179087</v>
      </c>
      <c r="Z73" s="27">
        <f t="shared" ref="Z73" si="78">Y75</f>
        <v>85820895.522388041</v>
      </c>
      <c r="AA73" s="27">
        <f t="shared" ref="AA73" si="79">Z75</f>
        <v>83955223.880596995</v>
      </c>
      <c r="AB73" s="27">
        <f t="shared" ref="AB73" si="80">AA75</f>
        <v>82089552.23880595</v>
      </c>
      <c r="AC73" s="27">
        <f t="shared" ref="AC73" si="81">AB75</f>
        <v>80223880.597014904</v>
      </c>
      <c r="AD73" s="27">
        <f t="shared" ref="AD73" si="82">AC75</f>
        <v>78358208.955223858</v>
      </c>
      <c r="AE73" s="27">
        <f t="shared" ref="AE73" si="83">AD75</f>
        <v>76492537.313432813</v>
      </c>
      <c r="AF73" s="27">
        <f t="shared" ref="AF73" si="84">AE75</f>
        <v>74626865.671641767</v>
      </c>
      <c r="AG73" s="27">
        <f t="shared" ref="AG73" si="85">AF75</f>
        <v>72761194.029850721</v>
      </c>
      <c r="AH73" s="27">
        <f t="shared" ref="AH73" si="86">AG75</f>
        <v>70895522.388059676</v>
      </c>
      <c r="AI73" s="27">
        <f t="shared" ref="AI73" si="87">AH75</f>
        <v>69029850.74626863</v>
      </c>
      <c r="AJ73" s="27">
        <f t="shared" ref="AJ73" si="88">AI75</f>
        <v>67164179.104477584</v>
      </c>
      <c r="AK73" s="27">
        <f t="shared" ref="AK73" si="89">AJ75</f>
        <v>65298507.462686539</v>
      </c>
      <c r="AL73" s="27">
        <f t="shared" ref="AL73" si="90">AK75</f>
        <v>63432835.820895493</v>
      </c>
      <c r="AM73" s="27">
        <f t="shared" ref="AM73" si="91">AL75</f>
        <v>61567164.179104447</v>
      </c>
      <c r="AN73" s="27">
        <f t="shared" ref="AN73" si="92">AM75</f>
        <v>59701492.537313402</v>
      </c>
      <c r="AO73" s="27">
        <f t="shared" ref="AO73" si="93">AN75</f>
        <v>57835820.895522356</v>
      </c>
      <c r="AP73" s="27">
        <f t="shared" ref="AP73" si="94">AO75</f>
        <v>55970149.25373131</v>
      </c>
      <c r="AQ73" s="27">
        <f t="shared" ref="AQ73" si="95">AP75</f>
        <v>54104477.611940265</v>
      </c>
      <c r="AR73" s="27">
        <f t="shared" ref="AR73" si="96">AQ75</f>
        <v>52238805.970149219</v>
      </c>
      <c r="AS73" s="27">
        <f t="shared" ref="AS73" si="97">AR75</f>
        <v>50373134.328358173</v>
      </c>
      <c r="AT73" s="27">
        <f t="shared" ref="AT73" si="98">AS75</f>
        <v>48507462.686567128</v>
      </c>
      <c r="AU73" s="27">
        <f t="shared" ref="AU73" si="99">AT75</f>
        <v>46641791.044776082</v>
      </c>
      <c r="AV73" s="27">
        <f t="shared" ref="AV73" si="100">AU75</f>
        <v>44776119.402985036</v>
      </c>
      <c r="AW73" s="27">
        <f t="shared" ref="AW73" si="101">AV75</f>
        <v>42910447.761193991</v>
      </c>
      <c r="AX73" s="27">
        <f t="shared" ref="AX73" si="102">AW75</f>
        <v>41044776.119402945</v>
      </c>
      <c r="AY73" s="27">
        <f t="shared" ref="AY73" si="103">AX75</f>
        <v>39179104.477611899</v>
      </c>
      <c r="AZ73" s="27">
        <f t="shared" ref="AZ73" si="104">AY75</f>
        <v>37313432.835820854</v>
      </c>
      <c r="BA73" s="27">
        <f t="shared" ref="BA73" si="105">AZ75</f>
        <v>35447761.194029808</v>
      </c>
      <c r="BB73" s="27">
        <f t="shared" ref="BB73" si="106">BA75</f>
        <v>33582089.552238762</v>
      </c>
      <c r="BC73" s="27">
        <f t="shared" ref="BC73" si="107">BB75</f>
        <v>31716417.910447717</v>
      </c>
      <c r="BD73" s="27">
        <f t="shared" ref="BD73" si="108">BC75</f>
        <v>29850746.268656671</v>
      </c>
      <c r="BE73" s="27">
        <f t="shared" ref="BE73" si="109">BD75</f>
        <v>27985074.626865625</v>
      </c>
      <c r="BF73" s="27">
        <f t="shared" ref="BF73" si="110">BE75</f>
        <v>26119402.98507458</v>
      </c>
      <c r="BG73" s="27">
        <f t="shared" ref="BG73" si="111">BF75</f>
        <v>24253731.343283534</v>
      </c>
      <c r="BH73" s="27">
        <f t="shared" ref="BH73" si="112">BG75</f>
        <v>22388059.701492488</v>
      </c>
      <c r="BI73" s="27">
        <f t="shared" ref="BI73" si="113">BH75</f>
        <v>20522388.059701443</v>
      </c>
      <c r="BJ73" s="27">
        <f t="shared" ref="BJ73" si="114">BI75</f>
        <v>18656716.417910397</v>
      </c>
      <c r="BK73" s="27">
        <f t="shared" ref="BK73" si="115">BJ75</f>
        <v>16791044.776119351</v>
      </c>
      <c r="BL73" s="27">
        <f t="shared" ref="BL73" si="116">BK75</f>
        <v>14925373.134328306</v>
      </c>
      <c r="BM73" s="27">
        <f t="shared" ref="BM73" si="117">BL75</f>
        <v>13059701.49253726</v>
      </c>
      <c r="BN73" s="27">
        <f t="shared" ref="BN73" si="118">BM75</f>
        <v>11194029.850746214</v>
      </c>
      <c r="BO73" s="27">
        <f t="shared" ref="BO73" si="119">BN75</f>
        <v>9328358.2089551687</v>
      </c>
      <c r="BP73" s="27">
        <f t="shared" ref="BP73" si="120">BO75</f>
        <v>7462686.567164124</v>
      </c>
      <c r="BQ73" s="27">
        <f t="shared" ref="BQ73" si="121">BP75</f>
        <v>5597014.9253730793</v>
      </c>
      <c r="BR73" s="27">
        <f t="shared" ref="BR73" si="122">BQ75</f>
        <v>3731343.2835820345</v>
      </c>
      <c r="BS73" s="27">
        <f t="shared" ref="BS73" si="123">BR75</f>
        <v>1865671.6417909898</v>
      </c>
      <c r="BT73" s="27">
        <f t="shared" ref="BT73" si="124">BS75</f>
        <v>-5.4948031902313232E-8</v>
      </c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</row>
    <row r="74" spans="3:129" x14ac:dyDescent="0.35">
      <c r="C74" s="30" t="s">
        <v>10</v>
      </c>
      <c r="D74" s="22"/>
      <c r="E74" s="22">
        <f>IF(E73=15000,0,(invest/levetid))</f>
        <v>-1865671.6417910447</v>
      </c>
      <c r="F74" s="22">
        <f t="shared" ref="F74:AJ74" si="125">IF(F73=15000,0,(invest/levetid))</f>
        <v>-1865671.6417910447</v>
      </c>
      <c r="G74" s="22">
        <f t="shared" si="125"/>
        <v>-1865671.6417910447</v>
      </c>
      <c r="H74" s="22">
        <f t="shared" si="125"/>
        <v>-1865671.6417910447</v>
      </c>
      <c r="I74" s="22">
        <f t="shared" si="125"/>
        <v>-1865671.6417910447</v>
      </c>
      <c r="J74" s="22">
        <f t="shared" si="125"/>
        <v>-1865671.6417910447</v>
      </c>
      <c r="K74" s="22">
        <f t="shared" si="125"/>
        <v>-1865671.6417910447</v>
      </c>
      <c r="L74" s="22">
        <f t="shared" si="125"/>
        <v>-1865671.6417910447</v>
      </c>
      <c r="M74" s="22">
        <f t="shared" si="125"/>
        <v>-1865671.6417910447</v>
      </c>
      <c r="N74" s="22">
        <f t="shared" si="125"/>
        <v>-1865671.6417910447</v>
      </c>
      <c r="O74" s="22">
        <f t="shared" si="125"/>
        <v>-1865671.6417910447</v>
      </c>
      <c r="P74" s="22">
        <f t="shared" si="125"/>
        <v>-1865671.6417910447</v>
      </c>
      <c r="Q74" s="22">
        <f t="shared" si="125"/>
        <v>-1865671.6417910447</v>
      </c>
      <c r="R74" s="22">
        <f t="shared" si="125"/>
        <v>-1865671.6417910447</v>
      </c>
      <c r="S74" s="22">
        <f t="shared" si="125"/>
        <v>-1865671.6417910447</v>
      </c>
      <c r="T74" s="22">
        <f t="shared" si="125"/>
        <v>-1865671.6417910447</v>
      </c>
      <c r="U74" s="22">
        <f t="shared" si="125"/>
        <v>-1865671.6417910447</v>
      </c>
      <c r="V74" s="22">
        <f t="shared" si="125"/>
        <v>-1865671.6417910447</v>
      </c>
      <c r="W74" s="22">
        <f t="shared" si="125"/>
        <v>-1865671.6417910447</v>
      </c>
      <c r="X74" s="22">
        <f t="shared" si="125"/>
        <v>-1865671.6417910447</v>
      </c>
      <c r="Y74" s="22">
        <f t="shared" si="125"/>
        <v>-1865671.6417910447</v>
      </c>
      <c r="Z74" s="22">
        <f t="shared" si="125"/>
        <v>-1865671.6417910447</v>
      </c>
      <c r="AA74" s="22">
        <f t="shared" si="125"/>
        <v>-1865671.6417910447</v>
      </c>
      <c r="AB74" s="22">
        <f t="shared" si="125"/>
        <v>-1865671.6417910447</v>
      </c>
      <c r="AC74" s="22">
        <f t="shared" si="125"/>
        <v>-1865671.6417910447</v>
      </c>
      <c r="AD74" s="22">
        <f t="shared" si="125"/>
        <v>-1865671.6417910447</v>
      </c>
      <c r="AE74" s="22">
        <f t="shared" si="125"/>
        <v>-1865671.6417910447</v>
      </c>
      <c r="AF74" s="22">
        <f t="shared" si="125"/>
        <v>-1865671.6417910447</v>
      </c>
      <c r="AG74" s="22">
        <f t="shared" si="125"/>
        <v>-1865671.6417910447</v>
      </c>
      <c r="AH74" s="22">
        <f t="shared" si="125"/>
        <v>-1865671.6417910447</v>
      </c>
      <c r="AI74" s="22">
        <f t="shared" si="125"/>
        <v>-1865671.6417910447</v>
      </c>
      <c r="AJ74" s="22">
        <f t="shared" si="125"/>
        <v>-1865671.6417910447</v>
      </c>
      <c r="AK74" s="22">
        <f t="shared" ref="AK74:BP74" si="126">IF(AK73=15000,0,(invest/levetid))</f>
        <v>-1865671.6417910447</v>
      </c>
      <c r="AL74" s="22">
        <f t="shared" si="126"/>
        <v>-1865671.6417910447</v>
      </c>
      <c r="AM74" s="22">
        <f t="shared" si="126"/>
        <v>-1865671.6417910447</v>
      </c>
      <c r="AN74" s="22">
        <f t="shared" si="126"/>
        <v>-1865671.6417910447</v>
      </c>
      <c r="AO74" s="22">
        <f t="shared" si="126"/>
        <v>-1865671.6417910447</v>
      </c>
      <c r="AP74" s="22">
        <f t="shared" si="126"/>
        <v>-1865671.6417910447</v>
      </c>
      <c r="AQ74" s="22">
        <f t="shared" si="126"/>
        <v>-1865671.6417910447</v>
      </c>
      <c r="AR74" s="22">
        <f t="shared" si="126"/>
        <v>-1865671.6417910447</v>
      </c>
      <c r="AS74" s="22">
        <f t="shared" si="126"/>
        <v>-1865671.6417910447</v>
      </c>
      <c r="AT74" s="22">
        <f t="shared" si="126"/>
        <v>-1865671.6417910447</v>
      </c>
      <c r="AU74" s="22">
        <f t="shared" si="126"/>
        <v>-1865671.6417910447</v>
      </c>
      <c r="AV74" s="22">
        <f t="shared" si="126"/>
        <v>-1865671.6417910447</v>
      </c>
      <c r="AW74" s="22">
        <f t="shared" si="126"/>
        <v>-1865671.6417910447</v>
      </c>
      <c r="AX74" s="22">
        <f t="shared" si="126"/>
        <v>-1865671.6417910447</v>
      </c>
      <c r="AY74" s="22">
        <f t="shared" si="126"/>
        <v>-1865671.6417910447</v>
      </c>
      <c r="AZ74" s="22">
        <f t="shared" si="126"/>
        <v>-1865671.6417910447</v>
      </c>
      <c r="BA74" s="22">
        <f t="shared" si="126"/>
        <v>-1865671.6417910447</v>
      </c>
      <c r="BB74" s="22">
        <f t="shared" si="126"/>
        <v>-1865671.6417910447</v>
      </c>
      <c r="BC74" s="22">
        <f t="shared" si="126"/>
        <v>-1865671.6417910447</v>
      </c>
      <c r="BD74" s="22">
        <f t="shared" si="126"/>
        <v>-1865671.6417910447</v>
      </c>
      <c r="BE74" s="22">
        <f t="shared" si="126"/>
        <v>-1865671.6417910447</v>
      </c>
      <c r="BF74" s="22">
        <f t="shared" si="126"/>
        <v>-1865671.6417910447</v>
      </c>
      <c r="BG74" s="22">
        <f t="shared" si="126"/>
        <v>-1865671.6417910447</v>
      </c>
      <c r="BH74" s="22">
        <f t="shared" si="126"/>
        <v>-1865671.6417910447</v>
      </c>
      <c r="BI74" s="22">
        <f t="shared" si="126"/>
        <v>-1865671.6417910447</v>
      </c>
      <c r="BJ74" s="22">
        <f t="shared" si="126"/>
        <v>-1865671.6417910447</v>
      </c>
      <c r="BK74" s="22">
        <f t="shared" si="126"/>
        <v>-1865671.6417910447</v>
      </c>
      <c r="BL74" s="22">
        <f t="shared" si="126"/>
        <v>-1865671.6417910447</v>
      </c>
      <c r="BM74" s="22">
        <f t="shared" si="126"/>
        <v>-1865671.6417910447</v>
      </c>
      <c r="BN74" s="22">
        <f t="shared" si="126"/>
        <v>-1865671.6417910447</v>
      </c>
      <c r="BO74" s="22">
        <f t="shared" si="126"/>
        <v>-1865671.6417910447</v>
      </c>
      <c r="BP74" s="22">
        <f t="shared" si="126"/>
        <v>-1865671.6417910447</v>
      </c>
      <c r="BQ74" s="22">
        <f t="shared" ref="BQ74:BT74" si="127">IF(BQ73=15000,0,(invest/levetid))</f>
        <v>-1865671.6417910447</v>
      </c>
      <c r="BR74" s="22">
        <f t="shared" si="127"/>
        <v>-1865671.6417910447</v>
      </c>
      <c r="BS74" s="22">
        <f t="shared" si="127"/>
        <v>-1865671.6417910447</v>
      </c>
      <c r="BT74" s="22">
        <f t="shared" si="127"/>
        <v>-1865671.6417910447</v>
      </c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</row>
    <row r="75" spans="3:129" x14ac:dyDescent="0.35">
      <c r="C75" s="2" t="s">
        <v>69</v>
      </c>
      <c r="D75" s="25"/>
      <c r="E75" s="14">
        <f>SUM(E73:E74)</f>
        <v>123134328.35820895</v>
      </c>
      <c r="F75" s="14">
        <f t="shared" ref="F75:N75" si="128">SUM(F73:F74)</f>
        <v>121268656.71641791</v>
      </c>
      <c r="G75" s="14">
        <f t="shared" si="128"/>
        <v>119402985.07462686</v>
      </c>
      <c r="H75" s="14">
        <f t="shared" si="128"/>
        <v>117537313.43283582</v>
      </c>
      <c r="I75" s="14">
        <f t="shared" si="128"/>
        <v>115671641.79104477</v>
      </c>
      <c r="J75" s="14">
        <f t="shared" si="128"/>
        <v>113805970.14925373</v>
      </c>
      <c r="K75" s="14">
        <f t="shared" si="128"/>
        <v>111940298.50746268</v>
      </c>
      <c r="L75" s="14">
        <f t="shared" si="128"/>
        <v>110074626.86567163</v>
      </c>
      <c r="M75" s="14">
        <f t="shared" si="128"/>
        <v>108208955.22388059</v>
      </c>
      <c r="N75" s="14">
        <f t="shared" si="128"/>
        <v>106343283.58208954</v>
      </c>
      <c r="O75" s="14">
        <f t="shared" ref="O75:P75" si="129">SUM(O73:O74)</f>
        <v>104477611.9402985</v>
      </c>
      <c r="P75" s="14">
        <f t="shared" si="129"/>
        <v>102611940.29850745</v>
      </c>
      <c r="Q75" s="14">
        <f t="shared" ref="Q75:BT75" si="130">SUM(Q73:Q74)</f>
        <v>100746268.65671641</v>
      </c>
      <c r="R75" s="14">
        <f t="shared" si="130"/>
        <v>98880597.014925361</v>
      </c>
      <c r="S75" s="14">
        <f t="shared" si="130"/>
        <v>97014925.373134315</v>
      </c>
      <c r="T75" s="14">
        <f t="shared" si="130"/>
        <v>95149253.731343269</v>
      </c>
      <c r="U75" s="14">
        <f t="shared" si="130"/>
        <v>93283582.089552224</v>
      </c>
      <c r="V75" s="14">
        <f t="shared" si="130"/>
        <v>91417910.447761178</v>
      </c>
      <c r="W75" s="14">
        <f t="shared" si="130"/>
        <v>89552238.805970132</v>
      </c>
      <c r="X75" s="14">
        <f t="shared" si="130"/>
        <v>87686567.164179087</v>
      </c>
      <c r="Y75" s="14">
        <f t="shared" si="130"/>
        <v>85820895.522388041</v>
      </c>
      <c r="Z75" s="14">
        <f t="shared" si="130"/>
        <v>83955223.880596995</v>
      </c>
      <c r="AA75" s="14">
        <f t="shared" si="130"/>
        <v>82089552.23880595</v>
      </c>
      <c r="AB75" s="14">
        <f t="shared" si="130"/>
        <v>80223880.597014904</v>
      </c>
      <c r="AC75" s="14">
        <f t="shared" si="130"/>
        <v>78358208.955223858</v>
      </c>
      <c r="AD75" s="14">
        <f t="shared" si="130"/>
        <v>76492537.313432813</v>
      </c>
      <c r="AE75" s="14">
        <f t="shared" si="130"/>
        <v>74626865.671641767</v>
      </c>
      <c r="AF75" s="14">
        <f t="shared" si="130"/>
        <v>72761194.029850721</v>
      </c>
      <c r="AG75" s="14">
        <f t="shared" si="130"/>
        <v>70895522.388059676</v>
      </c>
      <c r="AH75" s="14">
        <f t="shared" si="130"/>
        <v>69029850.74626863</v>
      </c>
      <c r="AI75" s="14">
        <f t="shared" si="130"/>
        <v>67164179.104477584</v>
      </c>
      <c r="AJ75" s="14">
        <f t="shared" si="130"/>
        <v>65298507.462686539</v>
      </c>
      <c r="AK75" s="14">
        <f t="shared" si="130"/>
        <v>63432835.820895493</v>
      </c>
      <c r="AL75" s="14">
        <f t="shared" si="130"/>
        <v>61567164.179104447</v>
      </c>
      <c r="AM75" s="14">
        <f t="shared" si="130"/>
        <v>59701492.537313402</v>
      </c>
      <c r="AN75" s="14">
        <f t="shared" si="130"/>
        <v>57835820.895522356</v>
      </c>
      <c r="AO75" s="14">
        <f t="shared" si="130"/>
        <v>55970149.25373131</v>
      </c>
      <c r="AP75" s="14">
        <f t="shared" si="130"/>
        <v>54104477.611940265</v>
      </c>
      <c r="AQ75" s="14">
        <f t="shared" si="130"/>
        <v>52238805.970149219</v>
      </c>
      <c r="AR75" s="14">
        <f t="shared" si="130"/>
        <v>50373134.328358173</v>
      </c>
      <c r="AS75" s="14">
        <f t="shared" si="130"/>
        <v>48507462.686567128</v>
      </c>
      <c r="AT75" s="14">
        <f t="shared" si="130"/>
        <v>46641791.044776082</v>
      </c>
      <c r="AU75" s="14">
        <f t="shared" si="130"/>
        <v>44776119.402985036</v>
      </c>
      <c r="AV75" s="14">
        <f t="shared" si="130"/>
        <v>42910447.761193991</v>
      </c>
      <c r="AW75" s="14">
        <f t="shared" si="130"/>
        <v>41044776.119402945</v>
      </c>
      <c r="AX75" s="14">
        <f t="shared" si="130"/>
        <v>39179104.477611899</v>
      </c>
      <c r="AY75" s="14">
        <f t="shared" si="130"/>
        <v>37313432.835820854</v>
      </c>
      <c r="AZ75" s="14">
        <f t="shared" si="130"/>
        <v>35447761.194029808</v>
      </c>
      <c r="BA75" s="14">
        <f t="shared" si="130"/>
        <v>33582089.552238762</v>
      </c>
      <c r="BB75" s="14">
        <f t="shared" si="130"/>
        <v>31716417.910447717</v>
      </c>
      <c r="BC75" s="14">
        <f t="shared" si="130"/>
        <v>29850746.268656671</v>
      </c>
      <c r="BD75" s="14">
        <f t="shared" si="130"/>
        <v>27985074.626865625</v>
      </c>
      <c r="BE75" s="14">
        <f t="shared" si="130"/>
        <v>26119402.98507458</v>
      </c>
      <c r="BF75" s="14">
        <f t="shared" si="130"/>
        <v>24253731.343283534</v>
      </c>
      <c r="BG75" s="14">
        <f t="shared" si="130"/>
        <v>22388059.701492488</v>
      </c>
      <c r="BH75" s="14">
        <f t="shared" si="130"/>
        <v>20522388.059701443</v>
      </c>
      <c r="BI75" s="14">
        <f t="shared" si="130"/>
        <v>18656716.417910397</v>
      </c>
      <c r="BJ75" s="14">
        <f t="shared" si="130"/>
        <v>16791044.776119351</v>
      </c>
      <c r="BK75" s="14">
        <f t="shared" si="130"/>
        <v>14925373.134328306</v>
      </c>
      <c r="BL75" s="14">
        <f t="shared" si="130"/>
        <v>13059701.49253726</v>
      </c>
      <c r="BM75" s="14">
        <f t="shared" si="130"/>
        <v>11194029.850746214</v>
      </c>
      <c r="BN75" s="14">
        <f t="shared" si="130"/>
        <v>9328358.2089551687</v>
      </c>
      <c r="BO75" s="14">
        <f t="shared" si="130"/>
        <v>7462686.567164124</v>
      </c>
      <c r="BP75" s="14">
        <f t="shared" si="130"/>
        <v>5597014.9253730793</v>
      </c>
      <c r="BQ75" s="14">
        <f t="shared" si="130"/>
        <v>3731343.2835820345</v>
      </c>
      <c r="BR75" s="14">
        <f t="shared" si="130"/>
        <v>1865671.6417909898</v>
      </c>
      <c r="BS75" s="14">
        <f t="shared" si="130"/>
        <v>-5.4948031902313232E-8</v>
      </c>
      <c r="BT75" s="14">
        <f t="shared" si="130"/>
        <v>-1865671.6417910997</v>
      </c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</row>
    <row r="76" spans="3:129" x14ac:dyDescent="0.35">
      <c r="C76" t="s">
        <v>70</v>
      </c>
      <c r="E76" s="11">
        <f>(E75+E73)/2</f>
        <v>124067164.17910448</v>
      </c>
      <c r="F76" s="11">
        <f t="shared" ref="F76:M76" si="131">(F75+F73)/2</f>
        <v>122201492.53731343</v>
      </c>
      <c r="G76" s="11">
        <f t="shared" si="131"/>
        <v>120335820.89552239</v>
      </c>
      <c r="H76" s="11">
        <f t="shared" si="131"/>
        <v>118470149.25373134</v>
      </c>
      <c r="I76" s="11">
        <f t="shared" si="131"/>
        <v>116604477.61194029</v>
      </c>
      <c r="J76" s="11">
        <f t="shared" si="131"/>
        <v>114738805.97014925</v>
      </c>
      <c r="K76" s="11">
        <f t="shared" si="131"/>
        <v>112873134.3283582</v>
      </c>
      <c r="L76" s="11">
        <f t="shared" si="131"/>
        <v>111007462.68656716</v>
      </c>
      <c r="M76" s="11">
        <f t="shared" si="131"/>
        <v>109141791.04477611</v>
      </c>
      <c r="N76" s="11">
        <f>(N75+N73)/2</f>
        <v>107276119.40298507</v>
      </c>
      <c r="O76" s="11">
        <f>(O75+O73)/2</f>
        <v>105410447.76119402</v>
      </c>
      <c r="P76" s="11">
        <f t="shared" ref="P76:BT76" si="132">(P75+P73)/2</f>
        <v>103544776.11940297</v>
      </c>
      <c r="Q76" s="11">
        <f t="shared" si="132"/>
        <v>101679104.47761193</v>
      </c>
      <c r="R76" s="11">
        <f t="shared" si="132"/>
        <v>99813432.835820884</v>
      </c>
      <c r="S76" s="11">
        <f t="shared" si="132"/>
        <v>97947761.194029838</v>
      </c>
      <c r="T76" s="11">
        <f t="shared" si="132"/>
        <v>96082089.552238792</v>
      </c>
      <c r="U76" s="11">
        <f t="shared" si="132"/>
        <v>94216417.910447747</v>
      </c>
      <c r="V76" s="11">
        <f t="shared" si="132"/>
        <v>92350746.268656701</v>
      </c>
      <c r="W76" s="11">
        <f t="shared" si="132"/>
        <v>90485074.626865655</v>
      </c>
      <c r="X76" s="11">
        <f t="shared" si="132"/>
        <v>88619402.98507461</v>
      </c>
      <c r="Y76" s="11">
        <f t="shared" si="132"/>
        <v>86753731.343283564</v>
      </c>
      <c r="Z76" s="11">
        <f t="shared" si="132"/>
        <v>84888059.701492518</v>
      </c>
      <c r="AA76" s="11">
        <f t="shared" si="132"/>
        <v>83022388.059701473</v>
      </c>
      <c r="AB76" s="11">
        <f t="shared" si="132"/>
        <v>81156716.417910427</v>
      </c>
      <c r="AC76" s="11">
        <f t="shared" si="132"/>
        <v>79291044.776119381</v>
      </c>
      <c r="AD76" s="11">
        <f t="shared" si="132"/>
        <v>77425373.134328336</v>
      </c>
      <c r="AE76" s="11">
        <f t="shared" si="132"/>
        <v>75559701.49253729</v>
      </c>
      <c r="AF76" s="11">
        <f t="shared" si="132"/>
        <v>73694029.850746244</v>
      </c>
      <c r="AG76" s="11">
        <f t="shared" si="132"/>
        <v>71828358.208955199</v>
      </c>
      <c r="AH76" s="11">
        <f t="shared" si="132"/>
        <v>69962686.567164153</v>
      </c>
      <c r="AI76" s="11">
        <f t="shared" si="132"/>
        <v>68097014.925373107</v>
      </c>
      <c r="AJ76" s="11">
        <f t="shared" si="132"/>
        <v>66231343.283582062</v>
      </c>
      <c r="AK76" s="11">
        <f t="shared" si="132"/>
        <v>64365671.641791016</v>
      </c>
      <c r="AL76" s="11">
        <f t="shared" si="132"/>
        <v>62499999.99999997</v>
      </c>
      <c r="AM76" s="11">
        <f t="shared" si="132"/>
        <v>60634328.358208925</v>
      </c>
      <c r="AN76" s="11">
        <f t="shared" si="132"/>
        <v>58768656.716417879</v>
      </c>
      <c r="AO76" s="11">
        <f t="shared" si="132"/>
        <v>56902985.074626833</v>
      </c>
      <c r="AP76" s="11">
        <f t="shared" si="132"/>
        <v>55037313.432835788</v>
      </c>
      <c r="AQ76" s="11">
        <f t="shared" si="132"/>
        <v>53171641.791044742</v>
      </c>
      <c r="AR76" s="11">
        <f t="shared" si="132"/>
        <v>51305970.149253696</v>
      </c>
      <c r="AS76" s="11">
        <f t="shared" si="132"/>
        <v>49440298.507462651</v>
      </c>
      <c r="AT76" s="11">
        <f t="shared" si="132"/>
        <v>47574626.865671605</v>
      </c>
      <c r="AU76" s="11">
        <f t="shared" si="132"/>
        <v>45708955.223880559</v>
      </c>
      <c r="AV76" s="11">
        <f t="shared" si="132"/>
        <v>43843283.582089514</v>
      </c>
      <c r="AW76" s="11">
        <f t="shared" si="132"/>
        <v>41977611.940298468</v>
      </c>
      <c r="AX76" s="11">
        <f t="shared" si="132"/>
        <v>40111940.298507422</v>
      </c>
      <c r="AY76" s="11">
        <f t="shared" si="132"/>
        <v>38246268.656716377</v>
      </c>
      <c r="AZ76" s="11">
        <f t="shared" si="132"/>
        <v>36380597.014925331</v>
      </c>
      <c r="BA76" s="11">
        <f t="shared" si="132"/>
        <v>34514925.373134285</v>
      </c>
      <c r="BB76" s="11">
        <f t="shared" si="132"/>
        <v>32649253.73134324</v>
      </c>
      <c r="BC76" s="11">
        <f t="shared" si="132"/>
        <v>30783582.089552194</v>
      </c>
      <c r="BD76" s="11">
        <f t="shared" si="132"/>
        <v>28917910.447761148</v>
      </c>
      <c r="BE76" s="11">
        <f t="shared" si="132"/>
        <v>27052238.805970103</v>
      </c>
      <c r="BF76" s="11">
        <f t="shared" si="132"/>
        <v>25186567.164179057</v>
      </c>
      <c r="BG76" s="11">
        <f t="shared" si="132"/>
        <v>23320895.522388011</v>
      </c>
      <c r="BH76" s="11">
        <f t="shared" si="132"/>
        <v>21455223.880596966</v>
      </c>
      <c r="BI76" s="11">
        <f t="shared" si="132"/>
        <v>19589552.23880592</v>
      </c>
      <c r="BJ76" s="11">
        <f t="shared" si="132"/>
        <v>17723880.597014874</v>
      </c>
      <c r="BK76" s="11">
        <f t="shared" si="132"/>
        <v>15858208.955223829</v>
      </c>
      <c r="BL76" s="11">
        <f t="shared" si="132"/>
        <v>13992537.313432783</v>
      </c>
      <c r="BM76" s="11">
        <f t="shared" si="132"/>
        <v>12126865.671641737</v>
      </c>
      <c r="BN76" s="11">
        <f t="shared" si="132"/>
        <v>10261194.029850692</v>
      </c>
      <c r="BO76" s="11">
        <f t="shared" si="132"/>
        <v>8395522.3880596459</v>
      </c>
      <c r="BP76" s="11">
        <f t="shared" si="132"/>
        <v>6529850.7462686021</v>
      </c>
      <c r="BQ76" s="11">
        <f t="shared" si="132"/>
        <v>4664179.1044775564</v>
      </c>
      <c r="BR76" s="11">
        <f t="shared" si="132"/>
        <v>2798507.4626865122</v>
      </c>
      <c r="BS76" s="11">
        <f t="shared" si="132"/>
        <v>932835.82089546742</v>
      </c>
      <c r="BT76" s="11">
        <f t="shared" si="132"/>
        <v>-932835.82089557732</v>
      </c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</row>
    <row r="77" spans="3:129" x14ac:dyDescent="0.35">
      <c r="C77" s="28" t="s">
        <v>71</v>
      </c>
      <c r="D77" s="28"/>
      <c r="E77" s="22">
        <f>normrente*E76</f>
        <v>2729477.6119402982</v>
      </c>
      <c r="F77" s="22">
        <f t="shared" ref="F77:N77" si="133">normrente*F76</f>
        <v>2688432.8358208952</v>
      </c>
      <c r="G77" s="22">
        <f t="shared" si="133"/>
        <v>2647388.0597014925</v>
      </c>
      <c r="H77" s="22">
        <f t="shared" si="133"/>
        <v>2606343.2835820895</v>
      </c>
      <c r="I77" s="22">
        <f t="shared" si="133"/>
        <v>2565298.5074626864</v>
      </c>
      <c r="J77" s="22">
        <f t="shared" si="133"/>
        <v>2524253.7313432833</v>
      </c>
      <c r="K77" s="22">
        <f t="shared" si="133"/>
        <v>2483208.9552238802</v>
      </c>
      <c r="L77" s="22">
        <f t="shared" si="133"/>
        <v>2442164.1791044772</v>
      </c>
      <c r="M77" s="22">
        <f t="shared" si="133"/>
        <v>2401119.4029850741</v>
      </c>
      <c r="N77" s="22">
        <f t="shared" si="133"/>
        <v>2360074.6268656715</v>
      </c>
      <c r="O77" s="22">
        <f t="shared" ref="O77:P77" si="134">normrente*O76</f>
        <v>2319029.8507462684</v>
      </c>
      <c r="P77" s="22">
        <f t="shared" si="134"/>
        <v>2277985.0746268653</v>
      </c>
      <c r="Q77" s="22">
        <f t="shared" ref="Q77:BT77" si="135">normrente*Q76</f>
        <v>2236940.2985074623</v>
      </c>
      <c r="R77" s="22">
        <f t="shared" si="135"/>
        <v>2195895.5223880592</v>
      </c>
      <c r="S77" s="22">
        <f t="shared" si="135"/>
        <v>2154850.7462686561</v>
      </c>
      <c r="T77" s="22">
        <f t="shared" si="135"/>
        <v>2113805.9701492535</v>
      </c>
      <c r="U77" s="22">
        <f t="shared" si="135"/>
        <v>2072761.1940298502</v>
      </c>
      <c r="V77" s="22">
        <f t="shared" si="135"/>
        <v>2031716.4179104473</v>
      </c>
      <c r="W77" s="22">
        <f t="shared" si="135"/>
        <v>1990671.6417910443</v>
      </c>
      <c r="X77" s="22">
        <f t="shared" si="135"/>
        <v>1949626.8656716412</v>
      </c>
      <c r="Y77" s="22">
        <f t="shared" si="135"/>
        <v>1908582.0895522384</v>
      </c>
      <c r="Z77" s="22">
        <f t="shared" si="135"/>
        <v>1867537.3134328353</v>
      </c>
      <c r="AA77" s="22">
        <f t="shared" si="135"/>
        <v>1826492.5373134322</v>
      </c>
      <c r="AB77" s="22">
        <f t="shared" si="135"/>
        <v>1785447.7611940294</v>
      </c>
      <c r="AC77" s="22">
        <f t="shared" si="135"/>
        <v>1744402.9850746263</v>
      </c>
      <c r="AD77" s="22">
        <f t="shared" si="135"/>
        <v>1703358.2089552232</v>
      </c>
      <c r="AE77" s="22">
        <f t="shared" si="135"/>
        <v>1662313.4328358204</v>
      </c>
      <c r="AF77" s="22">
        <f t="shared" si="135"/>
        <v>1621268.6567164173</v>
      </c>
      <c r="AG77" s="22">
        <f t="shared" si="135"/>
        <v>1580223.8805970142</v>
      </c>
      <c r="AH77" s="22">
        <f t="shared" si="135"/>
        <v>1539179.1044776114</v>
      </c>
      <c r="AI77" s="22">
        <f t="shared" si="135"/>
        <v>1498134.3283582083</v>
      </c>
      <c r="AJ77" s="22">
        <f t="shared" si="135"/>
        <v>1457089.5522388052</v>
      </c>
      <c r="AK77" s="22">
        <f t="shared" si="135"/>
        <v>1416044.7761194024</v>
      </c>
      <c r="AL77" s="22">
        <f t="shared" si="135"/>
        <v>1374999.9999999993</v>
      </c>
      <c r="AM77" s="22">
        <f t="shared" si="135"/>
        <v>1333955.2238805962</v>
      </c>
      <c r="AN77" s="22">
        <f t="shared" si="135"/>
        <v>1292910.4477611932</v>
      </c>
      <c r="AO77" s="22">
        <f t="shared" si="135"/>
        <v>1251865.6716417903</v>
      </c>
      <c r="AP77" s="22">
        <f t="shared" si="135"/>
        <v>1210820.8955223872</v>
      </c>
      <c r="AQ77" s="22">
        <f t="shared" si="135"/>
        <v>1169776.1194029842</v>
      </c>
      <c r="AR77" s="22">
        <f t="shared" si="135"/>
        <v>1128731.3432835813</v>
      </c>
      <c r="AS77" s="22">
        <f t="shared" si="135"/>
        <v>1087686.5671641782</v>
      </c>
      <c r="AT77" s="22">
        <f t="shared" si="135"/>
        <v>1046641.7910447753</v>
      </c>
      <c r="AU77" s="22">
        <f t="shared" si="135"/>
        <v>1005597.0149253722</v>
      </c>
      <c r="AV77" s="22">
        <f t="shared" si="135"/>
        <v>964552.23880596925</v>
      </c>
      <c r="AW77" s="22">
        <f t="shared" si="135"/>
        <v>923507.46268656629</v>
      </c>
      <c r="AX77" s="22">
        <f t="shared" si="135"/>
        <v>882462.68656716321</v>
      </c>
      <c r="AY77" s="22">
        <f t="shared" si="135"/>
        <v>841417.91044776025</v>
      </c>
      <c r="AZ77" s="22">
        <f t="shared" si="135"/>
        <v>800373.13432835718</v>
      </c>
      <c r="BA77" s="22">
        <f t="shared" si="135"/>
        <v>759328.35820895422</v>
      </c>
      <c r="BB77" s="22">
        <f t="shared" si="135"/>
        <v>718283.58208955126</v>
      </c>
      <c r="BC77" s="22">
        <f t="shared" si="135"/>
        <v>677238.80597014818</v>
      </c>
      <c r="BD77" s="22">
        <f t="shared" si="135"/>
        <v>636194.02985074522</v>
      </c>
      <c r="BE77" s="22">
        <f t="shared" si="135"/>
        <v>595149.25373134227</v>
      </c>
      <c r="BF77" s="22">
        <f t="shared" si="135"/>
        <v>554104.47761193919</v>
      </c>
      <c r="BG77" s="22">
        <f t="shared" si="135"/>
        <v>513059.70149253623</v>
      </c>
      <c r="BH77" s="22">
        <f t="shared" si="135"/>
        <v>472014.92537313321</v>
      </c>
      <c r="BI77" s="22">
        <f t="shared" si="135"/>
        <v>430970.1492537302</v>
      </c>
      <c r="BJ77" s="22">
        <f t="shared" si="135"/>
        <v>389925.37313432724</v>
      </c>
      <c r="BK77" s="22">
        <f t="shared" si="135"/>
        <v>348880.59701492422</v>
      </c>
      <c r="BL77" s="22">
        <f t="shared" si="135"/>
        <v>307835.8208955212</v>
      </c>
      <c r="BM77" s="22">
        <f t="shared" si="135"/>
        <v>266791.04477611819</v>
      </c>
      <c r="BN77" s="22">
        <f t="shared" si="135"/>
        <v>225746.2686567152</v>
      </c>
      <c r="BO77" s="22">
        <f t="shared" si="135"/>
        <v>184701.49253731221</v>
      </c>
      <c r="BP77" s="22">
        <f t="shared" si="135"/>
        <v>143656.71641790925</v>
      </c>
      <c r="BQ77" s="22">
        <f t="shared" si="135"/>
        <v>102611.94029850623</v>
      </c>
      <c r="BR77" s="22">
        <f t="shared" si="135"/>
        <v>61567.164179103267</v>
      </c>
      <c r="BS77" s="22">
        <f t="shared" si="135"/>
        <v>20522.388059700283</v>
      </c>
      <c r="BT77" s="22">
        <f t="shared" si="135"/>
        <v>-20522.388059702698</v>
      </c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</row>
    <row r="78" spans="3:129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3:129" x14ac:dyDescent="0.35">
      <c r="C79" s="31" t="s">
        <v>55</v>
      </c>
      <c r="D79" s="2">
        <v>0</v>
      </c>
      <c r="E79" s="2">
        <v>1</v>
      </c>
      <c r="F79" s="14">
        <v>2</v>
      </c>
      <c r="G79" s="2">
        <v>3</v>
      </c>
      <c r="H79" s="14">
        <v>4</v>
      </c>
      <c r="I79" s="2">
        <v>5</v>
      </c>
      <c r="J79" s="14">
        <v>6</v>
      </c>
      <c r="K79" s="2">
        <v>7</v>
      </c>
      <c r="L79" s="14">
        <v>8</v>
      </c>
      <c r="M79" s="2">
        <v>9</v>
      </c>
      <c r="N79" s="14">
        <v>10</v>
      </c>
      <c r="O79" s="2">
        <v>11</v>
      </c>
      <c r="P79" s="14">
        <v>12</v>
      </c>
      <c r="Q79" s="2">
        <v>13</v>
      </c>
      <c r="R79" s="14">
        <v>14</v>
      </c>
      <c r="S79" s="2">
        <v>15</v>
      </c>
      <c r="T79" s="14">
        <v>16</v>
      </c>
      <c r="U79" s="2">
        <v>17</v>
      </c>
      <c r="V79" s="14">
        <v>18</v>
      </c>
      <c r="W79" s="2">
        <v>19</v>
      </c>
      <c r="X79" s="14">
        <v>20</v>
      </c>
      <c r="Y79" s="2">
        <v>21</v>
      </c>
      <c r="Z79" s="14">
        <v>22</v>
      </c>
      <c r="AA79" s="2">
        <v>23</v>
      </c>
      <c r="AB79" s="14">
        <v>24</v>
      </c>
      <c r="AC79" s="2">
        <v>25</v>
      </c>
      <c r="AD79" s="14">
        <v>26</v>
      </c>
      <c r="AE79" s="2">
        <v>27</v>
      </c>
      <c r="AF79" s="14">
        <v>28</v>
      </c>
      <c r="AG79" s="2">
        <v>29</v>
      </c>
      <c r="AH79" s="14">
        <v>30</v>
      </c>
      <c r="AI79" s="2">
        <v>31</v>
      </c>
      <c r="AJ79" s="14">
        <v>32</v>
      </c>
      <c r="AK79" s="2">
        <v>33</v>
      </c>
      <c r="AL79" s="14">
        <v>34</v>
      </c>
      <c r="AM79" s="2">
        <v>35</v>
      </c>
      <c r="AN79" s="14">
        <v>36</v>
      </c>
      <c r="AO79" s="2">
        <v>37</v>
      </c>
      <c r="AP79" s="14">
        <v>38</v>
      </c>
      <c r="AQ79" s="2">
        <v>39</v>
      </c>
      <c r="AR79" s="14">
        <v>40</v>
      </c>
      <c r="AS79" s="2">
        <v>41</v>
      </c>
      <c r="AT79" s="14">
        <v>42</v>
      </c>
      <c r="AU79" s="2">
        <v>43</v>
      </c>
      <c r="AV79" s="14">
        <v>44</v>
      </c>
      <c r="AW79" s="2">
        <v>45</v>
      </c>
      <c r="AX79" s="14">
        <v>46</v>
      </c>
      <c r="AY79" s="2">
        <v>47</v>
      </c>
      <c r="AZ79" s="14">
        <v>48</v>
      </c>
      <c r="BA79" s="2">
        <v>49</v>
      </c>
      <c r="BB79" s="14">
        <v>50</v>
      </c>
      <c r="BC79" s="2">
        <v>51</v>
      </c>
      <c r="BD79" s="14">
        <v>52</v>
      </c>
      <c r="BE79" s="2">
        <v>53</v>
      </c>
      <c r="BF79" s="14">
        <v>54</v>
      </c>
      <c r="BG79" s="2">
        <v>55</v>
      </c>
      <c r="BH79" s="14">
        <v>56</v>
      </c>
      <c r="BI79" s="2">
        <v>57</v>
      </c>
      <c r="BJ79" s="14">
        <v>58</v>
      </c>
      <c r="BK79" s="2">
        <v>59</v>
      </c>
      <c r="BL79" s="14">
        <v>60</v>
      </c>
      <c r="BM79" s="2">
        <v>61</v>
      </c>
      <c r="BN79" s="14">
        <v>62</v>
      </c>
      <c r="BO79" s="2">
        <v>63</v>
      </c>
      <c r="BP79" s="14">
        <v>64</v>
      </c>
      <c r="BQ79" s="2">
        <v>65</v>
      </c>
      <c r="BR79" s="14">
        <v>66</v>
      </c>
      <c r="BS79" s="2">
        <v>67</v>
      </c>
    </row>
    <row r="80" spans="3:129" x14ac:dyDescent="0.35">
      <c r="C80" s="24" t="s">
        <v>75</v>
      </c>
      <c r="D80" s="2"/>
      <c r="E80" s="14">
        <f>E33</f>
        <v>33549984</v>
      </c>
      <c r="F80" s="14">
        <f>F33</f>
        <v>30108959.999999996</v>
      </c>
      <c r="G80" s="14">
        <f>AVERAGE(E33:F33)</f>
        <v>31829472</v>
      </c>
      <c r="H80" s="14">
        <f>AVERAGE(E33:G33)</f>
        <v>31205786.400000002</v>
      </c>
      <c r="I80" s="14">
        <f>AVERAGE(E33:H33)</f>
        <v>31208474.699999999</v>
      </c>
      <c r="J80" s="14">
        <f t="shared" ref="J80:AO80" si="136">AVERAGE(E33:I33)</f>
        <v>31225142.160000004</v>
      </c>
      <c r="K80" s="14">
        <f t="shared" si="136"/>
        <v>30762754.560000002</v>
      </c>
      <c r="L80" s="14">
        <f t="shared" si="136"/>
        <v>31096103.760000002</v>
      </c>
      <c r="M80" s="14">
        <f t="shared" si="136"/>
        <v>31739145.119999997</v>
      </c>
      <c r="N80" s="14">
        <f t="shared" si="136"/>
        <v>32216587.199999999</v>
      </c>
      <c r="O80" s="14">
        <f t="shared" si="136"/>
        <v>32642413.919999998</v>
      </c>
      <c r="P80" s="14">
        <f t="shared" si="136"/>
        <v>33212677.622399997</v>
      </c>
      <c r="Q80" s="14">
        <f t="shared" si="136"/>
        <v>33811766.782847993</v>
      </c>
      <c r="R80" s="14">
        <f t="shared" si="136"/>
        <v>34270357.35050495</v>
      </c>
      <c r="S80" s="14">
        <f t="shared" si="136"/>
        <v>34784788.61751505</v>
      </c>
      <c r="T80" s="14">
        <f t="shared" si="136"/>
        <v>35480484.389865354</v>
      </c>
      <c r="U80" s="14">
        <f t="shared" si="136"/>
        <v>36190094.077662662</v>
      </c>
      <c r="V80" s="14">
        <f t="shared" si="136"/>
        <v>36913895.959215917</v>
      </c>
      <c r="W80" s="14">
        <f t="shared" si="136"/>
        <v>37652173.878400236</v>
      </c>
      <c r="X80" s="14">
        <f t="shared" si="136"/>
        <v>38405217.355968244</v>
      </c>
      <c r="Y80" s="14">
        <f t="shared" si="136"/>
        <v>39173321.703087606</v>
      </c>
      <c r="Z80" s="14">
        <f t="shared" si="136"/>
        <v>39956788.137149356</v>
      </c>
      <c r="AA80" s="14">
        <f t="shared" si="136"/>
        <v>40755923.899892345</v>
      </c>
      <c r="AB80" s="14">
        <f t="shared" si="136"/>
        <v>41571042.377890192</v>
      </c>
      <c r="AC80" s="14">
        <f t="shared" si="136"/>
        <v>42402463.225447997</v>
      </c>
      <c r="AD80" s="14">
        <f t="shared" si="136"/>
        <v>43250512.48995696</v>
      </c>
      <c r="AE80" s="14">
        <f t="shared" si="136"/>
        <v>44115522.7397561</v>
      </c>
      <c r="AF80" s="14">
        <f t="shared" si="136"/>
        <v>44997833.194551229</v>
      </c>
      <c r="AG80" s="14">
        <f t="shared" si="136"/>
        <v>45897789.858442247</v>
      </c>
      <c r="AH80" s="14">
        <f t="shared" si="136"/>
        <v>46815745.655611098</v>
      </c>
      <c r="AI80" s="14">
        <f t="shared" si="136"/>
        <v>47752060.568723328</v>
      </c>
      <c r="AJ80" s="14">
        <f t="shared" si="136"/>
        <v>48707101.78009779</v>
      </c>
      <c r="AK80" s="14">
        <f t="shared" si="136"/>
        <v>49681243.815699741</v>
      </c>
      <c r="AL80" s="14">
        <f t="shared" si="136"/>
        <v>50674868.692013741</v>
      </c>
      <c r="AM80" s="14">
        <f t="shared" si="136"/>
        <v>51688366.065854013</v>
      </c>
      <c r="AN80" s="14">
        <f t="shared" si="136"/>
        <v>52722133.387171105</v>
      </c>
      <c r="AO80" s="14">
        <f t="shared" si="136"/>
        <v>53776576.054914519</v>
      </c>
      <c r="AP80" s="14">
        <f t="shared" ref="AP80:BS80" si="137">AVERAGE(AK33:AO33)</f>
        <v>54852107.576012813</v>
      </c>
      <c r="AQ80" s="14">
        <f t="shared" si="137"/>
        <v>55949149.727533065</v>
      </c>
      <c r="AR80" s="14">
        <f t="shared" si="137"/>
        <v>57068132.722083725</v>
      </c>
      <c r="AS80" s="14">
        <f t="shared" si="137"/>
        <v>58209495.376525402</v>
      </c>
      <c r="AT80" s="14">
        <f t="shared" si="137"/>
        <v>59373685.284055911</v>
      </c>
      <c r="AU80" s="14">
        <f t="shared" si="137"/>
        <v>60561158.989737034</v>
      </c>
      <c r="AV80" s="14">
        <f t="shared" si="137"/>
        <v>61772382.169531763</v>
      </c>
      <c r="AW80" s="14">
        <f t="shared" si="137"/>
        <v>63007829.812922403</v>
      </c>
      <c r="AX80" s="14">
        <f t="shared" si="137"/>
        <v>64267986.409180842</v>
      </c>
      <c r="AY80" s="14">
        <f t="shared" si="137"/>
        <v>65553346.137364469</v>
      </c>
      <c r="AZ80" s="14">
        <f t="shared" si="137"/>
        <v>66864413.060111761</v>
      </c>
      <c r="BA80" s="14">
        <f t="shared" si="137"/>
        <v>68201701.321314007</v>
      </c>
      <c r="BB80" s="14">
        <f t="shared" si="137"/>
        <v>69565735.347740263</v>
      </c>
      <c r="BC80" s="14">
        <f t="shared" si="137"/>
        <v>70957050.054695055</v>
      </c>
      <c r="BD80" s="14">
        <f t="shared" si="137"/>
        <v>72376191.055788964</v>
      </c>
      <c r="BE80" s="14">
        <f t="shared" si="137"/>
        <v>73823714.876904756</v>
      </c>
      <c r="BF80" s="14">
        <f t="shared" si="137"/>
        <v>75300189.174442858</v>
      </c>
      <c r="BG80" s="14">
        <f t="shared" si="137"/>
        <v>76806192.957931712</v>
      </c>
      <c r="BH80" s="14">
        <f t="shared" si="137"/>
        <v>78342316.817090362</v>
      </c>
      <c r="BI80" s="14">
        <f t="shared" si="137"/>
        <v>79909163.153432161</v>
      </c>
      <c r="BJ80" s="14">
        <f t="shared" si="137"/>
        <v>81507346.416500807</v>
      </c>
      <c r="BK80" s="14">
        <f t="shared" si="137"/>
        <v>83137493.344830826</v>
      </c>
      <c r="BL80" s="14">
        <f t="shared" si="137"/>
        <v>84800243.21172744</v>
      </c>
      <c r="BM80" s="14">
        <f t="shared" si="137"/>
        <v>86496248.075961992</v>
      </c>
      <c r="BN80" s="14">
        <f t="shared" si="137"/>
        <v>88226173.037481248</v>
      </c>
      <c r="BO80" s="14">
        <f t="shared" si="137"/>
        <v>89990696.49823086</v>
      </c>
      <c r="BP80" s="14">
        <f t="shared" si="137"/>
        <v>91790510.428195491</v>
      </c>
      <c r="BQ80" s="14">
        <f t="shared" si="137"/>
        <v>93626320.636759385</v>
      </c>
      <c r="BR80" s="14">
        <f t="shared" si="137"/>
        <v>95498847.049494579</v>
      </c>
      <c r="BS80" s="14">
        <f t="shared" si="137"/>
        <v>97408823.990484476</v>
      </c>
    </row>
    <row r="81" spans="3:71" x14ac:dyDescent="0.35">
      <c r="C81" s="24" t="s">
        <v>65</v>
      </c>
      <c r="D81" s="2"/>
      <c r="E81" s="14">
        <f>E65</f>
        <v>-9541896</v>
      </c>
      <c r="F81" s="14">
        <f>F65</f>
        <v>-9732733.9199999999</v>
      </c>
      <c r="G81" s="14">
        <f>AVERAGE(E65:F65)</f>
        <v>-9637314.9600000009</v>
      </c>
      <c r="H81" s="14">
        <f>AVERAGE(E65:G65)</f>
        <v>-9734006.1728000008</v>
      </c>
      <c r="I81" s="14">
        <f>AVERAGE(E65:H65)</f>
        <v>-9831988.7221920006</v>
      </c>
      <c r="J81" s="14">
        <f t="shared" ref="J81:AO81" si="138">AVERAGE(E65:I65)</f>
        <v>-9931281.9973086733</v>
      </c>
      <c r="K81" s="14">
        <f t="shared" si="138"/>
        <v>-10129907.637254845</v>
      </c>
      <c r="L81" s="14">
        <f t="shared" si="138"/>
        <v>-10332505.789999943</v>
      </c>
      <c r="M81" s="14">
        <f t="shared" si="138"/>
        <v>-10539155.90579994</v>
      </c>
      <c r="N81" s="14">
        <f t="shared" si="138"/>
        <v>-10749939.023915941</v>
      </c>
      <c r="O81" s="14">
        <f t="shared" si="138"/>
        <v>-10964937.804394256</v>
      </c>
      <c r="P81" s="14">
        <f t="shared" si="138"/>
        <v>-11184236.560482144</v>
      </c>
      <c r="Q81" s="14">
        <f t="shared" si="138"/>
        <v>-11407921.291691786</v>
      </c>
      <c r="R81" s="14">
        <f t="shared" si="138"/>
        <v>-11636079.717525622</v>
      </c>
      <c r="S81" s="14">
        <f t="shared" si="138"/>
        <v>-11868801.311876133</v>
      </c>
      <c r="T81" s="14">
        <f t="shared" si="138"/>
        <v>-12106177.338113654</v>
      </c>
      <c r="U81" s="14">
        <f t="shared" si="138"/>
        <v>-12348300.884875929</v>
      </c>
      <c r="V81" s="14">
        <f t="shared" si="138"/>
        <v>-12595266.902573448</v>
      </c>
      <c r="W81" s="14">
        <f t="shared" si="138"/>
        <v>-12847172.240624916</v>
      </c>
      <c r="X81" s="14">
        <f t="shared" si="138"/>
        <v>-13104115.685437415</v>
      </c>
      <c r="Y81" s="14">
        <f t="shared" si="138"/>
        <v>-13366197.999146165</v>
      </c>
      <c r="Z81" s="14">
        <f t="shared" si="138"/>
        <v>-13633521.959129089</v>
      </c>
      <c r="AA81" s="14">
        <f t="shared" si="138"/>
        <v>-13906192.398311669</v>
      </c>
      <c r="AB81" s="14">
        <f t="shared" si="138"/>
        <v>-14184316.246277904</v>
      </c>
      <c r="AC81" s="14">
        <f t="shared" si="138"/>
        <v>-14468002.571203459</v>
      </c>
      <c r="AD81" s="14">
        <f t="shared" si="138"/>
        <v>-14757362.622627527</v>
      </c>
      <c r="AE81" s="14">
        <f t="shared" si="138"/>
        <v>-15052509.875080079</v>
      </c>
      <c r="AF81" s="14">
        <f t="shared" si="138"/>
        <v>-15353560.072581679</v>
      </c>
      <c r="AG81" s="14">
        <f t="shared" si="138"/>
        <v>-15660631.274033314</v>
      </c>
      <c r="AH81" s="14">
        <f t="shared" si="138"/>
        <v>-15973843.89951398</v>
      </c>
      <c r="AI81" s="14">
        <f t="shared" si="138"/>
        <v>-16293320.77750426</v>
      </c>
      <c r="AJ81" s="14">
        <f t="shared" si="138"/>
        <v>-16619187.193054343</v>
      </c>
      <c r="AK81" s="14">
        <f t="shared" si="138"/>
        <v>-16951570.936915435</v>
      </c>
      <c r="AL81" s="14">
        <f t="shared" si="138"/>
        <v>-17290602.35565374</v>
      </c>
      <c r="AM81" s="14">
        <f t="shared" si="138"/>
        <v>-17636414.402766816</v>
      </c>
      <c r="AN81" s="14">
        <f t="shared" si="138"/>
        <v>-17989142.690822151</v>
      </c>
      <c r="AO81" s="14">
        <f t="shared" si="138"/>
        <v>-18348925.544638596</v>
      </c>
      <c r="AP81" s="14">
        <f t="shared" ref="AP81:BS81" si="139">AVERAGE(AK65:AO65)</f>
        <v>-18715904.055531364</v>
      </c>
      <c r="AQ81" s="14">
        <f t="shared" si="139"/>
        <v>-19090222.136641994</v>
      </c>
      <c r="AR81" s="14">
        <f t="shared" si="139"/>
        <v>-19472026.579374835</v>
      </c>
      <c r="AS81" s="14">
        <f t="shared" si="139"/>
        <v>-19861467.110962331</v>
      </c>
      <c r="AT81" s="14">
        <f t="shared" si="139"/>
        <v>-20258696.453181576</v>
      </c>
      <c r="AU81" s="14">
        <f t="shared" si="139"/>
        <v>-20663870.382245209</v>
      </c>
      <c r="AV81" s="14">
        <f t="shared" si="139"/>
        <v>-21077147.78989011</v>
      </c>
      <c r="AW81" s="14">
        <f t="shared" si="139"/>
        <v>-21498690.745687913</v>
      </c>
      <c r="AX81" s="14">
        <f t="shared" si="139"/>
        <v>-21928664.560601674</v>
      </c>
      <c r="AY81" s="14">
        <f t="shared" si="139"/>
        <v>-22367237.851813708</v>
      </c>
      <c r="AZ81" s="14">
        <f t="shared" si="139"/>
        <v>-22814582.60884998</v>
      </c>
      <c r="BA81" s="14">
        <f t="shared" si="139"/>
        <v>-23270874.261026978</v>
      </c>
      <c r="BB81" s="14">
        <f t="shared" si="139"/>
        <v>-23736291.746247519</v>
      </c>
      <c r="BC81" s="14">
        <f t="shared" si="139"/>
        <v>-24211017.581172466</v>
      </c>
      <c r="BD81" s="14">
        <f t="shared" si="139"/>
        <v>-24695237.932795919</v>
      </c>
      <c r="BE81" s="14">
        <f t="shared" si="139"/>
        <v>-25189142.69145184</v>
      </c>
      <c r="BF81" s="14">
        <f t="shared" si="139"/>
        <v>-25692925.54528087</v>
      </c>
      <c r="BG81" s="14">
        <f t="shared" si="139"/>
        <v>-26206784.05618649</v>
      </c>
      <c r="BH81" s="14">
        <f t="shared" si="139"/>
        <v>-26730919.73731022</v>
      </c>
      <c r="BI81" s="14">
        <f t="shared" si="139"/>
        <v>-27265538.132056423</v>
      </c>
      <c r="BJ81" s="14">
        <f t="shared" si="139"/>
        <v>-27810848.894697554</v>
      </c>
      <c r="BK81" s="14">
        <f t="shared" si="139"/>
        <v>-28367065.872591503</v>
      </c>
      <c r="BL81" s="14">
        <f t="shared" si="139"/>
        <v>-28934407.19004333</v>
      </c>
      <c r="BM81" s="14">
        <f t="shared" si="139"/>
        <v>-29513095.333844196</v>
      </c>
      <c r="BN81" s="14">
        <f t="shared" si="139"/>
        <v>-30103357.240521081</v>
      </c>
      <c r="BO81" s="14">
        <f t="shared" si="139"/>
        <v>-30705424.3853315</v>
      </c>
      <c r="BP81" s="14">
        <f t="shared" si="139"/>
        <v>-31319532.873038132</v>
      </c>
      <c r="BQ81" s="14">
        <f t="shared" si="139"/>
        <v>-31945923.5304989</v>
      </c>
      <c r="BR81" s="14">
        <f t="shared" si="139"/>
        <v>-32584842.001108874</v>
      </c>
      <c r="BS81" s="14">
        <f t="shared" si="139"/>
        <v>-33236538.84113105</v>
      </c>
    </row>
    <row r="82" spans="3:71" x14ac:dyDescent="0.35">
      <c r="C82" s="37" t="s">
        <v>53</v>
      </c>
      <c r="D82" s="37"/>
      <c r="E82" s="37"/>
      <c r="F82" s="38">
        <f t="shared" ref="F82:AK82" si="140">E70*-1</f>
        <v>-6620375.2891343292</v>
      </c>
      <c r="G82" s="38">
        <f t="shared" si="140"/>
        <v>-5343115.8822017917</v>
      </c>
      <c r="H82" s="38">
        <f t="shared" si="140"/>
        <v>-5239194.9669204541</v>
      </c>
      <c r="I82" s="38">
        <f t="shared" si="140"/>
        <v>-5636779.1216353402</v>
      </c>
      <c r="J82" s="38">
        <f t="shared" si="140"/>
        <v>-5610667.4812583756</v>
      </c>
      <c r="K82" s="38">
        <f t="shared" si="140"/>
        <v>-5537043.1483677225</v>
      </c>
      <c r="L82" s="38">
        <f t="shared" si="140"/>
        <v>-5673082.994089107</v>
      </c>
      <c r="M82" s="38">
        <f t="shared" si="140"/>
        <v>-6114729.8303547706</v>
      </c>
      <c r="N82" s="38">
        <f t="shared" si="140"/>
        <v>-6209341.8611355973</v>
      </c>
      <c r="O82" s="38">
        <f t="shared" si="140"/>
        <v>-6083571.8458418911</v>
      </c>
      <c r="P82" s="38">
        <f t="shared" si="140"/>
        <v>-6260092.0700721592</v>
      </c>
      <c r="Q82" s="38">
        <f t="shared" si="140"/>
        <v>-6439756.3928168854</v>
      </c>
      <c r="R82" s="38">
        <f t="shared" si="140"/>
        <v>-6622627.6960463561</v>
      </c>
      <c r="S82" s="38">
        <f t="shared" si="140"/>
        <v>-6808770.1193702687</v>
      </c>
      <c r="T82" s="38">
        <f t="shared" si="140"/>
        <v>-6998249.0851905122</v>
      </c>
      <c r="U82" s="38">
        <f t="shared" si="140"/>
        <v>-7191131.3243570086</v>
      </c>
      <c r="V82" s="38">
        <f t="shared" si="140"/>
        <v>-7387484.9023366868</v>
      </c>
      <c r="W82" s="38">
        <f t="shared" si="140"/>
        <v>-7587379.2459058091</v>
      </c>
      <c r="X82" s="38">
        <f t="shared" si="140"/>
        <v>-7790885.1703761639</v>
      </c>
      <c r="Y82" s="38">
        <f t="shared" si="140"/>
        <v>-7998074.9073657757</v>
      </c>
      <c r="Z82" s="38">
        <f t="shared" si="140"/>
        <v>-8209022.1331250323</v>
      </c>
      <c r="AA82" s="38">
        <f t="shared" si="140"/>
        <v>-8423801.9974293262</v>
      </c>
      <c r="AB82" s="38">
        <f t="shared" si="140"/>
        <v>-8642491.1530495565</v>
      </c>
      <c r="AC82" s="38">
        <f t="shared" si="140"/>
        <v>-8865167.7858120427</v>
      </c>
      <c r="AD82" s="38">
        <f t="shared" si="140"/>
        <v>-9091911.6452596243</v>
      </c>
      <c r="AE82" s="38">
        <f t="shared" si="140"/>
        <v>-9322804.0759260096</v>
      </c>
      <c r="AF82" s="38">
        <f t="shared" si="140"/>
        <v>-9557928.0492355786</v>
      </c>
      <c r="AG82" s="38">
        <f t="shared" si="140"/>
        <v>-9797368.1960411817</v>
      </c>
      <c r="AH82" s="38">
        <f t="shared" si="140"/>
        <v>-10041210.839812754</v>
      </c>
      <c r="AI82" s="38">
        <f t="shared" si="140"/>
        <v>-10289544.030489607</v>
      </c>
      <c r="AJ82" s="38">
        <f t="shared" si="140"/>
        <v>-10542457.579009848</v>
      </c>
      <c r="AK82" s="38">
        <f t="shared" si="140"/>
        <v>-10800043.092530342</v>
      </c>
      <c r="AL82" s="38">
        <f t="shared" ref="AL82:BS82" si="141">AK70*-1</f>
        <v>-11062394.010351095</v>
      </c>
      <c r="AM82" s="38">
        <f t="shared" si="141"/>
        <v>-11329605.640558124</v>
      </c>
      <c r="AN82" s="38">
        <f t="shared" si="141"/>
        <v>-11601775.197399134</v>
      </c>
      <c r="AO82" s="38">
        <f t="shared" si="141"/>
        <v>-11879001.83940682</v>
      </c>
      <c r="AP82" s="38">
        <f t="shared" si="141"/>
        <v>-12161386.708284505</v>
      </c>
      <c r="AQ82" s="38">
        <f t="shared" si="141"/>
        <v>-12449032.968569603</v>
      </c>
      <c r="AR82" s="38">
        <f t="shared" si="141"/>
        <v>-12742045.848090246</v>
      </c>
      <c r="AS82" s="38">
        <f t="shared" si="141"/>
        <v>-13040532.679231154</v>
      </c>
      <c r="AT82" s="38">
        <f t="shared" si="141"/>
        <v>-13344602.941024734</v>
      </c>
      <c r="AU82" s="38">
        <f t="shared" si="141"/>
        <v>-13654368.302084034</v>
      </c>
      <c r="AV82" s="38">
        <f t="shared" si="141"/>
        <v>-13969942.664394369</v>
      </c>
      <c r="AW82" s="38">
        <f t="shared" si="141"/>
        <v>-14291442.207980769</v>
      </c>
      <c r="AX82" s="38">
        <f t="shared" si="141"/>
        <v>-14618985.436468739</v>
      </c>
      <c r="AY82" s="38">
        <f t="shared" si="141"/>
        <v>-14952693.223556327</v>
      </c>
      <c r="AZ82" s="38">
        <f t="shared" si="141"/>
        <v>-15292688.860415507</v>
      </c>
      <c r="BA82" s="38">
        <f t="shared" si="141"/>
        <v>-15639098.104041727</v>
      </c>
      <c r="BB82" s="38">
        <f t="shared" si="141"/>
        <v>-15992049.226570323</v>
      </c>
      <c r="BC82" s="38">
        <f t="shared" si="141"/>
        <v>-16351673.065579342</v>
      </c>
      <c r="BD82" s="38">
        <f t="shared" si="141"/>
        <v>-16718103.075398399</v>
      </c>
      <c r="BE82" s="38">
        <f t="shared" si="141"/>
        <v>-17091475.379443675</v>
      </c>
      <c r="BF82" s="38">
        <f t="shared" si="141"/>
        <v>-17471928.823599715</v>
      </c>
      <c r="BG82" s="38">
        <f t="shared" si="141"/>
        <v>-17859605.030668732</v>
      </c>
      <c r="BH82" s="38">
        <f t="shared" si="141"/>
        <v>-18254648.455908969</v>
      </c>
      <c r="BI82" s="38">
        <f t="shared" si="141"/>
        <v>-18657206.443683866</v>
      </c>
      <c r="BJ82" s="38">
        <f t="shared" si="141"/>
        <v>-19067429.285244111</v>
      </c>
      <c r="BK82" s="38">
        <f t="shared" si="141"/>
        <v>-19485470.277665414</v>
      </c>
      <c r="BL82" s="38">
        <f t="shared" si="141"/>
        <v>-19911485.783964992</v>
      </c>
      <c r="BM82" s="38">
        <f t="shared" si="141"/>
        <v>-20345635.29442041</v>
      </c>
      <c r="BN82" s="38">
        <f t="shared" si="141"/>
        <v>-20788081.489114787</v>
      </c>
      <c r="BO82" s="38">
        <f t="shared" si="141"/>
        <v>-21238990.301732905</v>
      </c>
      <c r="BP82" s="38">
        <f t="shared" si="141"/>
        <v>-21698530.984633237</v>
      </c>
      <c r="BQ82" s="38">
        <f t="shared" si="141"/>
        <v>-22166876.175221421</v>
      </c>
      <c r="BR82" s="38">
        <f t="shared" si="141"/>
        <v>-22644201.963651225</v>
      </c>
      <c r="BS82" s="38">
        <f t="shared" si="141"/>
        <v>-23130687.961879477</v>
      </c>
    </row>
    <row r="83" spans="3:71" x14ac:dyDescent="0.35">
      <c r="C83" s="24" t="s">
        <v>77</v>
      </c>
      <c r="D83" s="2"/>
      <c r="E83" s="14">
        <f>SUM(E80:E82)</f>
        <v>24008088</v>
      </c>
      <c r="F83" s="14">
        <f>SUM(F80:F82)</f>
        <v>13755850.790865669</v>
      </c>
      <c r="G83" s="14">
        <f t="shared" ref="G83:M83" si="142">SUM(G80:G82)</f>
        <v>16849041.157798208</v>
      </c>
      <c r="H83" s="14">
        <f t="shared" si="142"/>
        <v>16232585.260279547</v>
      </c>
      <c r="I83" s="14">
        <f>SUM(I80:I82)</f>
        <v>15739706.856172659</v>
      </c>
      <c r="J83" s="14">
        <f>SUM(J80:J82)</f>
        <v>15683192.681432957</v>
      </c>
      <c r="K83" s="14">
        <f t="shared" si="142"/>
        <v>15095803.774377435</v>
      </c>
      <c r="L83" s="14">
        <f t="shared" si="142"/>
        <v>15090514.97591095</v>
      </c>
      <c r="M83" s="14">
        <f t="shared" si="142"/>
        <v>15085259.383845286</v>
      </c>
      <c r="N83" s="14">
        <f>SUM(N80:N82)</f>
        <v>15257306.314948458</v>
      </c>
      <c r="O83" s="14">
        <f>SUM(O80:O82)</f>
        <v>15593904.26976385</v>
      </c>
      <c r="P83" s="14">
        <f>SUM(P80:P82)</f>
        <v>15768348.991845693</v>
      </c>
      <c r="Q83" s="14">
        <f t="shared" ref="Q83:BS83" si="143">SUM(Q80:Q82)</f>
        <v>15964089.098339319</v>
      </c>
      <c r="R83" s="14">
        <f t="shared" si="143"/>
        <v>16011649.93693297</v>
      </c>
      <c r="S83" s="14">
        <f t="shared" si="143"/>
        <v>16107217.186268648</v>
      </c>
      <c r="T83" s="14">
        <f t="shared" si="143"/>
        <v>16376057.966561187</v>
      </c>
      <c r="U83" s="14">
        <f t="shared" si="143"/>
        <v>16650661.868429722</v>
      </c>
      <c r="V83" s="14">
        <f t="shared" si="143"/>
        <v>16931144.154305782</v>
      </c>
      <c r="W83" s="14">
        <f t="shared" si="143"/>
        <v>17217622.391869511</v>
      </c>
      <c r="X83" s="14">
        <f t="shared" si="143"/>
        <v>17510216.500154667</v>
      </c>
      <c r="Y83" s="14">
        <f t="shared" si="143"/>
        <v>17809048.796575665</v>
      </c>
      <c r="Z83" s="14">
        <f t="shared" si="143"/>
        <v>18114244.044895235</v>
      </c>
      <c r="AA83" s="14">
        <f t="shared" si="143"/>
        <v>18425929.504151352</v>
      </c>
      <c r="AB83" s="14">
        <f t="shared" si="143"/>
        <v>18744234.978562728</v>
      </c>
      <c r="AC83" s="14">
        <f t="shared" si="143"/>
        <v>19069292.868432496</v>
      </c>
      <c r="AD83" s="14">
        <f t="shared" si="143"/>
        <v>19401238.222069807</v>
      </c>
      <c r="AE83" s="14">
        <f t="shared" si="143"/>
        <v>19740208.788750011</v>
      </c>
      <c r="AF83" s="14">
        <f t="shared" si="143"/>
        <v>20086345.072733972</v>
      </c>
      <c r="AG83" s="14">
        <f t="shared" si="143"/>
        <v>20439790.38836775</v>
      </c>
      <c r="AH83" s="14">
        <f t="shared" si="143"/>
        <v>20800690.91628436</v>
      </c>
      <c r="AI83" s="14">
        <f t="shared" si="143"/>
        <v>21169195.760729462</v>
      </c>
      <c r="AJ83" s="14">
        <f t="shared" si="143"/>
        <v>21545457.008033603</v>
      </c>
      <c r="AK83" s="14">
        <f t="shared" si="143"/>
        <v>21929629.786253966</v>
      </c>
      <c r="AL83" s="14">
        <f t="shared" si="143"/>
        <v>22321872.326008905</v>
      </c>
      <c r="AM83" s="14">
        <f t="shared" si="143"/>
        <v>22722346.022529073</v>
      </c>
      <c r="AN83" s="14">
        <f t="shared" si="143"/>
        <v>23131215.498949818</v>
      </c>
      <c r="AO83" s="14">
        <f t="shared" si="143"/>
        <v>23548648.670869105</v>
      </c>
      <c r="AP83" s="14">
        <f t="shared" si="143"/>
        <v>23974816.812196948</v>
      </c>
      <c r="AQ83" s="14">
        <f t="shared" si="143"/>
        <v>24409894.622321468</v>
      </c>
      <c r="AR83" s="14">
        <f t="shared" si="143"/>
        <v>24854060.294618644</v>
      </c>
      <c r="AS83" s="14">
        <f t="shared" si="143"/>
        <v>25307495.586331919</v>
      </c>
      <c r="AT83" s="14">
        <f t="shared" si="143"/>
        <v>25770385.889849603</v>
      </c>
      <c r="AU83" s="14">
        <f t="shared" si="143"/>
        <v>26242920.305407785</v>
      </c>
      <c r="AV83" s="14">
        <f t="shared" si="143"/>
        <v>26725291.715247281</v>
      </c>
      <c r="AW83" s="14">
        <f t="shared" si="143"/>
        <v>27217696.859253719</v>
      </c>
      <c r="AX83" s="14">
        <f t="shared" si="143"/>
        <v>27720336.412110429</v>
      </c>
      <c r="AY83" s="14">
        <f t="shared" si="143"/>
        <v>28233415.061994433</v>
      </c>
      <c r="AZ83" s="14">
        <f t="shared" si="143"/>
        <v>28757141.590846274</v>
      </c>
      <c r="BA83" s="14">
        <f t="shared" si="143"/>
        <v>29291728.956245303</v>
      </c>
      <c r="BB83" s="14">
        <f t="shared" si="143"/>
        <v>29837394.374922425</v>
      </c>
      <c r="BC83" s="14">
        <f t="shared" si="143"/>
        <v>30394359.407943249</v>
      </c>
      <c r="BD83" s="14">
        <f t="shared" si="143"/>
        <v>30962850.047594644</v>
      </c>
      <c r="BE83" s="14">
        <f t="shared" si="143"/>
        <v>31543096.80600924</v>
      </c>
      <c r="BF83" s="14">
        <f t="shared" si="143"/>
        <v>32135334.805562269</v>
      </c>
      <c r="BG83" s="14">
        <f t="shared" si="143"/>
        <v>32739803.871076491</v>
      </c>
      <c r="BH83" s="14">
        <f t="shared" si="143"/>
        <v>33356748.623871177</v>
      </c>
      <c r="BI83" s="14">
        <f t="shared" si="143"/>
        <v>33986418.577691868</v>
      </c>
      <c r="BJ83" s="14">
        <f t="shared" si="143"/>
        <v>34629068.236559138</v>
      </c>
      <c r="BK83" s="14">
        <f t="shared" si="143"/>
        <v>35284957.194573909</v>
      </c>
      <c r="BL83" s="14">
        <f t="shared" si="143"/>
        <v>35954350.237719119</v>
      </c>
      <c r="BM83" s="14">
        <f t="shared" si="143"/>
        <v>36637517.447697386</v>
      </c>
      <c r="BN83" s="14">
        <f t="shared" si="143"/>
        <v>37334734.307845384</v>
      </c>
      <c r="BO83" s="14">
        <f t="shared" si="143"/>
        <v>38046281.811166458</v>
      </c>
      <c r="BP83" s="14">
        <f t="shared" si="143"/>
        <v>38772446.570524126</v>
      </c>
      <c r="BQ83" s="14">
        <f t="shared" si="143"/>
        <v>39513520.931039065</v>
      </c>
      <c r="BR83" s="14">
        <f t="shared" si="143"/>
        <v>40269803.084734485</v>
      </c>
      <c r="BS83" s="14">
        <f t="shared" si="143"/>
        <v>41041597.187473953</v>
      </c>
    </row>
    <row r="84" spans="3:71" x14ac:dyDescent="0.35">
      <c r="C84" s="15" t="s">
        <v>127</v>
      </c>
      <c r="D84" s="2"/>
      <c r="E84" s="14">
        <f>E83/kaprente</f>
        <v>533513066.66666669</v>
      </c>
      <c r="F84" s="14">
        <f>F83/kaprente</f>
        <v>305685573.13034821</v>
      </c>
      <c r="G84" s="14">
        <f t="shared" ref="G84:M84" si="144">G83/kaprente</f>
        <v>374423136.83996022</v>
      </c>
      <c r="H84" s="14">
        <f t="shared" si="144"/>
        <v>360724116.89510107</v>
      </c>
      <c r="I84" s="14">
        <f t="shared" si="144"/>
        <v>349771263.47050351</v>
      </c>
      <c r="J84" s="14">
        <f>J83/kaprente</f>
        <v>348515392.92073238</v>
      </c>
      <c r="K84" s="14">
        <f t="shared" si="144"/>
        <v>335462306.09727633</v>
      </c>
      <c r="L84" s="14">
        <f t="shared" si="144"/>
        <v>335344777.24246556</v>
      </c>
      <c r="M84" s="14">
        <f t="shared" si="144"/>
        <v>335227986.30767304</v>
      </c>
      <c r="N84" s="14">
        <f t="shared" ref="N84:AS84" si="145">N83/kaprente</f>
        <v>339051251.44329906</v>
      </c>
      <c r="O84" s="14">
        <f t="shared" si="145"/>
        <v>346531205.99475223</v>
      </c>
      <c r="P84" s="14">
        <f t="shared" si="145"/>
        <v>350407755.37434876</v>
      </c>
      <c r="Q84" s="14">
        <f t="shared" si="145"/>
        <v>354757535.51865155</v>
      </c>
      <c r="R84" s="14">
        <f t="shared" si="145"/>
        <v>355814443.04295492</v>
      </c>
      <c r="S84" s="14">
        <f t="shared" si="145"/>
        <v>357938159.69485885</v>
      </c>
      <c r="T84" s="14">
        <f t="shared" si="145"/>
        <v>363912399.25691527</v>
      </c>
      <c r="U84" s="14">
        <f t="shared" si="145"/>
        <v>370014708.18732715</v>
      </c>
      <c r="V84" s="14">
        <f t="shared" si="145"/>
        <v>376247647.87346184</v>
      </c>
      <c r="W84" s="14">
        <f t="shared" si="145"/>
        <v>382613830.93043363</v>
      </c>
      <c r="X84" s="14">
        <f t="shared" si="145"/>
        <v>389115922.22565925</v>
      </c>
      <c r="Y84" s="14">
        <f t="shared" si="145"/>
        <v>395756639.9239037</v>
      </c>
      <c r="Z84" s="14">
        <f t="shared" si="145"/>
        <v>402538756.55322748</v>
      </c>
      <c r="AA84" s="14">
        <f t="shared" si="145"/>
        <v>409465100.09225225</v>
      </c>
      <c r="AB84" s="14">
        <f t="shared" si="145"/>
        <v>416538555.07917172</v>
      </c>
      <c r="AC84" s="14">
        <f t="shared" si="145"/>
        <v>423762063.74294436</v>
      </c>
      <c r="AD84" s="14">
        <f t="shared" si="145"/>
        <v>431138627.15710682</v>
      </c>
      <c r="AE84" s="14">
        <f t="shared" si="145"/>
        <v>438671306.41666692</v>
      </c>
      <c r="AF84" s="14">
        <f t="shared" si="145"/>
        <v>446363223.83853275</v>
      </c>
      <c r="AG84" s="14">
        <f t="shared" si="145"/>
        <v>454217564.18595004</v>
      </c>
      <c r="AH84" s="14">
        <f t="shared" si="145"/>
        <v>462237575.91743022</v>
      </c>
      <c r="AI84" s="14">
        <f t="shared" si="145"/>
        <v>470426572.46065474</v>
      </c>
      <c r="AJ84" s="14">
        <f t="shared" si="145"/>
        <v>478787933.51185787</v>
      </c>
      <c r="AK84" s="14">
        <f t="shared" si="145"/>
        <v>487325106.36119926</v>
      </c>
      <c r="AL84" s="14">
        <f t="shared" si="145"/>
        <v>496041607.24464232</v>
      </c>
      <c r="AM84" s="14">
        <f t="shared" si="145"/>
        <v>504941022.72286832</v>
      </c>
      <c r="AN84" s="14">
        <f t="shared" si="145"/>
        <v>514027011.08777374</v>
      </c>
      <c r="AO84" s="14">
        <f t="shared" si="145"/>
        <v>523303303.79709125</v>
      </c>
      <c r="AP84" s="14">
        <f t="shared" si="145"/>
        <v>532773706.93770999</v>
      </c>
      <c r="AQ84" s="14">
        <f t="shared" si="145"/>
        <v>542442102.7182548</v>
      </c>
      <c r="AR84" s="14">
        <f t="shared" si="145"/>
        <v>552312450.99152541</v>
      </c>
      <c r="AS84" s="14">
        <f t="shared" si="145"/>
        <v>562388790.80737603</v>
      </c>
      <c r="AT84" s="14">
        <f t="shared" ref="AT84:BS84" si="146">AT83/kaprente</f>
        <v>572675241.99665785</v>
      </c>
      <c r="AU84" s="14">
        <f t="shared" si="146"/>
        <v>583176006.78683972</v>
      </c>
      <c r="AV84" s="14">
        <f t="shared" si="146"/>
        <v>593895371.44993961</v>
      </c>
      <c r="AW84" s="14">
        <f t="shared" si="146"/>
        <v>604837707.98341596</v>
      </c>
      <c r="AX84" s="14">
        <f t="shared" si="146"/>
        <v>616007475.82467628</v>
      </c>
      <c r="AY84" s="14">
        <f t="shared" si="146"/>
        <v>627409223.59987628</v>
      </c>
      <c r="AZ84" s="14">
        <f t="shared" si="146"/>
        <v>639047590.90769506</v>
      </c>
      <c r="BA84" s="14">
        <f t="shared" si="146"/>
        <v>650927310.13878453</v>
      </c>
      <c r="BB84" s="14">
        <f t="shared" si="146"/>
        <v>663053208.33160949</v>
      </c>
      <c r="BC84" s="14">
        <f t="shared" si="146"/>
        <v>675430209.06540561</v>
      </c>
      <c r="BD84" s="14">
        <f t="shared" si="146"/>
        <v>688063334.39099216</v>
      </c>
      <c r="BE84" s="14">
        <f t="shared" si="146"/>
        <v>700957706.80020535</v>
      </c>
      <c r="BF84" s="14">
        <f t="shared" si="146"/>
        <v>714118551.23471713</v>
      </c>
      <c r="BG84" s="14">
        <f t="shared" si="146"/>
        <v>727551197.13503313</v>
      </c>
      <c r="BH84" s="14">
        <f t="shared" si="146"/>
        <v>741261080.53047061</v>
      </c>
      <c r="BI84" s="14">
        <f t="shared" si="146"/>
        <v>755253746.17093039</v>
      </c>
      <c r="BJ84" s="14">
        <f t="shared" si="146"/>
        <v>769534849.70131421</v>
      </c>
      <c r="BK84" s="14">
        <f t="shared" si="146"/>
        <v>784110159.87942028</v>
      </c>
      <c r="BL84" s="14">
        <f t="shared" si="146"/>
        <v>798985560.83820271</v>
      </c>
      <c r="BM84" s="14">
        <f t="shared" si="146"/>
        <v>814167054.39327526</v>
      </c>
      <c r="BN84" s="14">
        <f t="shared" si="146"/>
        <v>829660762.39656413</v>
      </c>
      <c r="BO84" s="14">
        <f t="shared" si="146"/>
        <v>845472929.13703239</v>
      </c>
      <c r="BP84" s="14">
        <f t="shared" si="146"/>
        <v>861609923.78942502</v>
      </c>
      <c r="BQ84" s="14">
        <f t="shared" si="146"/>
        <v>878078242.9119792</v>
      </c>
      <c r="BR84" s="14">
        <f t="shared" si="146"/>
        <v>894884512.99409974</v>
      </c>
      <c r="BS84" s="14">
        <f t="shared" si="146"/>
        <v>912035493.05497682</v>
      </c>
    </row>
    <row r="85" spans="3:71" x14ac:dyDescent="0.35">
      <c r="C85" s="15" t="s">
        <v>128</v>
      </c>
      <c r="D85" s="2"/>
      <c r="E85" s="14">
        <f t="shared" ref="E85:AJ85" si="147">(E74*((1+kaprente)^(E79))/(((1+kaprente)^(67))-1))</f>
        <v>-107777.52398327847</v>
      </c>
      <c r="F85" s="14">
        <f t="shared" si="147"/>
        <v>-112627.51256252598</v>
      </c>
      <c r="G85" s="14">
        <f t="shared" si="147"/>
        <v>-117695.75062783965</v>
      </c>
      <c r="H85" s="14">
        <f t="shared" si="147"/>
        <v>-122992.05940609242</v>
      </c>
      <c r="I85" s="14">
        <f t="shared" si="147"/>
        <v>-128526.70207936657</v>
      </c>
      <c r="J85" s="14">
        <f t="shared" si="147"/>
        <v>-134310.40367293803</v>
      </c>
      <c r="K85" s="14">
        <f t="shared" si="147"/>
        <v>-140354.37183822025</v>
      </c>
      <c r="L85" s="14">
        <f t="shared" si="147"/>
        <v>-146670.31857094012</v>
      </c>
      <c r="M85" s="14">
        <f t="shared" si="147"/>
        <v>-153270.48290663242</v>
      </c>
      <c r="N85" s="14">
        <f t="shared" si="147"/>
        <v>-160167.65463743082</v>
      </c>
      <c r="O85" s="14">
        <f t="shared" si="147"/>
        <v>-167375.19909611522</v>
      </c>
      <c r="P85" s="14">
        <f t="shared" si="147"/>
        <v>-174907.08305544037</v>
      </c>
      <c r="Q85" s="14">
        <f t="shared" si="147"/>
        <v>-182777.90179293518</v>
      </c>
      <c r="R85" s="14">
        <f t="shared" si="147"/>
        <v>-191002.90737361723</v>
      </c>
      <c r="S85" s="14">
        <f t="shared" si="147"/>
        <v>-199598.03820543003</v>
      </c>
      <c r="T85" s="14">
        <f t="shared" si="147"/>
        <v>-208579.94992467429</v>
      </c>
      <c r="U85" s="14">
        <f t="shared" si="147"/>
        <v>-217966.04767128464</v>
      </c>
      <c r="V85" s="14">
        <f t="shared" si="147"/>
        <v>-227774.51981649239</v>
      </c>
      <c r="W85" s="14">
        <f t="shared" si="147"/>
        <v>-238024.37320823455</v>
      </c>
      <c r="X85" s="14">
        <f t="shared" si="147"/>
        <v>-248735.47000260506</v>
      </c>
      <c r="Y85" s="14">
        <f t="shared" si="147"/>
        <v>-259928.56615272231</v>
      </c>
      <c r="Z85" s="14">
        <f t="shared" si="147"/>
        <v>-271625.35162959469</v>
      </c>
      <c r="AA85" s="14">
        <f t="shared" si="147"/>
        <v>-283848.49245292653</v>
      </c>
      <c r="AB85" s="14">
        <f t="shared" si="147"/>
        <v>-296621.6746133081</v>
      </c>
      <c r="AC85" s="14">
        <f t="shared" si="147"/>
        <v>-309969.64997090696</v>
      </c>
      <c r="AD85" s="14">
        <f t="shared" si="147"/>
        <v>-323918.2842195977</v>
      </c>
      <c r="AE85" s="14">
        <f t="shared" si="147"/>
        <v>-338494.6070094796</v>
      </c>
      <c r="AF85" s="14">
        <f t="shared" si="147"/>
        <v>-353726.86432490608</v>
      </c>
      <c r="AG85" s="14">
        <f t="shared" si="147"/>
        <v>-369644.57321952691</v>
      </c>
      <c r="AH85" s="14">
        <f t="shared" si="147"/>
        <v>-386278.57901440549</v>
      </c>
      <c r="AI85" s="14">
        <f t="shared" si="147"/>
        <v>-403661.11507005384</v>
      </c>
      <c r="AJ85" s="14">
        <f t="shared" si="147"/>
        <v>-421825.86524820601</v>
      </c>
      <c r="AK85" s="14">
        <f t="shared" ref="AK85:BS85" si="148">(AK74*((1+kaprente)^(AK79))/(((1+kaprente)^(67))-1))</f>
        <v>-440808.02918437519</v>
      </c>
      <c r="AL85" s="14">
        <f t="shared" si="148"/>
        <v>-460644.39049767208</v>
      </c>
      <c r="AM85" s="14">
        <f t="shared" si="148"/>
        <v>-481373.38807006727</v>
      </c>
      <c r="AN85" s="14">
        <f t="shared" si="148"/>
        <v>-503035.19053322024</v>
      </c>
      <c r="AO85" s="14">
        <f t="shared" si="148"/>
        <v>-525671.77410721511</v>
      </c>
      <c r="AP85" s="14">
        <f t="shared" si="148"/>
        <v>-549327.00394203968</v>
      </c>
      <c r="AQ85" s="14">
        <f t="shared" si="148"/>
        <v>-574046.71911943145</v>
      </c>
      <c r="AR85" s="14">
        <f t="shared" si="148"/>
        <v>-599878.82147980575</v>
      </c>
      <c r="AS85" s="14">
        <f t="shared" si="148"/>
        <v>-626873.36844639701</v>
      </c>
      <c r="AT85" s="14">
        <f t="shared" si="148"/>
        <v>-655082.67002648464</v>
      </c>
      <c r="AU85" s="14">
        <f t="shared" si="148"/>
        <v>-684561.39017767645</v>
      </c>
      <c r="AV85" s="14">
        <f t="shared" si="148"/>
        <v>-715366.65273567184</v>
      </c>
      <c r="AW85" s="14">
        <f t="shared" si="148"/>
        <v>-747558.15210877708</v>
      </c>
      <c r="AX85" s="14">
        <f t="shared" si="148"/>
        <v>-781198.26895367191</v>
      </c>
      <c r="AY85" s="14">
        <f t="shared" si="148"/>
        <v>-816352.19105658727</v>
      </c>
      <c r="AZ85" s="14">
        <f t="shared" si="148"/>
        <v>-853088.03965413326</v>
      </c>
      <c r="BA85" s="14">
        <f t="shared" si="148"/>
        <v>-891477.00143856928</v>
      </c>
      <c r="BB85" s="14">
        <f t="shared" si="148"/>
        <v>-931593.46650330466</v>
      </c>
      <c r="BC85" s="14">
        <f t="shared" si="148"/>
        <v>-973515.17249595327</v>
      </c>
      <c r="BD85" s="14">
        <f t="shared" si="148"/>
        <v>-1017323.3552582711</v>
      </c>
      <c r="BE85" s="14">
        <f t="shared" si="148"/>
        <v>-1063102.9062448933</v>
      </c>
      <c r="BF85" s="14">
        <f t="shared" si="148"/>
        <v>-1110942.5370259131</v>
      </c>
      <c r="BG85" s="14">
        <f t="shared" si="148"/>
        <v>-1160934.9511920793</v>
      </c>
      <c r="BH85" s="14">
        <f t="shared" si="148"/>
        <v>-1213177.0239957226</v>
      </c>
      <c r="BI85" s="14">
        <f t="shared" si="148"/>
        <v>-1267769.99007553</v>
      </c>
      <c r="BJ85" s="14">
        <f t="shared" si="148"/>
        <v>-1324819.6396289284</v>
      </c>
      <c r="BK85" s="14">
        <f t="shared" si="148"/>
        <v>-1384436.5234122302</v>
      </c>
      <c r="BL85" s="14">
        <f t="shared" si="148"/>
        <v>-1446736.1669657805</v>
      </c>
      <c r="BM85" s="14">
        <f t="shared" si="148"/>
        <v>-1511839.2944792409</v>
      </c>
      <c r="BN85" s="14">
        <f t="shared" si="148"/>
        <v>-1579872.0627308059</v>
      </c>
      <c r="BO85" s="14">
        <f t="shared" si="148"/>
        <v>-1650966.3055536924</v>
      </c>
      <c r="BP85" s="14">
        <f t="shared" si="148"/>
        <v>-1725259.7893036075</v>
      </c>
      <c r="BQ85" s="14">
        <f t="shared" si="148"/>
        <v>-1802896.4798222701</v>
      </c>
      <c r="BR85" s="14">
        <f t="shared" si="148"/>
        <v>-1884026.8214142718</v>
      </c>
      <c r="BS85" s="14">
        <f t="shared" si="148"/>
        <v>-1968808.0283779139</v>
      </c>
    </row>
    <row r="86" spans="3:71" x14ac:dyDescent="0.35">
      <c r="C86" s="15" t="s">
        <v>129</v>
      </c>
      <c r="D86" s="2"/>
      <c r="E86" s="14">
        <f>SUM(E84:E85)</f>
        <v>533405289.14268339</v>
      </c>
      <c r="F86" s="14">
        <f t="shared" ref="F86:BQ86" si="149">SUM(F84:F85)</f>
        <v>305572945.61778569</v>
      </c>
      <c r="G86" s="14">
        <f t="shared" si="149"/>
        <v>374305441.0893324</v>
      </c>
      <c r="H86" s="14">
        <f t="shared" si="149"/>
        <v>360601124.83569497</v>
      </c>
      <c r="I86" s="14">
        <f t="shared" si="149"/>
        <v>349642736.76842415</v>
      </c>
      <c r="J86" s="14">
        <f t="shared" si="149"/>
        <v>348381082.51705945</v>
      </c>
      <c r="K86" s="14">
        <f t="shared" si="149"/>
        <v>335321951.72543812</v>
      </c>
      <c r="L86" s="14">
        <f t="shared" si="149"/>
        <v>335198106.92389464</v>
      </c>
      <c r="M86" s="14">
        <f t="shared" si="149"/>
        <v>335074715.8247664</v>
      </c>
      <c r="N86" s="14">
        <f t="shared" si="149"/>
        <v>338891083.7886616</v>
      </c>
      <c r="O86" s="14">
        <f t="shared" si="149"/>
        <v>346363830.79565609</v>
      </c>
      <c r="P86" s="14">
        <f t="shared" si="149"/>
        <v>350232848.29129332</v>
      </c>
      <c r="Q86" s="14">
        <f t="shared" si="149"/>
        <v>354574757.6168586</v>
      </c>
      <c r="R86" s="14">
        <f t="shared" si="149"/>
        <v>355623440.13558131</v>
      </c>
      <c r="S86" s="14">
        <f t="shared" si="149"/>
        <v>357738561.6566534</v>
      </c>
      <c r="T86" s="14">
        <f t="shared" si="149"/>
        <v>363703819.30699062</v>
      </c>
      <c r="U86" s="14">
        <f t="shared" si="149"/>
        <v>369796742.13965589</v>
      </c>
      <c r="V86" s="14">
        <f t="shared" si="149"/>
        <v>376019873.35364532</v>
      </c>
      <c r="W86" s="14">
        <f t="shared" si="149"/>
        <v>382375806.55722541</v>
      </c>
      <c r="X86" s="14">
        <f t="shared" si="149"/>
        <v>388867186.75565666</v>
      </c>
      <c r="Y86" s="14">
        <f t="shared" si="149"/>
        <v>395496711.35775095</v>
      </c>
      <c r="Z86" s="14">
        <f t="shared" si="149"/>
        <v>402267131.20159787</v>
      </c>
      <c r="AA86" s="14">
        <f t="shared" si="149"/>
        <v>409181251.59979934</v>
      </c>
      <c r="AB86" s="14">
        <f t="shared" si="149"/>
        <v>416241933.40455842</v>
      </c>
      <c r="AC86" s="14">
        <f t="shared" si="149"/>
        <v>423452094.09297347</v>
      </c>
      <c r="AD86" s="14">
        <f t="shared" si="149"/>
        <v>430814708.87288719</v>
      </c>
      <c r="AE86" s="14">
        <f t="shared" si="149"/>
        <v>438332811.80965745</v>
      </c>
      <c r="AF86" s="14">
        <f t="shared" si="149"/>
        <v>446009496.97420782</v>
      </c>
      <c r="AG86" s="14">
        <f t="shared" si="149"/>
        <v>453847919.6127305</v>
      </c>
      <c r="AH86" s="14">
        <f t="shared" si="149"/>
        <v>461851297.3384158</v>
      </c>
      <c r="AI86" s="14">
        <f t="shared" si="149"/>
        <v>470022911.34558469</v>
      </c>
      <c r="AJ86" s="14">
        <f t="shared" si="149"/>
        <v>478366107.64660966</v>
      </c>
      <c r="AK86" s="14">
        <f t="shared" si="149"/>
        <v>486884298.33201486</v>
      </c>
      <c r="AL86" s="14">
        <f t="shared" si="149"/>
        <v>495580962.85414463</v>
      </c>
      <c r="AM86" s="14">
        <f t="shared" si="149"/>
        <v>504459649.33479828</v>
      </c>
      <c r="AN86" s="14">
        <f t="shared" si="149"/>
        <v>513523975.89724052</v>
      </c>
      <c r="AO86" s="14">
        <f t="shared" si="149"/>
        <v>522777632.02298403</v>
      </c>
      <c r="AP86" s="14">
        <f t="shared" si="149"/>
        <v>532224379.93376797</v>
      </c>
      <c r="AQ86" s="14">
        <f t="shared" si="149"/>
        <v>541868055.99913538</v>
      </c>
      <c r="AR86" s="14">
        <f t="shared" si="149"/>
        <v>551712572.17004561</v>
      </c>
      <c r="AS86" s="14">
        <f t="shared" si="149"/>
        <v>561761917.43892968</v>
      </c>
      <c r="AT86" s="14">
        <f t="shared" si="149"/>
        <v>572020159.32663131</v>
      </c>
      <c r="AU86" s="14">
        <f t="shared" si="149"/>
        <v>582491445.396662</v>
      </c>
      <c r="AV86" s="14">
        <f t="shared" si="149"/>
        <v>593180004.7972039</v>
      </c>
      <c r="AW86" s="14">
        <f t="shared" si="149"/>
        <v>604090149.83130717</v>
      </c>
      <c r="AX86" s="14">
        <f t="shared" si="149"/>
        <v>615226277.55572259</v>
      </c>
      <c r="AY86" s="14">
        <f t="shared" si="149"/>
        <v>626592871.40881968</v>
      </c>
      <c r="AZ86" s="14">
        <f t="shared" si="149"/>
        <v>638194502.86804092</v>
      </c>
      <c r="BA86" s="14">
        <f t="shared" si="149"/>
        <v>650035833.13734591</v>
      </c>
      <c r="BB86" s="14">
        <f t="shared" si="149"/>
        <v>662121614.86510623</v>
      </c>
      <c r="BC86" s="14">
        <f t="shared" si="149"/>
        <v>674456693.89290965</v>
      </c>
      <c r="BD86" s="14">
        <f t="shared" si="149"/>
        <v>687046011.03573394</v>
      </c>
      <c r="BE86" s="14">
        <f t="shared" si="149"/>
        <v>699894603.89396048</v>
      </c>
      <c r="BF86" s="14">
        <f t="shared" si="149"/>
        <v>713007608.6976912</v>
      </c>
      <c r="BG86" s="14">
        <f t="shared" si="149"/>
        <v>726390262.18384111</v>
      </c>
      <c r="BH86" s="14">
        <f t="shared" si="149"/>
        <v>740047903.50647485</v>
      </c>
      <c r="BI86" s="14">
        <f t="shared" si="149"/>
        <v>753985976.1808548</v>
      </c>
      <c r="BJ86" s="14">
        <f t="shared" si="149"/>
        <v>768210030.06168532</v>
      </c>
      <c r="BK86" s="14">
        <f t="shared" si="149"/>
        <v>782725723.35600805</v>
      </c>
      <c r="BL86" s="14">
        <f t="shared" si="149"/>
        <v>797538824.67123699</v>
      </c>
      <c r="BM86" s="14">
        <f t="shared" si="149"/>
        <v>812655215.09879601</v>
      </c>
      <c r="BN86" s="14">
        <f t="shared" si="149"/>
        <v>828080890.33383334</v>
      </c>
      <c r="BO86" s="14">
        <f t="shared" si="149"/>
        <v>843821962.83147871</v>
      </c>
      <c r="BP86" s="14">
        <f t="shared" si="149"/>
        <v>859884664.00012136</v>
      </c>
      <c r="BQ86" s="14">
        <f t="shared" si="149"/>
        <v>876275346.43215692</v>
      </c>
      <c r="BR86" s="14">
        <f t="shared" ref="BR86:BS86" si="150">SUM(BR84:BR85)</f>
        <v>893000486.1726855</v>
      </c>
      <c r="BS86" s="14">
        <f t="shared" si="150"/>
        <v>910066685.02659893</v>
      </c>
    </row>
    <row r="87" spans="3:71" x14ac:dyDescent="0.35">
      <c r="C87" s="30" t="s">
        <v>130</v>
      </c>
      <c r="D87" s="28"/>
      <c r="E87" s="22">
        <f t="shared" ref="E87:AJ87" si="151">E86*eiendomssats</f>
        <v>3733837.0239987839</v>
      </c>
      <c r="F87" s="22">
        <f t="shared" si="151"/>
        <v>2139010.6193244997</v>
      </c>
      <c r="G87" s="22">
        <f t="shared" si="151"/>
        <v>2620138.0876253271</v>
      </c>
      <c r="H87" s="22">
        <f t="shared" si="151"/>
        <v>2524207.873849865</v>
      </c>
      <c r="I87" s="22">
        <f t="shared" si="151"/>
        <v>2447499.1573789692</v>
      </c>
      <c r="J87" s="22">
        <f t="shared" si="151"/>
        <v>2438667.5776194162</v>
      </c>
      <c r="K87" s="22">
        <f t="shared" si="151"/>
        <v>2347253.6620780667</v>
      </c>
      <c r="L87" s="22">
        <f t="shared" si="151"/>
        <v>2346386.7484672624</v>
      </c>
      <c r="M87" s="22">
        <f t="shared" si="151"/>
        <v>2345523.0107733649</v>
      </c>
      <c r="N87" s="22">
        <f t="shared" si="151"/>
        <v>2372237.5865206313</v>
      </c>
      <c r="O87" s="22">
        <f t="shared" si="151"/>
        <v>2424546.8155695926</v>
      </c>
      <c r="P87" s="22">
        <f t="shared" si="151"/>
        <v>2451629.9380390532</v>
      </c>
      <c r="Q87" s="22">
        <f t="shared" si="151"/>
        <v>2482023.3033180102</v>
      </c>
      <c r="R87" s="22">
        <f t="shared" si="151"/>
        <v>2489364.0809490695</v>
      </c>
      <c r="S87" s="22">
        <f t="shared" si="151"/>
        <v>2504169.9315965739</v>
      </c>
      <c r="T87" s="22">
        <f t="shared" si="151"/>
        <v>2545926.7351489346</v>
      </c>
      <c r="U87" s="22">
        <f t="shared" si="151"/>
        <v>2588577.1949775913</v>
      </c>
      <c r="V87" s="22">
        <f t="shared" si="151"/>
        <v>2632139.1134755174</v>
      </c>
      <c r="W87" s="22">
        <f t="shared" si="151"/>
        <v>2676630.6459005778</v>
      </c>
      <c r="X87" s="22">
        <f t="shared" si="151"/>
        <v>2722070.3072895966</v>
      </c>
      <c r="Y87" s="22">
        <f t="shared" si="151"/>
        <v>2768476.9795042565</v>
      </c>
      <c r="Z87" s="22">
        <f t="shared" si="151"/>
        <v>2815869.918411185</v>
      </c>
      <c r="AA87" s="22">
        <f t="shared" si="151"/>
        <v>2864268.7611985956</v>
      </c>
      <c r="AB87" s="22">
        <f t="shared" si="151"/>
        <v>2913693.5338319088</v>
      </c>
      <c r="AC87" s="22">
        <f t="shared" si="151"/>
        <v>2964164.6586508146</v>
      </c>
      <c r="AD87" s="22">
        <f t="shared" si="151"/>
        <v>3015702.9621102102</v>
      </c>
      <c r="AE87" s="22">
        <f t="shared" si="151"/>
        <v>3068329.6826676023</v>
      </c>
      <c r="AF87" s="22">
        <f t="shared" si="151"/>
        <v>3122066.478819455</v>
      </c>
      <c r="AG87" s="22">
        <f t="shared" si="151"/>
        <v>3176935.4372891136</v>
      </c>
      <c r="AH87" s="22">
        <f t="shared" si="151"/>
        <v>3232959.0813689106</v>
      </c>
      <c r="AI87" s="22">
        <f t="shared" si="151"/>
        <v>3290160.379419093</v>
      </c>
      <c r="AJ87" s="22">
        <f t="shared" si="151"/>
        <v>3348562.7535262676</v>
      </c>
      <c r="AK87" s="22">
        <f t="shared" ref="AK87:BP87" si="152">AK86*eiendomssats</f>
        <v>3408190.088324104</v>
      </c>
      <c r="AL87" s="22">
        <f t="shared" si="152"/>
        <v>3469066.7399790124</v>
      </c>
      <c r="AM87" s="22">
        <f t="shared" si="152"/>
        <v>3531217.5453435881</v>
      </c>
      <c r="AN87" s="22">
        <f t="shared" si="152"/>
        <v>3594667.8312806836</v>
      </c>
      <c r="AO87" s="22">
        <f t="shared" si="152"/>
        <v>3659443.4241608884</v>
      </c>
      <c r="AP87" s="22">
        <f t="shared" si="152"/>
        <v>3725570.6595363761</v>
      </c>
      <c r="AQ87" s="22">
        <f t="shared" si="152"/>
        <v>3793076.3919939478</v>
      </c>
      <c r="AR87" s="22">
        <f t="shared" si="152"/>
        <v>3861988.0051903194</v>
      </c>
      <c r="AS87" s="22">
        <f t="shared" si="152"/>
        <v>3932333.4220725079</v>
      </c>
      <c r="AT87" s="22">
        <f t="shared" si="152"/>
        <v>4004141.1152864192</v>
      </c>
      <c r="AU87" s="22">
        <f t="shared" si="152"/>
        <v>4077440.1177766342</v>
      </c>
      <c r="AV87" s="22">
        <f t="shared" si="152"/>
        <v>4152260.0335804275</v>
      </c>
      <c r="AW87" s="22">
        <f t="shared" si="152"/>
        <v>4228631.0488191498</v>
      </c>
      <c r="AX87" s="22">
        <f t="shared" si="152"/>
        <v>4306583.9428900583</v>
      </c>
      <c r="AY87" s="22">
        <f t="shared" si="152"/>
        <v>4386150.0998617383</v>
      </c>
      <c r="AZ87" s="22">
        <f t="shared" si="152"/>
        <v>4467361.520076287</v>
      </c>
      <c r="BA87" s="22">
        <f t="shared" si="152"/>
        <v>4550250.8319614213</v>
      </c>
      <c r="BB87" s="22">
        <f t="shared" si="152"/>
        <v>4634851.3040557439</v>
      </c>
      <c r="BC87" s="22">
        <f t="shared" si="152"/>
        <v>4721196.8572503673</v>
      </c>
      <c r="BD87" s="22">
        <f t="shared" si="152"/>
        <v>4809322.0772501379</v>
      </c>
      <c r="BE87" s="22">
        <f t="shared" si="152"/>
        <v>4899262.227257723</v>
      </c>
      <c r="BF87" s="22">
        <f t="shared" si="152"/>
        <v>4991053.2608838389</v>
      </c>
      <c r="BG87" s="22">
        <f t="shared" si="152"/>
        <v>5084731.8352868883</v>
      </c>
      <c r="BH87" s="22">
        <f t="shared" si="152"/>
        <v>5180335.3245453238</v>
      </c>
      <c r="BI87" s="22">
        <f t="shared" si="152"/>
        <v>5277901.8332659835</v>
      </c>
      <c r="BJ87" s="22">
        <f t="shared" si="152"/>
        <v>5377470.2104317974</v>
      </c>
      <c r="BK87" s="22">
        <f t="shared" si="152"/>
        <v>5479080.0634920569</v>
      </c>
      <c r="BL87" s="22">
        <f t="shared" si="152"/>
        <v>5582771.7726986594</v>
      </c>
      <c r="BM87" s="22">
        <f t="shared" si="152"/>
        <v>5688586.5056915721</v>
      </c>
      <c r="BN87" s="22">
        <f t="shared" si="152"/>
        <v>5796566.2323368331</v>
      </c>
      <c r="BO87" s="22">
        <f t="shared" si="152"/>
        <v>5906753.7398203509</v>
      </c>
      <c r="BP87" s="22">
        <f t="shared" si="152"/>
        <v>6019192.6480008494</v>
      </c>
      <c r="BQ87" s="22">
        <f t="shared" ref="BQ87:BS87" si="153">BQ86*eiendomssats</f>
        <v>6133927.425025099</v>
      </c>
      <c r="BR87" s="22">
        <f t="shared" si="153"/>
        <v>6251003.4032087987</v>
      </c>
      <c r="BS87" s="22">
        <f t="shared" si="153"/>
        <v>6370466.7951861927</v>
      </c>
    </row>
    <row r="88" spans="3:71" x14ac:dyDescent="0.35"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71" x14ac:dyDescent="0.35"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71" x14ac:dyDescent="0.35">
      <c r="C90" s="26" t="s">
        <v>54</v>
      </c>
      <c r="D90" s="2">
        <v>0</v>
      </c>
      <c r="E90" s="2">
        <v>1</v>
      </c>
      <c r="F90" s="2">
        <v>2</v>
      </c>
      <c r="G90" s="2">
        <v>3</v>
      </c>
      <c r="H90" s="2">
        <v>4</v>
      </c>
      <c r="I90" s="2">
        <v>5</v>
      </c>
      <c r="J90" s="2">
        <v>6</v>
      </c>
      <c r="K90" s="2">
        <v>7</v>
      </c>
      <c r="L90" s="2">
        <v>8</v>
      </c>
      <c r="M90" s="2">
        <v>9</v>
      </c>
      <c r="N90" s="2">
        <v>10</v>
      </c>
      <c r="O90" s="2">
        <v>11</v>
      </c>
      <c r="P90" s="2">
        <v>12</v>
      </c>
      <c r="Q90" s="2">
        <v>13</v>
      </c>
      <c r="R90" s="2">
        <v>14</v>
      </c>
      <c r="S90" s="2">
        <v>15</v>
      </c>
      <c r="T90" s="2">
        <v>16</v>
      </c>
      <c r="U90" s="2">
        <v>17</v>
      </c>
      <c r="V90" s="2">
        <v>18</v>
      </c>
      <c r="W90" s="2">
        <v>19</v>
      </c>
      <c r="X90" s="2">
        <v>20</v>
      </c>
      <c r="Y90" s="2">
        <v>21</v>
      </c>
      <c r="Z90" s="2">
        <v>22</v>
      </c>
      <c r="AA90" s="2">
        <v>23</v>
      </c>
      <c r="AB90" s="2">
        <v>24</v>
      </c>
      <c r="AC90" s="2">
        <v>25</v>
      </c>
      <c r="AD90" s="2">
        <v>26</v>
      </c>
      <c r="AE90" s="2">
        <v>27</v>
      </c>
      <c r="AF90" s="2">
        <v>28</v>
      </c>
      <c r="AG90" s="2">
        <v>29</v>
      </c>
      <c r="AH90" s="2">
        <v>30</v>
      </c>
      <c r="AI90" s="2">
        <v>31</v>
      </c>
      <c r="AJ90" s="2">
        <v>32</v>
      </c>
      <c r="AK90" s="2">
        <v>33</v>
      </c>
      <c r="AL90" s="2">
        <v>34</v>
      </c>
      <c r="AM90" s="2">
        <v>35</v>
      </c>
      <c r="AN90" s="2">
        <v>36</v>
      </c>
      <c r="AO90" s="2">
        <v>37</v>
      </c>
      <c r="AP90" s="2">
        <v>38</v>
      </c>
      <c r="AQ90" s="2">
        <v>39</v>
      </c>
      <c r="AR90" s="2">
        <v>40</v>
      </c>
      <c r="AS90" s="2">
        <v>41</v>
      </c>
      <c r="AT90" s="2">
        <v>42</v>
      </c>
      <c r="AU90" s="2">
        <v>43</v>
      </c>
      <c r="AV90" s="2">
        <v>44</v>
      </c>
      <c r="AW90" s="2">
        <v>45</v>
      </c>
      <c r="AX90" s="2">
        <v>46</v>
      </c>
      <c r="AY90" s="2">
        <v>47</v>
      </c>
      <c r="AZ90" s="2">
        <v>48</v>
      </c>
      <c r="BA90" s="2">
        <v>49</v>
      </c>
      <c r="BB90" s="2">
        <v>50</v>
      </c>
      <c r="BC90" s="2">
        <v>51</v>
      </c>
      <c r="BD90" s="2">
        <v>52</v>
      </c>
      <c r="BE90" s="2">
        <v>53</v>
      </c>
      <c r="BF90" s="2">
        <v>54</v>
      </c>
      <c r="BG90" s="2">
        <v>55</v>
      </c>
      <c r="BH90" s="2">
        <v>56</v>
      </c>
      <c r="BI90" s="2">
        <v>57</v>
      </c>
      <c r="BJ90" s="2">
        <v>58</v>
      </c>
      <c r="BK90" s="2">
        <v>59</v>
      </c>
      <c r="BL90" s="2">
        <v>60</v>
      </c>
      <c r="BM90" s="2">
        <v>61</v>
      </c>
      <c r="BN90" s="2">
        <v>62</v>
      </c>
      <c r="BO90" s="2">
        <v>63</v>
      </c>
      <c r="BP90" s="2">
        <v>64</v>
      </c>
      <c r="BQ90" s="2">
        <v>65</v>
      </c>
      <c r="BR90" s="2">
        <v>66</v>
      </c>
      <c r="BS90" s="2">
        <v>67</v>
      </c>
    </row>
    <row r="91" spans="3:71" x14ac:dyDescent="0.35">
      <c r="C91" s="15" t="s">
        <v>84</v>
      </c>
      <c r="D91" s="2"/>
      <c r="E91" s="14">
        <f t="shared" ref="E91:BP91" si="154">voluma*1000*1000</f>
        <v>103000000</v>
      </c>
      <c r="F91" s="14">
        <f t="shared" si="154"/>
        <v>103000000</v>
      </c>
      <c r="G91" s="14">
        <f t="shared" si="154"/>
        <v>103000000</v>
      </c>
      <c r="H91" s="14">
        <f t="shared" si="154"/>
        <v>103000000</v>
      </c>
      <c r="I91" s="14">
        <f t="shared" si="154"/>
        <v>103000000</v>
      </c>
      <c r="J91" s="14">
        <f t="shared" si="154"/>
        <v>103000000</v>
      </c>
      <c r="K91" s="14">
        <f t="shared" si="154"/>
        <v>103000000</v>
      </c>
      <c r="L91" s="14">
        <f t="shared" si="154"/>
        <v>103000000</v>
      </c>
      <c r="M91" s="14">
        <f t="shared" si="154"/>
        <v>103000000</v>
      </c>
      <c r="N91" s="14">
        <f t="shared" si="154"/>
        <v>103000000</v>
      </c>
      <c r="O91" s="14">
        <f t="shared" si="154"/>
        <v>103000000</v>
      </c>
      <c r="P91" s="14">
        <f t="shared" si="154"/>
        <v>103000000</v>
      </c>
      <c r="Q91" s="14">
        <f t="shared" si="154"/>
        <v>103000000</v>
      </c>
      <c r="R91" s="14">
        <f t="shared" si="154"/>
        <v>103000000</v>
      </c>
      <c r="S91" s="14">
        <f t="shared" si="154"/>
        <v>103000000</v>
      </c>
      <c r="T91" s="14">
        <f t="shared" si="154"/>
        <v>103000000</v>
      </c>
      <c r="U91" s="14">
        <f t="shared" si="154"/>
        <v>103000000</v>
      </c>
      <c r="V91" s="14">
        <f t="shared" si="154"/>
        <v>103000000</v>
      </c>
      <c r="W91" s="14">
        <f t="shared" si="154"/>
        <v>103000000</v>
      </c>
      <c r="X91" s="14">
        <f t="shared" si="154"/>
        <v>103000000</v>
      </c>
      <c r="Y91" s="14">
        <f t="shared" si="154"/>
        <v>103000000</v>
      </c>
      <c r="Z91" s="14">
        <f t="shared" si="154"/>
        <v>103000000</v>
      </c>
      <c r="AA91" s="14">
        <f t="shared" si="154"/>
        <v>103000000</v>
      </c>
      <c r="AB91" s="14">
        <f t="shared" si="154"/>
        <v>103000000</v>
      </c>
      <c r="AC91" s="14">
        <f t="shared" si="154"/>
        <v>103000000</v>
      </c>
      <c r="AD91" s="14">
        <f t="shared" si="154"/>
        <v>103000000</v>
      </c>
      <c r="AE91" s="14">
        <f t="shared" si="154"/>
        <v>103000000</v>
      </c>
      <c r="AF91" s="14">
        <f t="shared" si="154"/>
        <v>103000000</v>
      </c>
      <c r="AG91" s="14">
        <f t="shared" si="154"/>
        <v>103000000</v>
      </c>
      <c r="AH91" s="14">
        <f t="shared" si="154"/>
        <v>103000000</v>
      </c>
      <c r="AI91" s="14">
        <f t="shared" si="154"/>
        <v>103000000</v>
      </c>
      <c r="AJ91" s="14">
        <f t="shared" si="154"/>
        <v>103000000</v>
      </c>
      <c r="AK91" s="14">
        <f t="shared" si="154"/>
        <v>103000000</v>
      </c>
      <c r="AL91" s="14">
        <f t="shared" si="154"/>
        <v>103000000</v>
      </c>
      <c r="AM91" s="14">
        <f t="shared" si="154"/>
        <v>103000000</v>
      </c>
      <c r="AN91" s="14">
        <f t="shared" si="154"/>
        <v>103000000</v>
      </c>
      <c r="AO91" s="14">
        <f t="shared" si="154"/>
        <v>103000000</v>
      </c>
      <c r="AP91" s="14">
        <f t="shared" si="154"/>
        <v>103000000</v>
      </c>
      <c r="AQ91" s="14">
        <f t="shared" si="154"/>
        <v>103000000</v>
      </c>
      <c r="AR91" s="14">
        <f t="shared" si="154"/>
        <v>103000000</v>
      </c>
      <c r="AS91" s="14">
        <f t="shared" si="154"/>
        <v>103000000</v>
      </c>
      <c r="AT91" s="14">
        <f t="shared" si="154"/>
        <v>103000000</v>
      </c>
      <c r="AU91" s="14">
        <f t="shared" si="154"/>
        <v>103000000</v>
      </c>
      <c r="AV91" s="14">
        <f t="shared" si="154"/>
        <v>103000000</v>
      </c>
      <c r="AW91" s="14">
        <f t="shared" si="154"/>
        <v>103000000</v>
      </c>
      <c r="AX91" s="14">
        <f t="shared" si="154"/>
        <v>103000000</v>
      </c>
      <c r="AY91" s="14">
        <f t="shared" si="154"/>
        <v>103000000</v>
      </c>
      <c r="AZ91" s="14">
        <f t="shared" si="154"/>
        <v>103000000</v>
      </c>
      <c r="BA91" s="14">
        <f t="shared" si="154"/>
        <v>103000000</v>
      </c>
      <c r="BB91" s="14">
        <f t="shared" si="154"/>
        <v>103000000</v>
      </c>
      <c r="BC91" s="14">
        <f t="shared" si="154"/>
        <v>103000000</v>
      </c>
      <c r="BD91" s="14">
        <f t="shared" si="154"/>
        <v>103000000</v>
      </c>
      <c r="BE91" s="14">
        <f t="shared" si="154"/>
        <v>103000000</v>
      </c>
      <c r="BF91" s="14">
        <f t="shared" si="154"/>
        <v>103000000</v>
      </c>
      <c r="BG91" s="14">
        <f t="shared" si="154"/>
        <v>103000000</v>
      </c>
      <c r="BH91" s="14">
        <f t="shared" si="154"/>
        <v>103000000</v>
      </c>
      <c r="BI91" s="14">
        <f t="shared" si="154"/>
        <v>103000000</v>
      </c>
      <c r="BJ91" s="14">
        <f t="shared" si="154"/>
        <v>103000000</v>
      </c>
      <c r="BK91" s="14">
        <f t="shared" si="154"/>
        <v>103000000</v>
      </c>
      <c r="BL91" s="14">
        <f t="shared" si="154"/>
        <v>103000000</v>
      </c>
      <c r="BM91" s="14">
        <f t="shared" si="154"/>
        <v>103000000</v>
      </c>
      <c r="BN91" s="14">
        <f t="shared" si="154"/>
        <v>103000000</v>
      </c>
      <c r="BO91" s="14">
        <f t="shared" si="154"/>
        <v>103000000</v>
      </c>
      <c r="BP91" s="14">
        <f t="shared" si="154"/>
        <v>103000000</v>
      </c>
      <c r="BQ91" s="14">
        <f t="shared" ref="BQ91:BS91" si="155">voluma*1000*1000</f>
        <v>103000000</v>
      </c>
      <c r="BR91" s="14">
        <f t="shared" si="155"/>
        <v>103000000</v>
      </c>
      <c r="BS91" s="14">
        <f t="shared" si="155"/>
        <v>103000000</v>
      </c>
    </row>
    <row r="92" spans="3:71" x14ac:dyDescent="0.35">
      <c r="C92" s="15" t="s">
        <v>85</v>
      </c>
      <c r="E92" s="40">
        <v>1.2999999999999999E-2</v>
      </c>
      <c r="F92" s="40">
        <v>1.2999999999999999E-2</v>
      </c>
      <c r="G92" s="40">
        <v>1.2999999999999999E-2</v>
      </c>
      <c r="H92" s="40">
        <v>1.2999999999999999E-2</v>
      </c>
      <c r="I92" s="40">
        <v>1.2999999999999999E-2</v>
      </c>
      <c r="J92" s="40">
        <v>1.2999999999999999E-2</v>
      </c>
      <c r="K92" s="40">
        <v>1.2999999999999999E-2</v>
      </c>
      <c r="L92" s="40">
        <v>1.2999999999999999E-2</v>
      </c>
      <c r="M92" s="40">
        <v>1.2999999999999999E-2</v>
      </c>
      <c r="N92" s="40">
        <v>1.2999999999999999E-2</v>
      </c>
      <c r="O92" s="40">
        <v>1.0129999999999999</v>
      </c>
      <c r="P92" s="40">
        <v>2.0129999999999999</v>
      </c>
      <c r="Q92" s="40">
        <v>3.0129999999999999</v>
      </c>
      <c r="R92" s="40">
        <v>4.0129999999999999</v>
      </c>
      <c r="S92" s="40">
        <v>5.0129999999999999</v>
      </c>
      <c r="T92" s="40">
        <v>6.0129999999999999</v>
      </c>
      <c r="U92" s="40">
        <v>7.0129999999999999</v>
      </c>
      <c r="V92" s="40">
        <v>8.0129999999999999</v>
      </c>
      <c r="W92" s="40">
        <v>9.0129999999999999</v>
      </c>
      <c r="X92" s="40">
        <v>10.013</v>
      </c>
      <c r="Y92" s="40">
        <v>11.013</v>
      </c>
      <c r="Z92" s="40">
        <v>12.013</v>
      </c>
      <c r="AA92" s="40">
        <v>13.013</v>
      </c>
      <c r="AB92" s="40">
        <v>14.013</v>
      </c>
      <c r="AC92" s="40">
        <v>15.013</v>
      </c>
      <c r="AD92" s="40">
        <v>16.013000000000002</v>
      </c>
      <c r="AE92" s="40">
        <v>17.013000000000002</v>
      </c>
      <c r="AF92" s="40">
        <v>18.013000000000002</v>
      </c>
      <c r="AG92" s="40">
        <v>19.013000000000002</v>
      </c>
      <c r="AH92" s="40">
        <v>20.013000000000002</v>
      </c>
      <c r="AI92" s="40">
        <v>21.013000000000002</v>
      </c>
      <c r="AJ92" s="40">
        <v>22.013000000000002</v>
      </c>
      <c r="AK92" s="40">
        <v>23.013000000000002</v>
      </c>
      <c r="AL92" s="40">
        <v>24.013000000000002</v>
      </c>
      <c r="AM92" s="40">
        <v>25.013000000000002</v>
      </c>
      <c r="AN92" s="40">
        <v>26.013000000000002</v>
      </c>
      <c r="AO92" s="40">
        <v>27.013000000000002</v>
      </c>
      <c r="AP92" s="40">
        <v>28.013000000000002</v>
      </c>
      <c r="AQ92" s="40">
        <v>29.013000000000002</v>
      </c>
      <c r="AR92" s="40">
        <v>30.013000000000002</v>
      </c>
      <c r="AS92" s="40">
        <v>31.013000000000002</v>
      </c>
      <c r="AT92" s="40">
        <v>32.012999999999998</v>
      </c>
      <c r="AU92" s="40">
        <v>33.012999999999998</v>
      </c>
      <c r="AV92" s="40">
        <v>34.012999999999998</v>
      </c>
      <c r="AW92" s="40">
        <v>35.012999999999998</v>
      </c>
      <c r="AX92" s="40">
        <v>36.012999999999998</v>
      </c>
      <c r="AY92" s="40">
        <v>37.012999999999998</v>
      </c>
      <c r="AZ92" s="40">
        <v>38.012999999999998</v>
      </c>
      <c r="BA92" s="40">
        <v>39.012999999999998</v>
      </c>
      <c r="BB92" s="40">
        <v>40.012999999999998</v>
      </c>
      <c r="BC92" s="40">
        <v>41.012999999999998</v>
      </c>
      <c r="BD92" s="40">
        <v>42.012999999999998</v>
      </c>
      <c r="BE92" s="40">
        <v>43.012999999999998</v>
      </c>
      <c r="BF92" s="40">
        <v>44.012999999999998</v>
      </c>
      <c r="BG92" s="40">
        <v>45.012999999999998</v>
      </c>
      <c r="BH92" s="40">
        <v>46.012999999999998</v>
      </c>
      <c r="BI92" s="40">
        <v>47.012999999999998</v>
      </c>
      <c r="BJ92" s="40">
        <v>48.012999999999998</v>
      </c>
      <c r="BK92" s="40">
        <v>49.012999999999998</v>
      </c>
      <c r="BL92" s="40">
        <v>50.012999999999998</v>
      </c>
      <c r="BM92" s="40">
        <v>51.012999999999998</v>
      </c>
      <c r="BN92" s="40">
        <v>52.012999999999998</v>
      </c>
      <c r="BO92" s="40">
        <v>53.012999999999998</v>
      </c>
      <c r="BP92" s="40">
        <v>54.012999999999998</v>
      </c>
      <c r="BQ92" s="40">
        <v>55.012999999999998</v>
      </c>
      <c r="BR92" s="40">
        <v>56.012999999999998</v>
      </c>
      <c r="BS92" s="40">
        <v>57.012999999999998</v>
      </c>
    </row>
    <row r="93" spans="3:71" ht="15" thickBot="1" x14ac:dyDescent="0.4">
      <c r="C93" s="39" t="s">
        <v>86</v>
      </c>
      <c r="D93" s="34"/>
      <c r="E93" s="36">
        <f>E91*natursats</f>
        <v>1339000.0000000002</v>
      </c>
      <c r="F93" s="36">
        <f t="shared" ref="F93:N93" si="156">F91*natursats</f>
        <v>1339000.0000000002</v>
      </c>
      <c r="G93" s="36">
        <f t="shared" si="156"/>
        <v>1339000.0000000002</v>
      </c>
      <c r="H93" s="36">
        <f t="shared" si="156"/>
        <v>1339000.0000000002</v>
      </c>
      <c r="I93" s="36">
        <f t="shared" si="156"/>
        <v>1339000.0000000002</v>
      </c>
      <c r="J93" s="36">
        <f t="shared" si="156"/>
        <v>1339000.0000000002</v>
      </c>
      <c r="K93" s="36">
        <f t="shared" si="156"/>
        <v>1339000.0000000002</v>
      </c>
      <c r="L93" s="36">
        <f t="shared" si="156"/>
        <v>1339000.0000000002</v>
      </c>
      <c r="M93" s="36">
        <f t="shared" si="156"/>
        <v>1339000.0000000002</v>
      </c>
      <c r="N93" s="36">
        <f t="shared" si="156"/>
        <v>1339000.0000000002</v>
      </c>
      <c r="O93" s="36">
        <f t="shared" ref="O93:BS93" si="157">O91*natursats</f>
        <v>1339000.0000000002</v>
      </c>
      <c r="P93" s="36">
        <f t="shared" si="157"/>
        <v>1339000.0000000002</v>
      </c>
      <c r="Q93" s="36">
        <f t="shared" si="157"/>
        <v>1339000.0000000002</v>
      </c>
      <c r="R93" s="36">
        <f t="shared" si="157"/>
        <v>1339000.0000000002</v>
      </c>
      <c r="S93" s="36">
        <f t="shared" si="157"/>
        <v>1339000.0000000002</v>
      </c>
      <c r="T93" s="36">
        <f t="shared" si="157"/>
        <v>1339000.0000000002</v>
      </c>
      <c r="U93" s="36">
        <f t="shared" si="157"/>
        <v>1339000.0000000002</v>
      </c>
      <c r="V93" s="36">
        <f t="shared" si="157"/>
        <v>1339000.0000000002</v>
      </c>
      <c r="W93" s="36">
        <f t="shared" si="157"/>
        <v>1339000.0000000002</v>
      </c>
      <c r="X93" s="36">
        <f t="shared" si="157"/>
        <v>1339000.0000000002</v>
      </c>
      <c r="Y93" s="36">
        <f t="shared" si="157"/>
        <v>1339000.0000000002</v>
      </c>
      <c r="Z93" s="36">
        <f t="shared" si="157"/>
        <v>1339000.0000000002</v>
      </c>
      <c r="AA93" s="36">
        <f t="shared" si="157"/>
        <v>1339000.0000000002</v>
      </c>
      <c r="AB93" s="36">
        <f t="shared" si="157"/>
        <v>1339000.0000000002</v>
      </c>
      <c r="AC93" s="36">
        <f t="shared" si="157"/>
        <v>1339000.0000000002</v>
      </c>
      <c r="AD93" s="36">
        <f t="shared" si="157"/>
        <v>1339000.0000000002</v>
      </c>
      <c r="AE93" s="36">
        <f t="shared" si="157"/>
        <v>1339000.0000000002</v>
      </c>
      <c r="AF93" s="36">
        <f t="shared" si="157"/>
        <v>1339000.0000000002</v>
      </c>
      <c r="AG93" s="36">
        <f t="shared" si="157"/>
        <v>1339000.0000000002</v>
      </c>
      <c r="AH93" s="36">
        <f t="shared" si="157"/>
        <v>1339000.0000000002</v>
      </c>
      <c r="AI93" s="36">
        <f t="shared" si="157"/>
        <v>1339000.0000000002</v>
      </c>
      <c r="AJ93" s="36">
        <f t="shared" si="157"/>
        <v>1339000.0000000002</v>
      </c>
      <c r="AK93" s="36">
        <f t="shared" si="157"/>
        <v>1339000.0000000002</v>
      </c>
      <c r="AL93" s="36">
        <f t="shared" si="157"/>
        <v>1339000.0000000002</v>
      </c>
      <c r="AM93" s="36">
        <f t="shared" si="157"/>
        <v>1339000.0000000002</v>
      </c>
      <c r="AN93" s="36">
        <f t="shared" si="157"/>
        <v>1339000.0000000002</v>
      </c>
      <c r="AO93" s="36">
        <f t="shared" si="157"/>
        <v>1339000.0000000002</v>
      </c>
      <c r="AP93" s="36">
        <f t="shared" si="157"/>
        <v>1339000.0000000002</v>
      </c>
      <c r="AQ93" s="36">
        <f t="shared" si="157"/>
        <v>1339000.0000000002</v>
      </c>
      <c r="AR93" s="36">
        <f t="shared" si="157"/>
        <v>1339000.0000000002</v>
      </c>
      <c r="AS93" s="36">
        <f t="shared" si="157"/>
        <v>1339000.0000000002</v>
      </c>
      <c r="AT93" s="36">
        <f t="shared" si="157"/>
        <v>1339000.0000000002</v>
      </c>
      <c r="AU93" s="36">
        <f t="shared" si="157"/>
        <v>1339000.0000000002</v>
      </c>
      <c r="AV93" s="36">
        <f t="shared" si="157"/>
        <v>1339000.0000000002</v>
      </c>
      <c r="AW93" s="36">
        <f t="shared" si="157"/>
        <v>1339000.0000000002</v>
      </c>
      <c r="AX93" s="36">
        <f t="shared" si="157"/>
        <v>1339000.0000000002</v>
      </c>
      <c r="AY93" s="36">
        <f t="shared" si="157"/>
        <v>1339000.0000000002</v>
      </c>
      <c r="AZ93" s="36">
        <f t="shared" si="157"/>
        <v>1339000.0000000002</v>
      </c>
      <c r="BA93" s="36">
        <f t="shared" si="157"/>
        <v>1339000.0000000002</v>
      </c>
      <c r="BB93" s="36">
        <f t="shared" si="157"/>
        <v>1339000.0000000002</v>
      </c>
      <c r="BC93" s="36">
        <f t="shared" si="157"/>
        <v>1339000.0000000002</v>
      </c>
      <c r="BD93" s="36">
        <f t="shared" si="157"/>
        <v>1339000.0000000002</v>
      </c>
      <c r="BE93" s="36">
        <f t="shared" si="157"/>
        <v>1339000.0000000002</v>
      </c>
      <c r="BF93" s="36">
        <f t="shared" si="157"/>
        <v>1339000.0000000002</v>
      </c>
      <c r="BG93" s="36">
        <f t="shared" si="157"/>
        <v>1339000.0000000002</v>
      </c>
      <c r="BH93" s="36">
        <f t="shared" si="157"/>
        <v>1339000.0000000002</v>
      </c>
      <c r="BI93" s="36">
        <f t="shared" si="157"/>
        <v>1339000.0000000002</v>
      </c>
      <c r="BJ93" s="36">
        <f t="shared" si="157"/>
        <v>1339000.0000000002</v>
      </c>
      <c r="BK93" s="36">
        <f t="shared" si="157"/>
        <v>1339000.0000000002</v>
      </c>
      <c r="BL93" s="36">
        <f t="shared" si="157"/>
        <v>1339000.0000000002</v>
      </c>
      <c r="BM93" s="36">
        <f t="shared" si="157"/>
        <v>1339000.0000000002</v>
      </c>
      <c r="BN93" s="36">
        <f t="shared" si="157"/>
        <v>1339000.0000000002</v>
      </c>
      <c r="BO93" s="36">
        <f t="shared" si="157"/>
        <v>1339000.0000000002</v>
      </c>
      <c r="BP93" s="36">
        <f t="shared" si="157"/>
        <v>1339000.0000000002</v>
      </c>
      <c r="BQ93" s="36">
        <f t="shared" si="157"/>
        <v>1339000.0000000002</v>
      </c>
      <c r="BR93" s="36">
        <f t="shared" si="157"/>
        <v>1339000.0000000002</v>
      </c>
      <c r="BS93" s="36">
        <f t="shared" si="157"/>
        <v>1339000.0000000002</v>
      </c>
    </row>
    <row r="94" spans="3:71" ht="15" thickTop="1" x14ac:dyDescent="0.35">
      <c r="C94" s="15" t="s">
        <v>178</v>
      </c>
      <c r="E94">
        <f>IF(E93&gt;E45*-1,E93,0)</f>
        <v>0</v>
      </c>
    </row>
    <row r="97" spans="2:72" x14ac:dyDescent="0.35">
      <c r="C97" s="19" t="s">
        <v>87</v>
      </c>
    </row>
    <row r="98" spans="2:72" x14ac:dyDescent="0.35">
      <c r="C98" s="43" t="s">
        <v>88</v>
      </c>
      <c r="D98">
        <v>2011</v>
      </c>
      <c r="E98">
        <v>2012</v>
      </c>
      <c r="F98">
        <v>2013</v>
      </c>
      <c r="G98">
        <v>2014</v>
      </c>
      <c r="H98">
        <v>2015</v>
      </c>
      <c r="I98">
        <v>2016</v>
      </c>
      <c r="J98">
        <v>2017</v>
      </c>
      <c r="K98" t="s">
        <v>94</v>
      </c>
    </row>
    <row r="99" spans="2:72" x14ac:dyDescent="0.35">
      <c r="C99" s="42" t="s">
        <v>89</v>
      </c>
      <c r="D99" s="11">
        <v>346575</v>
      </c>
      <c r="E99" s="11">
        <v>330152</v>
      </c>
      <c r="F99" s="11">
        <v>307641</v>
      </c>
      <c r="G99" s="11">
        <v>180757</v>
      </c>
      <c r="H99" s="11">
        <v>619942</v>
      </c>
      <c r="I99" s="11">
        <v>458132</v>
      </c>
      <c r="J99" s="45">
        <v>0</v>
      </c>
    </row>
    <row r="100" spans="2:72" x14ac:dyDescent="0.35">
      <c r="B100" s="44" t="s">
        <v>93</v>
      </c>
      <c r="C100" s="42" t="s">
        <v>90</v>
      </c>
      <c r="D100" s="11">
        <f>1503732*(-1)</f>
        <v>-1503732</v>
      </c>
      <c r="E100" s="11">
        <f>1481001*(-1)</f>
        <v>-1481001</v>
      </c>
      <c r="F100" s="11">
        <f>-1*(1701481)</f>
        <v>-1701481</v>
      </c>
      <c r="G100" s="11">
        <f>-1*(1281025)</f>
        <v>-1281025</v>
      </c>
      <c r="H100" s="11">
        <f>-1*(1215406)</f>
        <v>-1215406</v>
      </c>
      <c r="I100" s="11">
        <f>-1*(1514224)</f>
        <v>-1514224</v>
      </c>
      <c r="J100" s="45">
        <v>0</v>
      </c>
    </row>
    <row r="101" spans="2:72" x14ac:dyDescent="0.35">
      <c r="B101" s="44" t="s">
        <v>82</v>
      </c>
      <c r="C101" s="42" t="s">
        <v>34</v>
      </c>
      <c r="D101" s="11">
        <f>SUM(D99:D100)</f>
        <v>-1157157</v>
      </c>
      <c r="E101" s="11">
        <f t="shared" ref="E101:I101" si="158">SUM(E99:E100)</f>
        <v>-1150849</v>
      </c>
      <c r="F101" s="11">
        <f t="shared" si="158"/>
        <v>-1393840</v>
      </c>
      <c r="G101" s="11">
        <f t="shared" si="158"/>
        <v>-1100268</v>
      </c>
      <c r="H101" s="11">
        <f t="shared" si="158"/>
        <v>-595464</v>
      </c>
      <c r="I101" s="11">
        <f t="shared" si="158"/>
        <v>-1056092</v>
      </c>
      <c r="J101" s="45">
        <v>0</v>
      </c>
    </row>
    <row r="102" spans="2:72" x14ac:dyDescent="0.35">
      <c r="B102" s="19"/>
      <c r="C102" s="42" t="s">
        <v>91</v>
      </c>
      <c r="D102" s="11">
        <v>1769589</v>
      </c>
      <c r="E102" s="11">
        <v>2036436</v>
      </c>
      <c r="F102" s="11">
        <v>2123610</v>
      </c>
      <c r="G102" s="11">
        <v>1867384</v>
      </c>
      <c r="H102" s="11">
        <v>1728691</v>
      </c>
      <c r="I102" s="11">
        <v>1984365</v>
      </c>
      <c r="J102" s="45">
        <v>0</v>
      </c>
    </row>
    <row r="103" spans="2:72" ht="15" thickBot="1" x14ac:dyDescent="0.4">
      <c r="B103" s="44" t="s">
        <v>82</v>
      </c>
      <c r="C103" s="46" t="s">
        <v>92</v>
      </c>
      <c r="D103" s="47">
        <f>D101/D102</f>
        <v>-0.65391285773137153</v>
      </c>
      <c r="E103" s="47">
        <f t="shared" ref="E103:I103" si="159">E101/E102</f>
        <v>-0.56512898023802371</v>
      </c>
      <c r="F103" s="47">
        <f t="shared" si="159"/>
        <v>-0.6563540386417468</v>
      </c>
      <c r="G103" s="47">
        <f t="shared" si="159"/>
        <v>-0.58920286347103756</v>
      </c>
      <c r="H103" s="47">
        <f t="shared" si="159"/>
        <v>-0.34445947829889784</v>
      </c>
      <c r="I103" s="47">
        <f t="shared" si="159"/>
        <v>-0.53220652450532036</v>
      </c>
      <c r="J103" s="48">
        <v>0</v>
      </c>
      <c r="K103" s="78">
        <f>AVERAGE(D103:I103)</f>
        <v>-0.55687745714773296</v>
      </c>
    </row>
    <row r="104" spans="2:72" ht="15" thickTop="1" x14ac:dyDescent="0.35"/>
    <row r="105" spans="2:72" x14ac:dyDescent="0.35">
      <c r="D105">
        <v>0</v>
      </c>
      <c r="E105">
        <v>1</v>
      </c>
      <c r="F105">
        <v>2</v>
      </c>
      <c r="G105">
        <v>3</v>
      </c>
      <c r="H105">
        <v>4</v>
      </c>
      <c r="I105">
        <v>5</v>
      </c>
      <c r="J105">
        <v>6</v>
      </c>
      <c r="K105">
        <v>7</v>
      </c>
      <c r="L105">
        <v>8</v>
      </c>
      <c r="M105">
        <v>9</v>
      </c>
      <c r="N105">
        <v>10</v>
      </c>
      <c r="O105">
        <v>11</v>
      </c>
      <c r="P105">
        <v>12</v>
      </c>
      <c r="Q105">
        <v>13</v>
      </c>
      <c r="R105">
        <v>14</v>
      </c>
      <c r="S105">
        <v>15</v>
      </c>
      <c r="T105">
        <v>16</v>
      </c>
      <c r="U105">
        <v>17</v>
      </c>
      <c r="V105">
        <v>18</v>
      </c>
      <c r="W105">
        <v>19</v>
      </c>
      <c r="X105">
        <v>20</v>
      </c>
      <c r="Y105">
        <v>21</v>
      </c>
      <c r="Z105">
        <v>22</v>
      </c>
      <c r="AA105">
        <v>23</v>
      </c>
      <c r="AB105">
        <v>24</v>
      </c>
      <c r="AC105">
        <v>25</v>
      </c>
      <c r="AD105">
        <v>26</v>
      </c>
      <c r="AE105">
        <v>27</v>
      </c>
      <c r="AF105">
        <v>28</v>
      </c>
      <c r="AG105">
        <v>29</v>
      </c>
      <c r="AH105">
        <v>30</v>
      </c>
      <c r="AI105">
        <v>31</v>
      </c>
      <c r="AJ105">
        <v>32</v>
      </c>
      <c r="AK105">
        <v>33</v>
      </c>
      <c r="AL105">
        <v>34</v>
      </c>
      <c r="AM105">
        <v>35</v>
      </c>
      <c r="AN105">
        <v>36</v>
      </c>
      <c r="AO105">
        <v>37</v>
      </c>
      <c r="AP105">
        <v>38</v>
      </c>
      <c r="AQ105">
        <v>39</v>
      </c>
      <c r="AR105">
        <v>40</v>
      </c>
      <c r="AS105">
        <v>41</v>
      </c>
      <c r="AT105">
        <v>42</v>
      </c>
      <c r="AU105">
        <v>43</v>
      </c>
      <c r="AV105">
        <v>44</v>
      </c>
      <c r="AW105">
        <v>45</v>
      </c>
      <c r="AX105">
        <v>46</v>
      </c>
      <c r="AY105">
        <v>47</v>
      </c>
      <c r="AZ105">
        <v>48</v>
      </c>
      <c r="BA105">
        <v>49</v>
      </c>
      <c r="BB105">
        <v>50</v>
      </c>
      <c r="BC105">
        <v>51</v>
      </c>
      <c r="BD105">
        <v>52</v>
      </c>
      <c r="BE105">
        <v>53</v>
      </c>
      <c r="BF105">
        <v>54</v>
      </c>
      <c r="BG105">
        <v>55</v>
      </c>
      <c r="BH105">
        <v>56</v>
      </c>
      <c r="BI105">
        <v>57</v>
      </c>
      <c r="BJ105">
        <v>58</v>
      </c>
      <c r="BK105">
        <v>59</v>
      </c>
      <c r="BL105">
        <v>60</v>
      </c>
      <c r="BM105">
        <v>61</v>
      </c>
      <c r="BN105">
        <v>62</v>
      </c>
      <c r="BO105">
        <v>63</v>
      </c>
      <c r="BP105">
        <v>64</v>
      </c>
      <c r="BQ105">
        <v>65</v>
      </c>
      <c r="BR105">
        <v>66</v>
      </c>
      <c r="BS105">
        <v>67</v>
      </c>
    </row>
    <row r="106" spans="2:72" x14ac:dyDescent="0.35">
      <c r="C106" t="s">
        <v>95</v>
      </c>
      <c r="D106" s="11">
        <v>0</v>
      </c>
      <c r="E106" s="11">
        <f>D108</f>
        <v>-18683229.777267125</v>
      </c>
      <c r="F106" s="11">
        <f>E108</f>
        <v>-16767001.082162803</v>
      </c>
      <c r="G106" s="11">
        <f t="shared" ref="G106:H106" si="160">F108</f>
        <v>-16683166.076751992</v>
      </c>
      <c r="H106" s="11">
        <f t="shared" si="160"/>
        <v>-17383787.193399508</v>
      </c>
      <c r="I106" s="11">
        <f t="shared" ref="I106:J106" si="161">H108</f>
        <v>-17425704.696104918</v>
      </c>
      <c r="J106" s="11">
        <f t="shared" si="161"/>
        <v>-17395763.622743912</v>
      </c>
      <c r="K106" s="11">
        <f t="shared" ref="K106:L106" si="162">J108</f>
        <v>-17695174.356353961</v>
      </c>
      <c r="L106" s="11">
        <f t="shared" si="162"/>
        <v>-18473642.263740093</v>
      </c>
      <c r="M106" s="11">
        <f t="shared" ref="M106:N106" si="163">L108</f>
        <v>-18713170.85062813</v>
      </c>
      <c r="N106" s="11">
        <f t="shared" si="163"/>
        <v>-18611371.201200712</v>
      </c>
      <c r="O106" s="11">
        <f>N108</f>
        <v>-18983598.625224724</v>
      </c>
      <c r="P106" s="11">
        <f t="shared" ref="P106" si="164">O108</f>
        <v>-19363270.597729217</v>
      </c>
      <c r="Q106" s="11">
        <f t="shared" ref="Q106" si="165">P108</f>
        <v>-19750536.009683803</v>
      </c>
      <c r="R106" s="11">
        <f t="shared" ref="R106" si="166">Q108</f>
        <v>-20145546.729877479</v>
      </c>
      <c r="S106" s="11">
        <f t="shared" ref="S106" si="167">R108</f>
        <v>-20548457.664475027</v>
      </c>
      <c r="T106" s="11">
        <f t="shared" ref="T106" si="168">S108</f>
        <v>-20959426.817764528</v>
      </c>
      <c r="U106" s="11">
        <f t="shared" ref="U106" si="169">T108</f>
        <v>-21378615.354119822</v>
      </c>
      <c r="V106" s="11">
        <f t="shared" ref="V106" si="170">U108</f>
        <v>-21806187.661202218</v>
      </c>
      <c r="W106" s="11">
        <f t="shared" ref="W106" si="171">V108</f>
        <v>-22242311.414426263</v>
      </c>
      <c r="X106" s="11">
        <f t="shared" ref="X106" si="172">W108</f>
        <v>-22687157.642714787</v>
      </c>
      <c r="Y106" s="11">
        <f t="shared" ref="Y106" si="173">X108</f>
        <v>-23140900.795569085</v>
      </c>
      <c r="Z106" s="11">
        <f t="shared" ref="Z106" si="174">Y108</f>
        <v>-23603718.81148047</v>
      </c>
      <c r="AA106" s="11">
        <f t="shared" ref="AA106" si="175">Z108</f>
        <v>-24075793.18771008</v>
      </c>
      <c r="AB106" s="11">
        <f t="shared" ref="AB106" si="176">AA108</f>
        <v>-24557309.051464282</v>
      </c>
      <c r="AC106" s="11">
        <f t="shared" ref="AC106" si="177">AB108</f>
        <v>-25048455.232493564</v>
      </c>
      <c r="AD106" s="11">
        <f t="shared" ref="AD106" si="178">AC108</f>
        <v>-25549424.337143436</v>
      </c>
      <c r="AE106" s="11">
        <f t="shared" ref="AE106" si="179">AD108</f>
        <v>-26060412.823886313</v>
      </c>
      <c r="AF106" s="11">
        <f t="shared" ref="AF106" si="180">AE108</f>
        <v>-26581621.080364034</v>
      </c>
      <c r="AG106" s="11">
        <f t="shared" ref="AG106" si="181">AF108</f>
        <v>-27113253.501971316</v>
      </c>
      <c r="AH106" s="11">
        <f t="shared" ref="AH106" si="182">AG108</f>
        <v>-27655518.572010744</v>
      </c>
      <c r="AI106" s="11">
        <f t="shared" ref="AI106" si="183">AH108</f>
        <v>-28208628.943450958</v>
      </c>
      <c r="AJ106" s="11">
        <f t="shared" ref="AJ106" si="184">AI108</f>
        <v>-28772801.522319976</v>
      </c>
      <c r="AK106" s="11">
        <f t="shared" ref="AK106" si="185">AJ108</f>
        <v>-29348257.552766379</v>
      </c>
      <c r="AL106" s="11">
        <f t="shared" ref="AL106" si="186">AK108</f>
        <v>-29935222.703821708</v>
      </c>
      <c r="AM106" s="11">
        <f t="shared" ref="AM106" si="187">AL108</f>
        <v>-30533927.157898139</v>
      </c>
      <c r="AN106" s="11">
        <f t="shared" ref="AN106" si="188">AM108</f>
        <v>-31144605.701056104</v>
      </c>
      <c r="AO106" s="11">
        <f t="shared" ref="AO106" si="189">AN108</f>
        <v>-31767497.815077223</v>
      </c>
      <c r="AP106" s="11">
        <f t="shared" ref="AP106" si="190">AO108</f>
        <v>-32402847.771378778</v>
      </c>
      <c r="AQ106" s="11">
        <f t="shared" ref="AQ106" si="191">AP108</f>
        <v>-33050904.726806346</v>
      </c>
      <c r="AR106" s="11">
        <f t="shared" ref="AR106" si="192">AQ108</f>
        <v>-33711922.821342468</v>
      </c>
      <c r="AS106" s="11">
        <f t="shared" ref="AS106" si="193">AR108</f>
        <v>-34386161.27776932</v>
      </c>
      <c r="AT106" s="11">
        <f t="shared" ref="AT106" si="194">AS108</f>
        <v>-35073884.50332471</v>
      </c>
      <c r="AU106" s="11">
        <f t="shared" ref="AU106" si="195">AT108</f>
        <v>-35775362.193391204</v>
      </c>
      <c r="AV106" s="11">
        <f t="shared" ref="AV106" si="196">AU108</f>
        <v>-36490869.437259026</v>
      </c>
      <c r="AW106" s="11">
        <f t="shared" ref="AW106" si="197">AV108</f>
        <v>-37220686.826004207</v>
      </c>
      <c r="AX106" s="11">
        <f t="shared" ref="AX106" si="198">AW108</f>
        <v>-37965100.562524296</v>
      </c>
      <c r="AY106" s="11">
        <f t="shared" ref="AY106" si="199">AX108</f>
        <v>-38724402.57377477</v>
      </c>
      <c r="AZ106" s="11">
        <f t="shared" ref="AZ106" si="200">AY108</f>
        <v>-39498890.625250265</v>
      </c>
      <c r="BA106" s="11">
        <f t="shared" ref="BA106" si="201">AZ108</f>
        <v>-40288868.437755272</v>
      </c>
      <c r="BB106" s="11">
        <f t="shared" ref="BB106" si="202">BA108</f>
        <v>-41094645.806510381</v>
      </c>
      <c r="BC106" s="11">
        <f t="shared" ref="BC106" si="203">BB108</f>
        <v>-41916538.722640589</v>
      </c>
      <c r="BD106" s="11">
        <f t="shared" ref="BD106" si="204">BC108</f>
        <v>-42754869.497093402</v>
      </c>
      <c r="BE106" s="11">
        <f t="shared" ref="BE106" si="205">BD108</f>
        <v>-43609966.887035266</v>
      </c>
      <c r="BF106" s="11">
        <f t="shared" ref="BF106" si="206">BE108</f>
        <v>-44482166.224775985</v>
      </c>
      <c r="BG106" s="11">
        <f t="shared" ref="BG106" si="207">BF108</f>
        <v>-45371809.549271502</v>
      </c>
      <c r="BH106" s="11">
        <f t="shared" ref="BH106" si="208">BG108</f>
        <v>-46279245.740256935</v>
      </c>
      <c r="BI106" s="11">
        <f t="shared" ref="BI106" si="209">BH108</f>
        <v>-47204830.655062072</v>
      </c>
      <c r="BJ106" s="11">
        <f t="shared" ref="BJ106" si="210">BI108</f>
        <v>-48148927.268163323</v>
      </c>
      <c r="BK106" s="11">
        <f t="shared" ref="BK106" si="211">BJ108</f>
        <v>-49111905.813526586</v>
      </c>
      <c r="BL106" s="11">
        <f t="shared" ref="BL106" si="212">BK108</f>
        <v>-50094143.92979712</v>
      </c>
      <c r="BM106" s="11">
        <f t="shared" ref="BM106" si="213">BL108</f>
        <v>-51096026.808393061</v>
      </c>
      <c r="BN106" s="11">
        <f t="shared" ref="BN106" si="214">BM108</f>
        <v>-52117947.344560921</v>
      </c>
      <c r="BO106" s="11">
        <f t="shared" ref="BO106" si="215">BN108</f>
        <v>-53160306.29145214</v>
      </c>
      <c r="BP106" s="11">
        <f t="shared" ref="BP106" si="216">BO108</f>
        <v>-54223512.417281181</v>
      </c>
      <c r="BQ106" s="11">
        <f t="shared" ref="BQ106" si="217">BP108</f>
        <v>-55307982.665626809</v>
      </c>
      <c r="BR106" s="11">
        <f t="shared" ref="BR106" si="218">BQ108</f>
        <v>-56414142.318939351</v>
      </c>
      <c r="BS106" s="11">
        <f t="shared" ref="BS106" si="219">BR108</f>
        <v>-57542425.165318139</v>
      </c>
    </row>
    <row r="107" spans="2:72" x14ac:dyDescent="0.35">
      <c r="C107" t="s">
        <v>91</v>
      </c>
      <c r="E107" s="11">
        <f t="shared" ref="E107:AJ107" si="220">E63</f>
        <v>33549984</v>
      </c>
      <c r="F107" s="11">
        <f t="shared" si="220"/>
        <v>30108959.999999996</v>
      </c>
      <c r="G107" s="11">
        <f t="shared" si="220"/>
        <v>29958415.199999999</v>
      </c>
      <c r="H107" s="11">
        <f t="shared" si="220"/>
        <v>31216539.599999998</v>
      </c>
      <c r="I107" s="11">
        <f t="shared" si="220"/>
        <v>31291812</v>
      </c>
      <c r="J107" s="11">
        <f t="shared" si="220"/>
        <v>31238046</v>
      </c>
      <c r="K107" s="11">
        <f t="shared" si="220"/>
        <v>31775706</v>
      </c>
      <c r="L107" s="11">
        <f t="shared" si="220"/>
        <v>33173622</v>
      </c>
      <c r="M107" s="11">
        <f t="shared" si="220"/>
        <v>33603750</v>
      </c>
      <c r="N107" s="11">
        <f t="shared" si="220"/>
        <v>33420945.599999998</v>
      </c>
      <c r="O107" s="11">
        <f t="shared" si="220"/>
        <v>34089364.511999995</v>
      </c>
      <c r="P107" s="11">
        <f t="shared" si="220"/>
        <v>34771151.802239992</v>
      </c>
      <c r="Q107" s="11">
        <f t="shared" si="220"/>
        <v>35466574.838284791</v>
      </c>
      <c r="R107" s="11">
        <f t="shared" si="220"/>
        <v>36175906.335050486</v>
      </c>
      <c r="S107" s="11">
        <f t="shared" si="220"/>
        <v>36899424.461751498</v>
      </c>
      <c r="T107" s="11">
        <f t="shared" si="220"/>
        <v>37637412.950986527</v>
      </c>
      <c r="U107" s="11">
        <f t="shared" si="220"/>
        <v>38390161.210006259</v>
      </c>
      <c r="V107" s="11">
        <f t="shared" si="220"/>
        <v>39157964.434206389</v>
      </c>
      <c r="W107" s="11">
        <f t="shared" si="220"/>
        <v>39941123.722890519</v>
      </c>
      <c r="X107" s="11">
        <f t="shared" si="220"/>
        <v>40739946.197348326</v>
      </c>
      <c r="Y107" s="11">
        <f t="shared" si="220"/>
        <v>41554745.121295296</v>
      </c>
      <c r="Z107" s="11">
        <f t="shared" si="220"/>
        <v>42385840.023721203</v>
      </c>
      <c r="AA107" s="11">
        <f t="shared" si="220"/>
        <v>43233556.824195631</v>
      </c>
      <c r="AB107" s="11">
        <f t="shared" si="220"/>
        <v>44098227.960679546</v>
      </c>
      <c r="AC107" s="11">
        <f t="shared" si="220"/>
        <v>44980192.519893132</v>
      </c>
      <c r="AD107" s="11">
        <f t="shared" si="220"/>
        <v>45879796.370290995</v>
      </c>
      <c r="AE107" s="11">
        <f t="shared" si="220"/>
        <v>46797392.297696829</v>
      </c>
      <c r="AF107" s="11">
        <f t="shared" si="220"/>
        <v>47733340.143650755</v>
      </c>
      <c r="AG107" s="11">
        <f t="shared" si="220"/>
        <v>48688006.946523771</v>
      </c>
      <c r="AH107" s="11">
        <f t="shared" si="220"/>
        <v>49661767.085454248</v>
      </c>
      <c r="AI107" s="11">
        <f t="shared" si="220"/>
        <v>50655002.427163333</v>
      </c>
      <c r="AJ107" s="11">
        <f t="shared" si="220"/>
        <v>51668102.4757066</v>
      </c>
      <c r="AK107" s="11">
        <f t="shared" ref="AK107:BT107" si="221">AK63</f>
        <v>52701464.525220737</v>
      </c>
      <c r="AL107" s="11">
        <f t="shared" si="221"/>
        <v>53755493.815725155</v>
      </c>
      <c r="AM107" s="11">
        <f t="shared" si="221"/>
        <v>54830603.692039654</v>
      </c>
      <c r="AN107" s="11">
        <f t="shared" si="221"/>
        <v>55927215.765880451</v>
      </c>
      <c r="AO107" s="11">
        <f t="shared" si="221"/>
        <v>57045760.081198052</v>
      </c>
      <c r="AP107" s="11">
        <f t="shared" si="221"/>
        <v>58186675.282822028</v>
      </c>
      <c r="AQ107" s="11">
        <f t="shared" si="221"/>
        <v>59350408.788478456</v>
      </c>
      <c r="AR107" s="11">
        <f t="shared" si="221"/>
        <v>60537416.964248024</v>
      </c>
      <c r="AS107" s="11">
        <f t="shared" si="221"/>
        <v>61748165.303532988</v>
      </c>
      <c r="AT107" s="11">
        <f t="shared" si="221"/>
        <v>62983128.609603643</v>
      </c>
      <c r="AU107" s="11">
        <f t="shared" si="221"/>
        <v>64242791.181795716</v>
      </c>
      <c r="AV107" s="11">
        <f t="shared" si="221"/>
        <v>65527647.005431637</v>
      </c>
      <c r="AW107" s="11">
        <f t="shared" si="221"/>
        <v>66838199.945540272</v>
      </c>
      <c r="AX107" s="11">
        <f t="shared" si="221"/>
        <v>68174963.944451079</v>
      </c>
      <c r="AY107" s="11">
        <f t="shared" si="221"/>
        <v>69538463.223340079</v>
      </c>
      <c r="AZ107" s="11">
        <f t="shared" si="221"/>
        <v>70929232.487806886</v>
      </c>
      <c r="BA107" s="11">
        <f t="shared" si="221"/>
        <v>72347817.13756302</v>
      </c>
      <c r="BB107" s="11">
        <f t="shared" si="221"/>
        <v>73794773.480314285</v>
      </c>
      <c r="BC107" s="11">
        <f t="shared" si="221"/>
        <v>75270668.94992058</v>
      </c>
      <c r="BD107" s="11">
        <f t="shared" si="221"/>
        <v>76776082.328918993</v>
      </c>
      <c r="BE107" s="11">
        <f t="shared" si="221"/>
        <v>78311603.975497365</v>
      </c>
      <c r="BF107" s="11">
        <f t="shared" si="221"/>
        <v>79877836.055007339</v>
      </c>
      <c r="BG107" s="11">
        <f t="shared" si="221"/>
        <v>81475392.776107475</v>
      </c>
      <c r="BH107" s="11">
        <f t="shared" si="221"/>
        <v>83104900.631629631</v>
      </c>
      <c r="BI107" s="11">
        <f t="shared" si="221"/>
        <v>84766998.644262224</v>
      </c>
      <c r="BJ107" s="11">
        <f t="shared" si="221"/>
        <v>86462338.617147475</v>
      </c>
      <c r="BK107" s="11">
        <f t="shared" si="221"/>
        <v>88191585.389490426</v>
      </c>
      <c r="BL107" s="11">
        <f t="shared" si="221"/>
        <v>89955417.097280234</v>
      </c>
      <c r="BM107" s="11">
        <f t="shared" si="221"/>
        <v>91754525.439225838</v>
      </c>
      <c r="BN107" s="11">
        <f t="shared" si="221"/>
        <v>93589615.948010355</v>
      </c>
      <c r="BO107" s="11">
        <f t="shared" si="221"/>
        <v>95461408.26697056</v>
      </c>
      <c r="BP107" s="11">
        <f t="shared" si="221"/>
        <v>97370636.43230997</v>
      </c>
      <c r="BQ107" s="11">
        <f t="shared" si="221"/>
        <v>99318049.160956174</v>
      </c>
      <c r="BR107" s="11">
        <f t="shared" si="221"/>
        <v>101304410.14417531</v>
      </c>
      <c r="BS107" s="11">
        <f t="shared" si="221"/>
        <v>103330498.34705882</v>
      </c>
      <c r="BT107" s="11">
        <f t="shared" si="221"/>
        <v>0</v>
      </c>
    </row>
    <row r="108" spans="2:72" x14ac:dyDescent="0.35">
      <c r="C108" t="s">
        <v>96</v>
      </c>
      <c r="D108" s="11">
        <f t="shared" ref="D108:AI108" si="222">E107*$K$103</f>
        <v>-18683229.777267125</v>
      </c>
      <c r="E108" s="11">
        <f t="shared" si="222"/>
        <v>-16767001.082162803</v>
      </c>
      <c r="F108" s="11">
        <f t="shared" si="222"/>
        <v>-16683166.076751992</v>
      </c>
      <c r="G108" s="11">
        <f t="shared" si="222"/>
        <v>-17383787.193399508</v>
      </c>
      <c r="H108" s="11">
        <f t="shared" si="222"/>
        <v>-17425704.696104918</v>
      </c>
      <c r="I108" s="11">
        <f t="shared" si="222"/>
        <v>-17395763.622743912</v>
      </c>
      <c r="J108" s="11">
        <f t="shared" si="222"/>
        <v>-17695174.356353961</v>
      </c>
      <c r="K108" s="11">
        <f t="shared" si="222"/>
        <v>-18473642.263740093</v>
      </c>
      <c r="L108" s="11">
        <f t="shared" si="222"/>
        <v>-18713170.85062813</v>
      </c>
      <c r="M108" s="11">
        <f t="shared" si="222"/>
        <v>-18611371.201200712</v>
      </c>
      <c r="N108" s="11">
        <f t="shared" si="222"/>
        <v>-18983598.625224724</v>
      </c>
      <c r="O108" s="11">
        <f t="shared" si="222"/>
        <v>-19363270.597729217</v>
      </c>
      <c r="P108" s="11">
        <f t="shared" si="222"/>
        <v>-19750536.009683803</v>
      </c>
      <c r="Q108" s="11">
        <f t="shared" si="222"/>
        <v>-20145546.729877479</v>
      </c>
      <c r="R108" s="11">
        <f t="shared" si="222"/>
        <v>-20548457.664475027</v>
      </c>
      <c r="S108" s="11">
        <f t="shared" si="222"/>
        <v>-20959426.817764528</v>
      </c>
      <c r="T108" s="11">
        <f t="shared" si="222"/>
        <v>-21378615.354119822</v>
      </c>
      <c r="U108" s="11">
        <f t="shared" si="222"/>
        <v>-21806187.661202218</v>
      </c>
      <c r="V108" s="11">
        <f t="shared" si="222"/>
        <v>-22242311.414426263</v>
      </c>
      <c r="W108" s="11">
        <f t="shared" si="222"/>
        <v>-22687157.642714787</v>
      </c>
      <c r="X108" s="11">
        <f t="shared" si="222"/>
        <v>-23140900.795569085</v>
      </c>
      <c r="Y108" s="11">
        <f t="shared" si="222"/>
        <v>-23603718.81148047</v>
      </c>
      <c r="Z108" s="11">
        <f t="shared" si="222"/>
        <v>-24075793.18771008</v>
      </c>
      <c r="AA108" s="11">
        <f t="shared" si="222"/>
        <v>-24557309.051464282</v>
      </c>
      <c r="AB108" s="11">
        <f t="shared" si="222"/>
        <v>-25048455.232493564</v>
      </c>
      <c r="AC108" s="11">
        <f t="shared" si="222"/>
        <v>-25549424.337143436</v>
      </c>
      <c r="AD108" s="11">
        <f t="shared" si="222"/>
        <v>-26060412.823886313</v>
      </c>
      <c r="AE108" s="11">
        <f t="shared" si="222"/>
        <v>-26581621.080364034</v>
      </c>
      <c r="AF108" s="11">
        <f t="shared" si="222"/>
        <v>-27113253.501971316</v>
      </c>
      <c r="AG108" s="11">
        <f t="shared" si="222"/>
        <v>-27655518.572010744</v>
      </c>
      <c r="AH108" s="11">
        <f t="shared" si="222"/>
        <v>-28208628.943450958</v>
      </c>
      <c r="AI108" s="11">
        <f t="shared" si="222"/>
        <v>-28772801.522319976</v>
      </c>
      <c r="AJ108" s="11">
        <f t="shared" ref="AJ108:BS108" si="223">AK107*$K$103</f>
        <v>-29348257.552766379</v>
      </c>
      <c r="AK108" s="11">
        <f t="shared" si="223"/>
        <v>-29935222.703821708</v>
      </c>
      <c r="AL108" s="11">
        <f t="shared" si="223"/>
        <v>-30533927.157898139</v>
      </c>
      <c r="AM108" s="11">
        <f t="shared" si="223"/>
        <v>-31144605.701056104</v>
      </c>
      <c r="AN108" s="11">
        <f t="shared" si="223"/>
        <v>-31767497.815077223</v>
      </c>
      <c r="AO108" s="11">
        <f t="shared" si="223"/>
        <v>-32402847.771378778</v>
      </c>
      <c r="AP108" s="11">
        <f t="shared" si="223"/>
        <v>-33050904.726806346</v>
      </c>
      <c r="AQ108" s="11">
        <f t="shared" si="223"/>
        <v>-33711922.821342468</v>
      </c>
      <c r="AR108" s="11">
        <f t="shared" si="223"/>
        <v>-34386161.27776932</v>
      </c>
      <c r="AS108" s="11">
        <f t="shared" si="223"/>
        <v>-35073884.50332471</v>
      </c>
      <c r="AT108" s="11">
        <f t="shared" si="223"/>
        <v>-35775362.193391204</v>
      </c>
      <c r="AU108" s="11">
        <f t="shared" si="223"/>
        <v>-36490869.437259026</v>
      </c>
      <c r="AV108" s="11">
        <f t="shared" si="223"/>
        <v>-37220686.826004207</v>
      </c>
      <c r="AW108" s="11">
        <f t="shared" si="223"/>
        <v>-37965100.562524296</v>
      </c>
      <c r="AX108" s="11">
        <f t="shared" si="223"/>
        <v>-38724402.57377477</v>
      </c>
      <c r="AY108" s="11">
        <f t="shared" si="223"/>
        <v>-39498890.625250265</v>
      </c>
      <c r="AZ108" s="11">
        <f t="shared" si="223"/>
        <v>-40288868.437755272</v>
      </c>
      <c r="BA108" s="11">
        <f t="shared" si="223"/>
        <v>-41094645.806510381</v>
      </c>
      <c r="BB108" s="11">
        <f t="shared" si="223"/>
        <v>-41916538.722640589</v>
      </c>
      <c r="BC108" s="11">
        <f t="shared" si="223"/>
        <v>-42754869.497093402</v>
      </c>
      <c r="BD108" s="11">
        <f t="shared" si="223"/>
        <v>-43609966.887035266</v>
      </c>
      <c r="BE108" s="11">
        <f t="shared" si="223"/>
        <v>-44482166.224775985</v>
      </c>
      <c r="BF108" s="11">
        <f t="shared" si="223"/>
        <v>-45371809.549271502</v>
      </c>
      <c r="BG108" s="11">
        <f t="shared" si="223"/>
        <v>-46279245.740256935</v>
      </c>
      <c r="BH108" s="11">
        <f t="shared" si="223"/>
        <v>-47204830.655062072</v>
      </c>
      <c r="BI108" s="11">
        <f t="shared" si="223"/>
        <v>-48148927.268163323</v>
      </c>
      <c r="BJ108" s="11">
        <f t="shared" si="223"/>
        <v>-49111905.813526586</v>
      </c>
      <c r="BK108" s="11">
        <f t="shared" si="223"/>
        <v>-50094143.92979712</v>
      </c>
      <c r="BL108" s="11">
        <f t="shared" si="223"/>
        <v>-51096026.808393061</v>
      </c>
      <c r="BM108" s="11">
        <f t="shared" si="223"/>
        <v>-52117947.344560921</v>
      </c>
      <c r="BN108" s="11">
        <f t="shared" si="223"/>
        <v>-53160306.29145214</v>
      </c>
      <c r="BO108" s="11">
        <f t="shared" si="223"/>
        <v>-54223512.417281181</v>
      </c>
      <c r="BP108" s="11">
        <f t="shared" si="223"/>
        <v>-55307982.665626809</v>
      </c>
      <c r="BQ108" s="11">
        <f t="shared" si="223"/>
        <v>-56414142.318939351</v>
      </c>
      <c r="BR108" s="11">
        <f t="shared" si="223"/>
        <v>-57542425.165318139</v>
      </c>
      <c r="BS108" s="11">
        <f t="shared" si="223"/>
        <v>0</v>
      </c>
    </row>
    <row r="109" spans="2:72" ht="15" thickBot="1" x14ac:dyDescent="0.4">
      <c r="C109" s="34" t="s">
        <v>33</v>
      </c>
      <c r="D109" s="36">
        <f>D106-D108</f>
        <v>18683229.777267125</v>
      </c>
      <c r="E109" s="36">
        <f>E106-E108</f>
        <v>-1916228.6951043215</v>
      </c>
      <c r="F109" s="36">
        <f>F106-F108</f>
        <v>-83835.005410810933</v>
      </c>
      <c r="G109" s="36">
        <f t="shared" ref="G109:N109" si="224">G106-G108</f>
        <v>700621.11664751545</v>
      </c>
      <c r="H109" s="36">
        <f t="shared" si="224"/>
        <v>41917.502705410123</v>
      </c>
      <c r="I109" s="36">
        <f t="shared" si="224"/>
        <v>-29941.073361005634</v>
      </c>
      <c r="J109" s="36">
        <f t="shared" si="224"/>
        <v>299410.73361004889</v>
      </c>
      <c r="K109" s="36">
        <f t="shared" si="224"/>
        <v>778467.90738613158</v>
      </c>
      <c r="L109" s="36">
        <f t="shared" si="224"/>
        <v>239528.58688803762</v>
      </c>
      <c r="M109" s="36">
        <f t="shared" si="224"/>
        <v>-101799.64942741767</v>
      </c>
      <c r="N109" s="36">
        <f t="shared" si="224"/>
        <v>372227.42402401194</v>
      </c>
      <c r="O109" s="36">
        <f t="shared" ref="O109:BS109" si="225">O106-O108</f>
        <v>379671.97250449285</v>
      </c>
      <c r="P109" s="36">
        <f t="shared" si="225"/>
        <v>387265.41195458546</v>
      </c>
      <c r="Q109" s="36">
        <f t="shared" si="225"/>
        <v>395010.72019367665</v>
      </c>
      <c r="R109" s="36">
        <f t="shared" si="225"/>
        <v>402910.9345975481</v>
      </c>
      <c r="S109" s="36">
        <f t="shared" si="225"/>
        <v>410969.15328950062</v>
      </c>
      <c r="T109" s="36">
        <f t="shared" si="225"/>
        <v>419188.53635529429</v>
      </c>
      <c r="U109" s="36">
        <f t="shared" si="225"/>
        <v>427572.307082396</v>
      </c>
      <c r="V109" s="36">
        <f t="shared" si="225"/>
        <v>436123.75322404504</v>
      </c>
      <c r="W109" s="36">
        <f t="shared" si="225"/>
        <v>444846.22828852385</v>
      </c>
      <c r="X109" s="36">
        <f t="shared" si="225"/>
        <v>453743.15285429731</v>
      </c>
      <c r="Y109" s="36">
        <f t="shared" si="225"/>
        <v>462818.01591138542</v>
      </c>
      <c r="Z109" s="36">
        <f t="shared" si="225"/>
        <v>472074.37622961029</v>
      </c>
      <c r="AA109" s="36">
        <f t="shared" si="225"/>
        <v>481515.86375420168</v>
      </c>
      <c r="AB109" s="36">
        <f t="shared" si="225"/>
        <v>491146.18102928251</v>
      </c>
      <c r="AC109" s="36">
        <f t="shared" si="225"/>
        <v>500969.10464987159</v>
      </c>
      <c r="AD109" s="36">
        <f t="shared" si="225"/>
        <v>510988.48674287647</v>
      </c>
      <c r="AE109" s="36">
        <f t="shared" si="225"/>
        <v>521208.25647772104</v>
      </c>
      <c r="AF109" s="36">
        <f t="shared" si="225"/>
        <v>531632.42160728201</v>
      </c>
      <c r="AG109" s="36">
        <f t="shared" si="225"/>
        <v>542265.07003942877</v>
      </c>
      <c r="AH109" s="36">
        <f t="shared" si="225"/>
        <v>553110.37144021317</v>
      </c>
      <c r="AI109" s="36">
        <f t="shared" si="225"/>
        <v>564172.5788690187</v>
      </c>
      <c r="AJ109" s="36">
        <f t="shared" si="225"/>
        <v>575456.03044640273</v>
      </c>
      <c r="AK109" s="36">
        <f t="shared" si="225"/>
        <v>586965.15105532855</v>
      </c>
      <c r="AL109" s="36">
        <f t="shared" si="225"/>
        <v>598704.45407643169</v>
      </c>
      <c r="AM109" s="36">
        <f t="shared" si="225"/>
        <v>610678.54315796494</v>
      </c>
      <c r="AN109" s="36">
        <f t="shared" si="225"/>
        <v>622892.11402111873</v>
      </c>
      <c r="AO109" s="36">
        <f t="shared" si="225"/>
        <v>635349.95630155504</v>
      </c>
      <c r="AP109" s="36">
        <f t="shared" si="225"/>
        <v>648056.95542756841</v>
      </c>
      <c r="AQ109" s="36">
        <f t="shared" si="225"/>
        <v>661018.09453612193</v>
      </c>
      <c r="AR109" s="36">
        <f t="shared" si="225"/>
        <v>674238.45642685145</v>
      </c>
      <c r="AS109" s="36">
        <f t="shared" si="225"/>
        <v>687723.22555539012</v>
      </c>
      <c r="AT109" s="36">
        <f t="shared" si="225"/>
        <v>701477.69006649405</v>
      </c>
      <c r="AU109" s="36">
        <f t="shared" si="225"/>
        <v>715507.24386782199</v>
      </c>
      <c r="AV109" s="36">
        <f t="shared" si="225"/>
        <v>729817.38874518126</v>
      </c>
      <c r="AW109" s="36">
        <f t="shared" si="225"/>
        <v>744413.73652008921</v>
      </c>
      <c r="AX109" s="36">
        <f t="shared" si="225"/>
        <v>759302.01125047356</v>
      </c>
      <c r="AY109" s="36">
        <f t="shared" si="225"/>
        <v>774488.0514754951</v>
      </c>
      <c r="AZ109" s="36">
        <f t="shared" si="225"/>
        <v>789977.81250500679</v>
      </c>
      <c r="BA109" s="36">
        <f t="shared" si="225"/>
        <v>805777.36875510961</v>
      </c>
      <c r="BB109" s="36">
        <f t="shared" si="225"/>
        <v>821892.91613020748</v>
      </c>
      <c r="BC109" s="36">
        <f t="shared" si="225"/>
        <v>838330.77445281297</v>
      </c>
      <c r="BD109" s="36">
        <f t="shared" si="225"/>
        <v>855097.38994186372</v>
      </c>
      <c r="BE109" s="36">
        <f t="shared" si="225"/>
        <v>872199.33774071932</v>
      </c>
      <c r="BF109" s="36">
        <f t="shared" si="225"/>
        <v>889643.32449551672</v>
      </c>
      <c r="BG109" s="36">
        <f t="shared" si="225"/>
        <v>907436.19098543376</v>
      </c>
      <c r="BH109" s="36">
        <f t="shared" si="225"/>
        <v>925584.91480513662</v>
      </c>
      <c r="BI109" s="36">
        <f t="shared" si="225"/>
        <v>944096.61310125142</v>
      </c>
      <c r="BJ109" s="36">
        <f t="shared" si="225"/>
        <v>962978.5453632623</v>
      </c>
      <c r="BK109" s="36">
        <f t="shared" si="225"/>
        <v>982238.11627053469</v>
      </c>
      <c r="BL109" s="36">
        <f t="shared" si="225"/>
        <v>1001882.8785959408</v>
      </c>
      <c r="BM109" s="36">
        <f t="shared" si="225"/>
        <v>1021920.53616786</v>
      </c>
      <c r="BN109" s="36">
        <f t="shared" si="225"/>
        <v>1042358.9468912184</v>
      </c>
      <c r="BO109" s="36">
        <f t="shared" si="225"/>
        <v>1063206.125829041</v>
      </c>
      <c r="BP109" s="36">
        <f t="shared" si="225"/>
        <v>1084470.2483456284</v>
      </c>
      <c r="BQ109" s="36">
        <f t="shared" si="225"/>
        <v>1106159.6533125415</v>
      </c>
      <c r="BR109" s="36">
        <f t="shared" si="225"/>
        <v>1128282.8463787884</v>
      </c>
      <c r="BS109" s="36">
        <f t="shared" si="225"/>
        <v>-57542425.165318139</v>
      </c>
    </row>
    <row r="110" spans="2:72" ht="15" thickTop="1" x14ac:dyDescent="0.35"/>
    <row r="112" spans="2:72" x14ac:dyDescent="0.35">
      <c r="C112" s="194" t="s">
        <v>99</v>
      </c>
      <c r="D112" s="195"/>
    </row>
    <row r="113" spans="3:10" x14ac:dyDescent="0.35">
      <c r="C113" s="195" t="s">
        <v>134</v>
      </c>
      <c r="D113" s="196">
        <v>2.6599999999999999E-2</v>
      </c>
    </row>
    <row r="114" spans="3:10" x14ac:dyDescent="0.35">
      <c r="C114" s="195" t="s">
        <v>135</v>
      </c>
      <c r="D114" s="196">
        <f>rf+riskprem</f>
        <v>7.6600000000000001E-2</v>
      </c>
    </row>
    <row r="115" spans="3:10" x14ac:dyDescent="0.35">
      <c r="C115" s="195" t="s">
        <v>136</v>
      </c>
      <c r="D115" s="197">
        <v>0.05</v>
      </c>
      <c r="G115" s="49"/>
    </row>
    <row r="116" spans="3:10" x14ac:dyDescent="0.35">
      <c r="C116" s="195" t="s">
        <v>101</v>
      </c>
      <c r="D116" s="195">
        <v>0.63</v>
      </c>
      <c r="G116" s="49"/>
    </row>
    <row r="117" spans="3:10" x14ac:dyDescent="0.35">
      <c r="C117" s="195"/>
      <c r="D117" s="195"/>
      <c r="G117" s="49"/>
    </row>
    <row r="118" spans="3:10" x14ac:dyDescent="0.35">
      <c r="C118" s="195" t="s">
        <v>133</v>
      </c>
      <c r="D118" s="195"/>
      <c r="G118" s="49"/>
    </row>
    <row r="119" spans="3:10" x14ac:dyDescent="0.35">
      <c r="C119" s="195"/>
      <c r="D119" s="195"/>
      <c r="G119" s="49"/>
      <c r="J119" s="49"/>
    </row>
    <row r="120" spans="3:10" ht="15" thickBot="1" x14ac:dyDescent="0.4">
      <c r="C120" s="198" t="s">
        <v>107</v>
      </c>
      <c r="D120" s="199">
        <f>(rf*(1-selskatt))+(((rm-(rf*(1-selskatt)))*beta))</f>
        <v>5.5836339999999998E-2</v>
      </c>
      <c r="G120" s="49"/>
      <c r="J120" s="50"/>
    </row>
    <row r="121" spans="3:10" ht="15" thickTop="1" x14ac:dyDescent="0.35">
      <c r="G121" s="49"/>
    </row>
    <row r="122" spans="3:10" x14ac:dyDescent="0.35">
      <c r="C122" t="s">
        <v>102</v>
      </c>
      <c r="J122" s="51"/>
    </row>
    <row r="123" spans="3:10" x14ac:dyDescent="0.35">
      <c r="C123" t="s">
        <v>103</v>
      </c>
      <c r="D123">
        <v>0.3</v>
      </c>
      <c r="G123" s="51"/>
    </row>
    <row r="124" spans="3:10" x14ac:dyDescent="0.35">
      <c r="C124" t="s">
        <v>104</v>
      </c>
      <c r="D124">
        <v>0.7</v>
      </c>
    </row>
    <row r="125" spans="3:10" x14ac:dyDescent="0.35">
      <c r="C125" t="s">
        <v>105</v>
      </c>
      <c r="D125" s="52">
        <f>lånerente</f>
        <v>0.03</v>
      </c>
    </row>
    <row r="127" spans="3:10" x14ac:dyDescent="0.35">
      <c r="C127" t="s">
        <v>108</v>
      </c>
    </row>
    <row r="128" spans="3:10" x14ac:dyDescent="0.35">
      <c r="C128" t="s">
        <v>109</v>
      </c>
      <c r="D128">
        <f>0.03*0.77</f>
        <v>2.3099999999999999E-2</v>
      </c>
      <c r="E128">
        <f>D128*0.7/0.3</f>
        <v>5.389999999999999E-2</v>
      </c>
    </row>
    <row r="129" spans="3:71" x14ac:dyDescent="0.35">
      <c r="C129" t="s">
        <v>110</v>
      </c>
      <c r="D129">
        <f>E129-E128</f>
        <v>0.10110000000000001</v>
      </c>
      <c r="E129">
        <f>0.0465/0.3</f>
        <v>0.155</v>
      </c>
    </row>
    <row r="131" spans="3:71" ht="15" thickBot="1" x14ac:dyDescent="0.4">
      <c r="C131" s="34" t="s">
        <v>111</v>
      </c>
      <c r="D131" s="53">
        <f>D129</f>
        <v>0.10110000000000001</v>
      </c>
    </row>
    <row r="132" spans="3:71" ht="15" thickTop="1" x14ac:dyDescent="0.35"/>
    <row r="134" spans="3:71" x14ac:dyDescent="0.35">
      <c r="C134" s="19" t="s">
        <v>55</v>
      </c>
      <c r="D134">
        <v>0</v>
      </c>
      <c r="E134">
        <v>1</v>
      </c>
      <c r="F134">
        <v>2</v>
      </c>
      <c r="G134">
        <v>3</v>
      </c>
      <c r="H134">
        <v>4</v>
      </c>
      <c r="I134">
        <v>5</v>
      </c>
      <c r="J134">
        <v>6</v>
      </c>
      <c r="K134">
        <v>7</v>
      </c>
      <c r="L134">
        <v>8</v>
      </c>
      <c r="M134">
        <v>9</v>
      </c>
      <c r="N134">
        <v>10</v>
      </c>
      <c r="O134">
        <v>11</v>
      </c>
      <c r="P134">
        <v>12</v>
      </c>
      <c r="Q134">
        <v>13</v>
      </c>
      <c r="R134">
        <v>14</v>
      </c>
      <c r="S134">
        <v>15</v>
      </c>
      <c r="T134">
        <v>16</v>
      </c>
      <c r="U134">
        <v>17</v>
      </c>
      <c r="V134">
        <v>18</v>
      </c>
      <c r="W134">
        <v>19</v>
      </c>
      <c r="X134">
        <v>20</v>
      </c>
      <c r="Y134">
        <v>21</v>
      </c>
      <c r="Z134">
        <v>22</v>
      </c>
      <c r="AA134">
        <v>23</v>
      </c>
      <c r="AB134">
        <v>24</v>
      </c>
      <c r="AC134">
        <v>25</v>
      </c>
      <c r="AD134">
        <v>26</v>
      </c>
      <c r="AE134">
        <v>27</v>
      </c>
      <c r="AF134">
        <v>28</v>
      </c>
      <c r="AG134">
        <v>29</v>
      </c>
      <c r="AH134">
        <v>30</v>
      </c>
      <c r="AI134">
        <v>31</v>
      </c>
      <c r="AJ134">
        <v>32</v>
      </c>
      <c r="AK134">
        <v>33</v>
      </c>
      <c r="AL134">
        <v>34</v>
      </c>
      <c r="AM134">
        <v>35</v>
      </c>
      <c r="AN134">
        <v>36</v>
      </c>
      <c r="AO134">
        <v>37</v>
      </c>
      <c r="AP134">
        <v>38</v>
      </c>
      <c r="AQ134">
        <v>39</v>
      </c>
      <c r="AR134">
        <v>40</v>
      </c>
      <c r="AS134">
        <v>41</v>
      </c>
      <c r="AT134">
        <v>42</v>
      </c>
      <c r="AU134">
        <v>43</v>
      </c>
      <c r="AV134">
        <v>44</v>
      </c>
      <c r="AW134">
        <v>45</v>
      </c>
      <c r="AX134">
        <v>46</v>
      </c>
      <c r="AY134">
        <v>47</v>
      </c>
      <c r="AZ134">
        <v>48</v>
      </c>
      <c r="BA134">
        <v>49</v>
      </c>
      <c r="BB134">
        <v>50</v>
      </c>
      <c r="BC134">
        <v>51</v>
      </c>
      <c r="BD134">
        <v>52</v>
      </c>
      <c r="BE134">
        <v>53</v>
      </c>
      <c r="BF134">
        <v>54</v>
      </c>
      <c r="BG134">
        <v>55</v>
      </c>
      <c r="BH134">
        <v>56</v>
      </c>
      <c r="BI134">
        <v>57</v>
      </c>
      <c r="BJ134">
        <v>58</v>
      </c>
      <c r="BK134">
        <v>59</v>
      </c>
      <c r="BL134">
        <v>60</v>
      </c>
      <c r="BM134">
        <v>61</v>
      </c>
      <c r="BN134">
        <v>62</v>
      </c>
      <c r="BO134">
        <v>63</v>
      </c>
      <c r="BP134">
        <v>64</v>
      </c>
      <c r="BQ134">
        <v>65</v>
      </c>
      <c r="BR134">
        <v>66</v>
      </c>
      <c r="BS134">
        <v>67</v>
      </c>
    </row>
    <row r="135" spans="3:71" x14ac:dyDescent="0.35">
      <c r="C135" t="s">
        <v>118</v>
      </c>
      <c r="E135" s="11">
        <f>invest*-1</f>
        <v>125000000</v>
      </c>
      <c r="F135" s="11">
        <f>E135-E136</f>
        <v>123134328.35820895</v>
      </c>
      <c r="G135" s="11">
        <f>F135-F136</f>
        <v>121268656.71641791</v>
      </c>
      <c r="H135" s="11">
        <f>G135-G136</f>
        <v>119402985.07462686</v>
      </c>
      <c r="I135" s="11">
        <f t="shared" ref="I135:BS135" si="226">H135-H136</f>
        <v>117537313.43283582</v>
      </c>
      <c r="J135" s="11">
        <f t="shared" si="226"/>
        <v>115671641.79104477</v>
      </c>
      <c r="K135" s="11">
        <f t="shared" si="226"/>
        <v>113805970.14925373</v>
      </c>
      <c r="L135" s="11">
        <f t="shared" si="226"/>
        <v>111940298.50746268</v>
      </c>
      <c r="M135" s="11">
        <f t="shared" si="226"/>
        <v>110074626.86567163</v>
      </c>
      <c r="N135" s="11">
        <f t="shared" si="226"/>
        <v>108208955.22388059</v>
      </c>
      <c r="O135" s="11">
        <f t="shared" si="226"/>
        <v>106343283.58208954</v>
      </c>
      <c r="P135" s="11">
        <f t="shared" si="226"/>
        <v>104477611.9402985</v>
      </c>
      <c r="Q135" s="11">
        <f t="shared" si="226"/>
        <v>102611940.29850745</v>
      </c>
      <c r="R135" s="11">
        <f t="shared" si="226"/>
        <v>100746268.65671641</v>
      </c>
      <c r="S135" s="11">
        <f t="shared" si="226"/>
        <v>98880597.014925361</v>
      </c>
      <c r="T135" s="11">
        <f t="shared" si="226"/>
        <v>97014925.373134315</v>
      </c>
      <c r="U135" s="11">
        <f t="shared" si="226"/>
        <v>95149253.731343269</v>
      </c>
      <c r="V135" s="11">
        <f t="shared" si="226"/>
        <v>93283582.089552224</v>
      </c>
      <c r="W135" s="11">
        <f t="shared" si="226"/>
        <v>91417910.447761178</v>
      </c>
      <c r="X135" s="11">
        <f t="shared" si="226"/>
        <v>89552238.805970132</v>
      </c>
      <c r="Y135" s="11">
        <f t="shared" si="226"/>
        <v>87686567.164179087</v>
      </c>
      <c r="Z135" s="11">
        <f t="shared" si="226"/>
        <v>85820895.522388041</v>
      </c>
      <c r="AA135" s="11">
        <f t="shared" si="226"/>
        <v>83955223.880596995</v>
      </c>
      <c r="AB135" s="11">
        <f t="shared" si="226"/>
        <v>82089552.23880595</v>
      </c>
      <c r="AC135" s="11">
        <f t="shared" si="226"/>
        <v>80223880.597014904</v>
      </c>
      <c r="AD135" s="11">
        <f t="shared" si="226"/>
        <v>78358208.955223858</v>
      </c>
      <c r="AE135" s="11">
        <f t="shared" si="226"/>
        <v>76492537.313432813</v>
      </c>
      <c r="AF135" s="11">
        <f t="shared" si="226"/>
        <v>74626865.671641767</v>
      </c>
      <c r="AG135" s="11">
        <f t="shared" si="226"/>
        <v>72761194.029850721</v>
      </c>
      <c r="AH135" s="11">
        <f t="shared" si="226"/>
        <v>70895522.388059676</v>
      </c>
      <c r="AI135" s="11">
        <f t="shared" si="226"/>
        <v>69029850.74626863</v>
      </c>
      <c r="AJ135" s="11">
        <f t="shared" si="226"/>
        <v>67164179.104477584</v>
      </c>
      <c r="AK135" s="11">
        <f t="shared" si="226"/>
        <v>65298507.462686539</v>
      </c>
      <c r="AL135" s="11">
        <f t="shared" si="226"/>
        <v>63432835.820895493</v>
      </c>
      <c r="AM135" s="11">
        <f t="shared" si="226"/>
        <v>61567164.179104447</v>
      </c>
      <c r="AN135" s="11">
        <f t="shared" si="226"/>
        <v>59701492.537313402</v>
      </c>
      <c r="AO135" s="11">
        <f t="shared" si="226"/>
        <v>57835820.895522356</v>
      </c>
      <c r="AP135" s="11">
        <f t="shared" si="226"/>
        <v>55970149.25373131</v>
      </c>
      <c r="AQ135" s="11">
        <f t="shared" si="226"/>
        <v>54104477.611940265</v>
      </c>
      <c r="AR135" s="11">
        <f t="shared" si="226"/>
        <v>52238805.970149219</v>
      </c>
      <c r="AS135" s="11">
        <f t="shared" si="226"/>
        <v>50373134.328358173</v>
      </c>
      <c r="AT135" s="11">
        <f t="shared" si="226"/>
        <v>48507462.686567128</v>
      </c>
      <c r="AU135" s="11">
        <f t="shared" si="226"/>
        <v>46641791.044776082</v>
      </c>
      <c r="AV135" s="11">
        <f t="shared" si="226"/>
        <v>44776119.402985036</v>
      </c>
      <c r="AW135" s="11">
        <f t="shared" si="226"/>
        <v>42910447.761193991</v>
      </c>
      <c r="AX135" s="11">
        <f t="shared" si="226"/>
        <v>41044776.119402945</v>
      </c>
      <c r="AY135" s="11">
        <f t="shared" si="226"/>
        <v>39179104.477611899</v>
      </c>
      <c r="AZ135" s="11">
        <f t="shared" si="226"/>
        <v>37313432.835820854</v>
      </c>
      <c r="BA135" s="11">
        <f t="shared" si="226"/>
        <v>35447761.194029808</v>
      </c>
      <c r="BB135" s="11">
        <f t="shared" si="226"/>
        <v>33582089.552238762</v>
      </c>
      <c r="BC135" s="11">
        <f t="shared" si="226"/>
        <v>31716417.910447717</v>
      </c>
      <c r="BD135" s="11">
        <f t="shared" si="226"/>
        <v>29850746.268656671</v>
      </c>
      <c r="BE135" s="11">
        <f t="shared" si="226"/>
        <v>27985074.626865625</v>
      </c>
      <c r="BF135" s="11">
        <f t="shared" si="226"/>
        <v>26119402.98507458</v>
      </c>
      <c r="BG135" s="11">
        <f t="shared" si="226"/>
        <v>24253731.343283534</v>
      </c>
      <c r="BH135" s="11">
        <f t="shared" si="226"/>
        <v>22388059.701492488</v>
      </c>
      <c r="BI135" s="11">
        <f t="shared" si="226"/>
        <v>20522388.059701443</v>
      </c>
      <c r="BJ135" s="11">
        <f t="shared" si="226"/>
        <v>18656716.417910397</v>
      </c>
      <c r="BK135" s="11">
        <f t="shared" si="226"/>
        <v>16791044.776119351</v>
      </c>
      <c r="BL135" s="11">
        <f t="shared" si="226"/>
        <v>14925373.134328306</v>
      </c>
      <c r="BM135" s="11">
        <f t="shared" si="226"/>
        <v>13059701.49253726</v>
      </c>
      <c r="BN135" s="11">
        <f t="shared" si="226"/>
        <v>11194029.850746214</v>
      </c>
      <c r="BO135" s="11">
        <f t="shared" si="226"/>
        <v>9328358.2089551687</v>
      </c>
      <c r="BP135" s="11">
        <f t="shared" si="226"/>
        <v>7462686.567164124</v>
      </c>
      <c r="BQ135" s="11">
        <f t="shared" si="226"/>
        <v>5597014.9253730793</v>
      </c>
      <c r="BR135" s="11">
        <f t="shared" si="226"/>
        <v>3731343.2835820345</v>
      </c>
      <c r="BS135" s="11">
        <f t="shared" si="226"/>
        <v>1865671.6417909898</v>
      </c>
    </row>
    <row r="136" spans="3:71" x14ac:dyDescent="0.35">
      <c r="C136" t="s">
        <v>10</v>
      </c>
      <c r="E136" s="11">
        <f t="shared" ref="E136:AJ136" si="227">$C$140</f>
        <v>1865671.6417910447</v>
      </c>
      <c r="F136" s="11">
        <f t="shared" si="227"/>
        <v>1865671.6417910447</v>
      </c>
      <c r="G136" s="11">
        <f t="shared" si="227"/>
        <v>1865671.6417910447</v>
      </c>
      <c r="H136" s="11">
        <f t="shared" si="227"/>
        <v>1865671.6417910447</v>
      </c>
      <c r="I136" s="11">
        <f t="shared" si="227"/>
        <v>1865671.6417910447</v>
      </c>
      <c r="J136" s="11">
        <f t="shared" si="227"/>
        <v>1865671.6417910447</v>
      </c>
      <c r="K136" s="11">
        <f t="shared" si="227"/>
        <v>1865671.6417910447</v>
      </c>
      <c r="L136" s="11">
        <f t="shared" si="227"/>
        <v>1865671.6417910447</v>
      </c>
      <c r="M136" s="11">
        <f t="shared" si="227"/>
        <v>1865671.6417910447</v>
      </c>
      <c r="N136" s="11">
        <f t="shared" si="227"/>
        <v>1865671.6417910447</v>
      </c>
      <c r="O136" s="11">
        <f t="shared" si="227"/>
        <v>1865671.6417910447</v>
      </c>
      <c r="P136" s="11">
        <f t="shared" si="227"/>
        <v>1865671.6417910447</v>
      </c>
      <c r="Q136" s="11">
        <f t="shared" si="227"/>
        <v>1865671.6417910447</v>
      </c>
      <c r="R136" s="11">
        <f t="shared" si="227"/>
        <v>1865671.6417910447</v>
      </c>
      <c r="S136" s="11">
        <f t="shared" si="227"/>
        <v>1865671.6417910447</v>
      </c>
      <c r="T136" s="11">
        <f t="shared" si="227"/>
        <v>1865671.6417910447</v>
      </c>
      <c r="U136" s="11">
        <f t="shared" si="227"/>
        <v>1865671.6417910447</v>
      </c>
      <c r="V136" s="11">
        <f t="shared" si="227"/>
        <v>1865671.6417910447</v>
      </c>
      <c r="W136" s="11">
        <f t="shared" si="227"/>
        <v>1865671.6417910447</v>
      </c>
      <c r="X136" s="11">
        <f t="shared" si="227"/>
        <v>1865671.6417910447</v>
      </c>
      <c r="Y136" s="11">
        <f t="shared" si="227"/>
        <v>1865671.6417910447</v>
      </c>
      <c r="Z136" s="11">
        <f t="shared" si="227"/>
        <v>1865671.6417910447</v>
      </c>
      <c r="AA136" s="11">
        <f t="shared" si="227"/>
        <v>1865671.6417910447</v>
      </c>
      <c r="AB136" s="11">
        <f t="shared" si="227"/>
        <v>1865671.6417910447</v>
      </c>
      <c r="AC136" s="11">
        <f t="shared" si="227"/>
        <v>1865671.6417910447</v>
      </c>
      <c r="AD136" s="11">
        <f t="shared" si="227"/>
        <v>1865671.6417910447</v>
      </c>
      <c r="AE136" s="11">
        <f t="shared" si="227"/>
        <v>1865671.6417910447</v>
      </c>
      <c r="AF136" s="11">
        <f t="shared" si="227"/>
        <v>1865671.6417910447</v>
      </c>
      <c r="AG136" s="11">
        <f t="shared" si="227"/>
        <v>1865671.6417910447</v>
      </c>
      <c r="AH136" s="11">
        <f t="shared" si="227"/>
        <v>1865671.6417910447</v>
      </c>
      <c r="AI136" s="11">
        <f t="shared" si="227"/>
        <v>1865671.6417910447</v>
      </c>
      <c r="AJ136" s="11">
        <f t="shared" si="227"/>
        <v>1865671.6417910447</v>
      </c>
      <c r="AK136" s="11">
        <f t="shared" ref="AK136:BS136" si="228">$C$140</f>
        <v>1865671.6417910447</v>
      </c>
      <c r="AL136" s="11">
        <f t="shared" si="228"/>
        <v>1865671.6417910447</v>
      </c>
      <c r="AM136" s="11">
        <f t="shared" si="228"/>
        <v>1865671.6417910447</v>
      </c>
      <c r="AN136" s="11">
        <f t="shared" si="228"/>
        <v>1865671.6417910447</v>
      </c>
      <c r="AO136" s="11">
        <f t="shared" si="228"/>
        <v>1865671.6417910447</v>
      </c>
      <c r="AP136" s="11">
        <f t="shared" si="228"/>
        <v>1865671.6417910447</v>
      </c>
      <c r="AQ136" s="11">
        <f t="shared" si="228"/>
        <v>1865671.6417910447</v>
      </c>
      <c r="AR136" s="11">
        <f t="shared" si="228"/>
        <v>1865671.6417910447</v>
      </c>
      <c r="AS136" s="11">
        <f t="shared" si="228"/>
        <v>1865671.6417910447</v>
      </c>
      <c r="AT136" s="11">
        <f t="shared" si="228"/>
        <v>1865671.6417910447</v>
      </c>
      <c r="AU136" s="11">
        <f t="shared" si="228"/>
        <v>1865671.6417910447</v>
      </c>
      <c r="AV136" s="11">
        <f t="shared" si="228"/>
        <v>1865671.6417910447</v>
      </c>
      <c r="AW136" s="11">
        <f t="shared" si="228"/>
        <v>1865671.6417910447</v>
      </c>
      <c r="AX136" s="11">
        <f t="shared" si="228"/>
        <v>1865671.6417910447</v>
      </c>
      <c r="AY136" s="11">
        <f t="shared" si="228"/>
        <v>1865671.6417910447</v>
      </c>
      <c r="AZ136" s="11">
        <f t="shared" si="228"/>
        <v>1865671.6417910447</v>
      </c>
      <c r="BA136" s="11">
        <f t="shared" si="228"/>
        <v>1865671.6417910447</v>
      </c>
      <c r="BB136" s="11">
        <f t="shared" si="228"/>
        <v>1865671.6417910447</v>
      </c>
      <c r="BC136" s="11">
        <f t="shared" si="228"/>
        <v>1865671.6417910447</v>
      </c>
      <c r="BD136" s="11">
        <f t="shared" si="228"/>
        <v>1865671.6417910447</v>
      </c>
      <c r="BE136" s="11">
        <f t="shared" si="228"/>
        <v>1865671.6417910447</v>
      </c>
      <c r="BF136" s="11">
        <f t="shared" si="228"/>
        <v>1865671.6417910447</v>
      </c>
      <c r="BG136" s="11">
        <f t="shared" si="228"/>
        <v>1865671.6417910447</v>
      </c>
      <c r="BH136" s="11">
        <f t="shared" si="228"/>
        <v>1865671.6417910447</v>
      </c>
      <c r="BI136" s="11">
        <f t="shared" si="228"/>
        <v>1865671.6417910447</v>
      </c>
      <c r="BJ136" s="11">
        <f t="shared" si="228"/>
        <v>1865671.6417910447</v>
      </c>
      <c r="BK136" s="11">
        <f t="shared" si="228"/>
        <v>1865671.6417910447</v>
      </c>
      <c r="BL136" s="11">
        <f t="shared" si="228"/>
        <v>1865671.6417910447</v>
      </c>
      <c r="BM136" s="11">
        <f t="shared" si="228"/>
        <v>1865671.6417910447</v>
      </c>
      <c r="BN136" s="11">
        <f t="shared" si="228"/>
        <v>1865671.6417910447</v>
      </c>
      <c r="BO136" s="11">
        <f t="shared" si="228"/>
        <v>1865671.6417910447</v>
      </c>
      <c r="BP136" s="11">
        <f t="shared" si="228"/>
        <v>1865671.6417910447</v>
      </c>
      <c r="BQ136" s="11">
        <f t="shared" si="228"/>
        <v>1865671.6417910447</v>
      </c>
      <c r="BR136" s="11">
        <f t="shared" si="228"/>
        <v>1865671.6417910447</v>
      </c>
      <c r="BS136" s="11">
        <f t="shared" si="228"/>
        <v>1865671.6417910447</v>
      </c>
    </row>
    <row r="137" spans="3:71" x14ac:dyDescent="0.35">
      <c r="C137" t="s">
        <v>119</v>
      </c>
      <c r="E137" s="11">
        <f>E135-E136</f>
        <v>123134328.35820895</v>
      </c>
      <c r="F137" s="11">
        <f>F135-F136</f>
        <v>121268656.71641791</v>
      </c>
      <c r="G137" s="11">
        <f t="shared" ref="G137:BR137" si="229">G135-G136</f>
        <v>119402985.07462686</v>
      </c>
      <c r="H137" s="11">
        <f t="shared" si="229"/>
        <v>117537313.43283582</v>
      </c>
      <c r="I137" s="11">
        <f t="shared" si="229"/>
        <v>115671641.79104477</v>
      </c>
      <c r="J137" s="11">
        <f t="shared" si="229"/>
        <v>113805970.14925373</v>
      </c>
      <c r="K137" s="11">
        <f t="shared" si="229"/>
        <v>111940298.50746268</v>
      </c>
      <c r="L137" s="11">
        <f t="shared" si="229"/>
        <v>110074626.86567163</v>
      </c>
      <c r="M137" s="11">
        <f t="shared" si="229"/>
        <v>108208955.22388059</v>
      </c>
      <c r="N137" s="11">
        <f t="shared" si="229"/>
        <v>106343283.58208954</v>
      </c>
      <c r="O137" s="11">
        <f t="shared" si="229"/>
        <v>104477611.9402985</v>
      </c>
      <c r="P137" s="11">
        <f t="shared" si="229"/>
        <v>102611940.29850745</v>
      </c>
      <c r="Q137" s="11">
        <f t="shared" si="229"/>
        <v>100746268.65671641</v>
      </c>
      <c r="R137" s="11">
        <f t="shared" si="229"/>
        <v>98880597.014925361</v>
      </c>
      <c r="S137" s="11">
        <f t="shared" si="229"/>
        <v>97014925.373134315</v>
      </c>
      <c r="T137" s="11">
        <f t="shared" si="229"/>
        <v>95149253.731343269</v>
      </c>
      <c r="U137" s="11">
        <f t="shared" si="229"/>
        <v>93283582.089552224</v>
      </c>
      <c r="V137" s="11">
        <f t="shared" si="229"/>
        <v>91417910.447761178</v>
      </c>
      <c r="W137" s="11">
        <f t="shared" si="229"/>
        <v>89552238.805970132</v>
      </c>
      <c r="X137" s="11">
        <f t="shared" si="229"/>
        <v>87686567.164179087</v>
      </c>
      <c r="Y137" s="11">
        <f t="shared" si="229"/>
        <v>85820895.522388041</v>
      </c>
      <c r="Z137" s="11">
        <f t="shared" si="229"/>
        <v>83955223.880596995</v>
      </c>
      <c r="AA137" s="11">
        <f t="shared" si="229"/>
        <v>82089552.23880595</v>
      </c>
      <c r="AB137" s="11">
        <f t="shared" si="229"/>
        <v>80223880.597014904</v>
      </c>
      <c r="AC137" s="11">
        <f t="shared" si="229"/>
        <v>78358208.955223858</v>
      </c>
      <c r="AD137" s="11">
        <f t="shared" si="229"/>
        <v>76492537.313432813</v>
      </c>
      <c r="AE137" s="11">
        <f t="shared" si="229"/>
        <v>74626865.671641767</v>
      </c>
      <c r="AF137" s="11">
        <f t="shared" si="229"/>
        <v>72761194.029850721</v>
      </c>
      <c r="AG137" s="11">
        <f t="shared" si="229"/>
        <v>70895522.388059676</v>
      </c>
      <c r="AH137" s="11">
        <f t="shared" si="229"/>
        <v>69029850.74626863</v>
      </c>
      <c r="AI137" s="11">
        <f t="shared" si="229"/>
        <v>67164179.104477584</v>
      </c>
      <c r="AJ137" s="11">
        <f t="shared" si="229"/>
        <v>65298507.462686539</v>
      </c>
      <c r="AK137" s="11">
        <f t="shared" si="229"/>
        <v>63432835.820895493</v>
      </c>
      <c r="AL137" s="11">
        <f t="shared" si="229"/>
        <v>61567164.179104447</v>
      </c>
      <c r="AM137" s="11">
        <f t="shared" si="229"/>
        <v>59701492.537313402</v>
      </c>
      <c r="AN137" s="11">
        <f t="shared" si="229"/>
        <v>57835820.895522356</v>
      </c>
      <c r="AO137" s="11">
        <f t="shared" si="229"/>
        <v>55970149.25373131</v>
      </c>
      <c r="AP137" s="11">
        <f t="shared" si="229"/>
        <v>54104477.611940265</v>
      </c>
      <c r="AQ137" s="11">
        <f t="shared" si="229"/>
        <v>52238805.970149219</v>
      </c>
      <c r="AR137" s="11">
        <f t="shared" si="229"/>
        <v>50373134.328358173</v>
      </c>
      <c r="AS137" s="11">
        <f t="shared" si="229"/>
        <v>48507462.686567128</v>
      </c>
      <c r="AT137" s="11">
        <f t="shared" si="229"/>
        <v>46641791.044776082</v>
      </c>
      <c r="AU137" s="11">
        <f t="shared" si="229"/>
        <v>44776119.402985036</v>
      </c>
      <c r="AV137" s="11">
        <f t="shared" si="229"/>
        <v>42910447.761193991</v>
      </c>
      <c r="AW137" s="11">
        <f t="shared" si="229"/>
        <v>41044776.119402945</v>
      </c>
      <c r="AX137" s="11">
        <f t="shared" si="229"/>
        <v>39179104.477611899</v>
      </c>
      <c r="AY137" s="11">
        <f t="shared" si="229"/>
        <v>37313432.835820854</v>
      </c>
      <c r="AZ137" s="11">
        <f t="shared" si="229"/>
        <v>35447761.194029808</v>
      </c>
      <c r="BA137" s="11">
        <f t="shared" si="229"/>
        <v>33582089.552238762</v>
      </c>
      <c r="BB137" s="11">
        <f t="shared" si="229"/>
        <v>31716417.910447717</v>
      </c>
      <c r="BC137" s="11">
        <f t="shared" si="229"/>
        <v>29850746.268656671</v>
      </c>
      <c r="BD137" s="11">
        <f t="shared" si="229"/>
        <v>27985074.626865625</v>
      </c>
      <c r="BE137" s="11">
        <f t="shared" si="229"/>
        <v>26119402.98507458</v>
      </c>
      <c r="BF137" s="11">
        <f t="shared" si="229"/>
        <v>24253731.343283534</v>
      </c>
      <c r="BG137" s="11">
        <f t="shared" si="229"/>
        <v>22388059.701492488</v>
      </c>
      <c r="BH137" s="11">
        <f t="shared" si="229"/>
        <v>20522388.059701443</v>
      </c>
      <c r="BI137" s="11">
        <f t="shared" si="229"/>
        <v>18656716.417910397</v>
      </c>
      <c r="BJ137" s="11">
        <f t="shared" si="229"/>
        <v>16791044.776119351</v>
      </c>
      <c r="BK137" s="11">
        <f t="shared" si="229"/>
        <v>14925373.134328306</v>
      </c>
      <c r="BL137" s="11">
        <f t="shared" si="229"/>
        <v>13059701.49253726</v>
      </c>
      <c r="BM137" s="11">
        <f t="shared" si="229"/>
        <v>11194029.850746214</v>
      </c>
      <c r="BN137" s="11">
        <f t="shared" si="229"/>
        <v>9328358.2089551687</v>
      </c>
      <c r="BO137" s="11">
        <f t="shared" si="229"/>
        <v>7462686.567164124</v>
      </c>
      <c r="BP137" s="11">
        <f t="shared" si="229"/>
        <v>5597014.9253730793</v>
      </c>
      <c r="BQ137" s="11">
        <f t="shared" si="229"/>
        <v>3731343.2835820345</v>
      </c>
      <c r="BR137" s="11">
        <f t="shared" si="229"/>
        <v>1865671.6417909898</v>
      </c>
      <c r="BS137" s="11">
        <f t="shared" ref="BS137" si="230">BS135-BS136</f>
        <v>-5.4948031902313232E-8</v>
      </c>
    </row>
    <row r="138" spans="3:71" ht="15" thickBot="1" x14ac:dyDescent="0.4">
      <c r="C138" s="34" t="s">
        <v>55</v>
      </c>
      <c r="D138" s="34"/>
      <c r="E138" s="36">
        <f t="shared" ref="E138:AJ138" si="231">((E135+E137)/2)*eiendomssats</f>
        <v>868470.14925373136</v>
      </c>
      <c r="F138" s="36">
        <f t="shared" si="231"/>
        <v>855410.44776119408</v>
      </c>
      <c r="G138" s="36">
        <f t="shared" si="231"/>
        <v>842350.74626865669</v>
      </c>
      <c r="H138" s="36">
        <f t="shared" si="231"/>
        <v>829291.04477611941</v>
      </c>
      <c r="I138" s="36">
        <f t="shared" si="231"/>
        <v>816231.34328358213</v>
      </c>
      <c r="J138" s="36">
        <f t="shared" si="231"/>
        <v>803171.64179104473</v>
      </c>
      <c r="K138" s="36">
        <f t="shared" si="231"/>
        <v>790111.94029850746</v>
      </c>
      <c r="L138" s="36">
        <f t="shared" si="231"/>
        <v>777052.23880597006</v>
      </c>
      <c r="M138" s="36">
        <f t="shared" si="231"/>
        <v>763992.53731343278</v>
      </c>
      <c r="N138" s="36">
        <f t="shared" si="231"/>
        <v>750932.8358208955</v>
      </c>
      <c r="O138" s="36">
        <f t="shared" si="231"/>
        <v>737873.13432835811</v>
      </c>
      <c r="P138" s="36">
        <f t="shared" si="231"/>
        <v>724813.43283582083</v>
      </c>
      <c r="Q138" s="36">
        <f t="shared" si="231"/>
        <v>711753.73134328355</v>
      </c>
      <c r="R138" s="36">
        <f t="shared" si="231"/>
        <v>698694.02985074616</v>
      </c>
      <c r="S138" s="36">
        <f t="shared" si="231"/>
        <v>685634.32835820888</v>
      </c>
      <c r="T138" s="36">
        <f t="shared" si="231"/>
        <v>672574.6268656716</v>
      </c>
      <c r="U138" s="36">
        <f t="shared" si="231"/>
        <v>659514.9253731342</v>
      </c>
      <c r="V138" s="36">
        <f t="shared" si="231"/>
        <v>646455.22388059692</v>
      </c>
      <c r="W138" s="36">
        <f t="shared" si="231"/>
        <v>633395.52238805965</v>
      </c>
      <c r="X138" s="36">
        <f t="shared" si="231"/>
        <v>620335.82089552225</v>
      </c>
      <c r="Y138" s="36">
        <f t="shared" si="231"/>
        <v>607276.11940298497</v>
      </c>
      <c r="Z138" s="36">
        <f t="shared" si="231"/>
        <v>594216.41791044769</v>
      </c>
      <c r="AA138" s="36">
        <f t="shared" si="231"/>
        <v>581156.7164179103</v>
      </c>
      <c r="AB138" s="36">
        <f t="shared" si="231"/>
        <v>568097.01492537302</v>
      </c>
      <c r="AC138" s="36">
        <f t="shared" si="231"/>
        <v>555037.31343283562</v>
      </c>
      <c r="AD138" s="36">
        <f t="shared" si="231"/>
        <v>541977.61194029835</v>
      </c>
      <c r="AE138" s="36">
        <f t="shared" si="231"/>
        <v>528917.91044776107</v>
      </c>
      <c r="AF138" s="36">
        <f t="shared" si="231"/>
        <v>515858.20895522373</v>
      </c>
      <c r="AG138" s="36">
        <f t="shared" si="231"/>
        <v>502798.50746268639</v>
      </c>
      <c r="AH138" s="36">
        <f t="shared" si="231"/>
        <v>489738.80597014906</v>
      </c>
      <c r="AI138" s="36">
        <f t="shared" si="231"/>
        <v>476679.10447761178</v>
      </c>
      <c r="AJ138" s="36">
        <f t="shared" si="231"/>
        <v>463619.40298507444</v>
      </c>
      <c r="AK138" s="36">
        <f t="shared" ref="AK138:BP138" si="232">((AK135+AK137)/2)*eiendomssats</f>
        <v>450559.7014925371</v>
      </c>
      <c r="AL138" s="36">
        <f t="shared" si="232"/>
        <v>437499.99999999983</v>
      </c>
      <c r="AM138" s="36">
        <f t="shared" si="232"/>
        <v>424440.29850746249</v>
      </c>
      <c r="AN138" s="36">
        <f t="shared" si="232"/>
        <v>411380.59701492515</v>
      </c>
      <c r="AO138" s="36">
        <f t="shared" si="232"/>
        <v>398320.89552238781</v>
      </c>
      <c r="AP138" s="36">
        <f t="shared" si="232"/>
        <v>385261.19402985054</v>
      </c>
      <c r="AQ138" s="36">
        <f t="shared" si="232"/>
        <v>372201.4925373132</v>
      </c>
      <c r="AR138" s="36">
        <f t="shared" si="232"/>
        <v>359141.79104477586</v>
      </c>
      <c r="AS138" s="36">
        <f t="shared" si="232"/>
        <v>346082.08955223858</v>
      </c>
      <c r="AT138" s="36">
        <f t="shared" si="232"/>
        <v>333022.38805970125</v>
      </c>
      <c r="AU138" s="36">
        <f t="shared" si="232"/>
        <v>319962.68656716391</v>
      </c>
      <c r="AV138" s="36">
        <f t="shared" si="232"/>
        <v>306902.98507462657</v>
      </c>
      <c r="AW138" s="36">
        <f t="shared" si="232"/>
        <v>293843.28358208929</v>
      </c>
      <c r="AX138" s="36">
        <f t="shared" si="232"/>
        <v>280783.58208955196</v>
      </c>
      <c r="AY138" s="36">
        <f t="shared" si="232"/>
        <v>267723.88059701462</v>
      </c>
      <c r="AZ138" s="36">
        <f t="shared" si="232"/>
        <v>254664.17910447731</v>
      </c>
      <c r="BA138" s="36">
        <f t="shared" si="232"/>
        <v>241604.47761194</v>
      </c>
      <c r="BB138" s="36">
        <f t="shared" si="232"/>
        <v>228544.77611940267</v>
      </c>
      <c r="BC138" s="36">
        <f t="shared" si="232"/>
        <v>215485.07462686536</v>
      </c>
      <c r="BD138" s="36">
        <f t="shared" si="232"/>
        <v>202425.37313432805</v>
      </c>
      <c r="BE138" s="36">
        <f t="shared" si="232"/>
        <v>189365.67164179072</v>
      </c>
      <c r="BF138" s="36">
        <f t="shared" si="232"/>
        <v>176305.97014925341</v>
      </c>
      <c r="BG138" s="36">
        <f t="shared" si="232"/>
        <v>163246.26865671607</v>
      </c>
      <c r="BH138" s="36">
        <f t="shared" si="232"/>
        <v>150186.56716417876</v>
      </c>
      <c r="BI138" s="36">
        <f t="shared" si="232"/>
        <v>137126.86567164146</v>
      </c>
      <c r="BJ138" s="36">
        <f t="shared" si="232"/>
        <v>124067.16417910412</v>
      </c>
      <c r="BK138" s="36">
        <f t="shared" si="232"/>
        <v>111007.4626865668</v>
      </c>
      <c r="BL138" s="36">
        <f t="shared" si="232"/>
        <v>97947.761194029488</v>
      </c>
      <c r="BM138" s="36">
        <f t="shared" si="232"/>
        <v>84888.059701492166</v>
      </c>
      <c r="BN138" s="36">
        <f t="shared" si="232"/>
        <v>71828.358208954844</v>
      </c>
      <c r="BO138" s="36">
        <f t="shared" si="232"/>
        <v>58768.656716417521</v>
      </c>
      <c r="BP138" s="36">
        <f t="shared" si="232"/>
        <v>45708.955223880213</v>
      </c>
      <c r="BQ138" s="36">
        <f t="shared" ref="BQ138:BS138" si="233">((BQ135+BQ137)/2)*eiendomssats</f>
        <v>32649.253731342895</v>
      </c>
      <c r="BR138" s="36">
        <f t="shared" si="233"/>
        <v>19589.552238805587</v>
      </c>
      <c r="BS138" s="36">
        <f t="shared" si="233"/>
        <v>6529.8507462682719</v>
      </c>
    </row>
    <row r="139" spans="3:71" ht="15" thickTop="1" x14ac:dyDescent="0.35">
      <c r="C139" s="19" t="s">
        <v>120</v>
      </c>
    </row>
    <row r="140" spans="3:71" x14ac:dyDescent="0.35">
      <c r="C140" s="87">
        <f>invest/67*-1</f>
        <v>1865671.6417910447</v>
      </c>
      <c r="D140" s="11"/>
    </row>
    <row r="141" spans="3:71" x14ac:dyDescent="0.35">
      <c r="D141" s="12"/>
    </row>
    <row r="142" spans="3:71" x14ac:dyDescent="0.35"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3:71" x14ac:dyDescent="0.35">
      <c r="E143" s="12"/>
    </row>
    <row r="145" spans="3:3" x14ac:dyDescent="0.35">
      <c r="C145" s="86"/>
    </row>
  </sheetData>
  <mergeCells count="1">
    <mergeCell ref="H8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3F12-8227-4C4A-81A3-66AB0AE244DF}">
  <dimension ref="C3:K19"/>
  <sheetViews>
    <sheetView topLeftCell="A3" workbookViewId="0">
      <selection activeCell="E21" sqref="E21"/>
    </sheetView>
  </sheetViews>
  <sheetFormatPr defaultColWidth="12.54296875" defaultRowHeight="14.5" x14ac:dyDescent="0.35"/>
  <cols>
    <col min="7" max="7" width="18.453125" customWidth="1"/>
  </cols>
  <sheetData>
    <row r="3" spans="3:11" ht="15" thickBot="1" x14ac:dyDescent="0.4"/>
    <row r="4" spans="3:11" ht="15" thickBot="1" x14ac:dyDescent="0.4">
      <c r="C4" s="223" t="s">
        <v>182</v>
      </c>
      <c r="D4" s="224"/>
      <c r="E4" s="224"/>
      <c r="F4" s="225"/>
      <c r="H4" s="220" t="s">
        <v>183</v>
      </c>
      <c r="I4" s="221"/>
      <c r="J4" s="221"/>
      <c r="K4" s="222"/>
    </row>
    <row r="5" spans="3:11" ht="15.5" thickBot="1" x14ac:dyDescent="0.4">
      <c r="C5" s="145" t="s">
        <v>144</v>
      </c>
      <c r="D5" s="146" t="s">
        <v>131</v>
      </c>
      <c r="E5" s="146" t="s">
        <v>170</v>
      </c>
      <c r="F5" s="147" t="s">
        <v>100</v>
      </c>
      <c r="H5" s="168" t="s">
        <v>144</v>
      </c>
      <c r="I5" s="169" t="s">
        <v>131</v>
      </c>
      <c r="J5" s="169" t="s">
        <v>170</v>
      </c>
      <c r="K5" s="170" t="s">
        <v>100</v>
      </c>
    </row>
    <row r="6" spans="3:11" ht="16" thickBot="1" x14ac:dyDescent="0.4">
      <c r="C6" s="143" t="s">
        <v>145</v>
      </c>
      <c r="D6" s="111">
        <v>216.11</v>
      </c>
      <c r="E6" s="112">
        <v>5.5800000000000002E-2</v>
      </c>
      <c r="F6" s="112">
        <v>0.16059999999999999</v>
      </c>
      <c r="H6" s="202" t="s">
        <v>145</v>
      </c>
      <c r="I6" s="164">
        <v>104.68</v>
      </c>
      <c r="J6" s="165">
        <v>5.5800000000000002E-2</v>
      </c>
      <c r="K6" s="209">
        <v>9.9970000000000003E-2</v>
      </c>
    </row>
    <row r="7" spans="3:11" ht="16" thickBot="1" x14ac:dyDescent="0.4">
      <c r="C7" s="144" t="s">
        <v>146</v>
      </c>
      <c r="D7" s="113">
        <v>314.42</v>
      </c>
      <c r="E7" s="114">
        <v>5.5800000000000002E-2</v>
      </c>
      <c r="F7" s="114">
        <v>0.25180000000000002</v>
      </c>
      <c r="H7" s="203" t="s">
        <v>146</v>
      </c>
      <c r="I7" s="208">
        <v>142.6</v>
      </c>
      <c r="J7" s="167">
        <v>5.5800000000000002E-2</v>
      </c>
      <c r="K7" s="167">
        <v>0.14480000000000001</v>
      </c>
    </row>
    <row r="8" spans="3:11" ht="16" thickBot="1" x14ac:dyDescent="0.4">
      <c r="C8" s="143" t="s">
        <v>147</v>
      </c>
      <c r="D8" s="111">
        <v>232.41</v>
      </c>
      <c r="E8" s="112">
        <v>5.5800000000000002E-2</v>
      </c>
      <c r="F8" s="112">
        <v>0.35920000000000002</v>
      </c>
      <c r="H8" s="202" t="s">
        <v>147</v>
      </c>
      <c r="I8" s="164">
        <v>232.41</v>
      </c>
      <c r="J8" s="165">
        <v>5.5800000000000002E-2</v>
      </c>
      <c r="K8" s="165">
        <v>0.35920000000000002</v>
      </c>
    </row>
    <row r="12" spans="3:11" x14ac:dyDescent="0.35">
      <c r="E12" s="210" t="s">
        <v>144</v>
      </c>
      <c r="F12" s="210" t="s">
        <v>180</v>
      </c>
      <c r="H12" s="210" t="s">
        <v>179</v>
      </c>
      <c r="I12" s="210" t="s">
        <v>181</v>
      </c>
      <c r="K12" s="50"/>
    </row>
    <row r="13" spans="3:11" x14ac:dyDescent="0.35">
      <c r="E13" s="210" t="s">
        <v>145</v>
      </c>
      <c r="F13">
        <f>D6/I6</f>
        <v>2.0644822315628581</v>
      </c>
      <c r="G13">
        <f>F13-1</f>
        <v>1.0644822315628581</v>
      </c>
      <c r="H13" s="52">
        <f>G13</f>
        <v>1.0644822315628581</v>
      </c>
      <c r="I13">
        <f>(1+H13)*I6</f>
        <v>216.11</v>
      </c>
    </row>
    <row r="14" spans="3:11" x14ac:dyDescent="0.35">
      <c r="E14" s="210" t="s">
        <v>146</v>
      </c>
      <c r="F14">
        <f>D7/I7</f>
        <v>2.2049088359046287</v>
      </c>
      <c r="G14">
        <f>F14-1</f>
        <v>1.2049088359046287</v>
      </c>
      <c r="H14" s="52">
        <f>G14</f>
        <v>1.2049088359046287</v>
      </c>
      <c r="I14">
        <f>(H14+1)*I7</f>
        <v>314.42</v>
      </c>
    </row>
    <row r="17" spans="5:7" x14ac:dyDescent="0.35">
      <c r="E17" s="211"/>
      <c r="F17" s="211"/>
      <c r="G17" s="211"/>
    </row>
    <row r="18" spans="5:7" x14ac:dyDescent="0.35">
      <c r="E18" s="23"/>
      <c r="F18" s="23"/>
      <c r="G18" s="212"/>
    </row>
    <row r="19" spans="5:7" x14ac:dyDescent="0.35">
      <c r="E19" s="23"/>
      <c r="F19" s="23"/>
      <c r="G19" s="23"/>
    </row>
  </sheetData>
  <mergeCells count="2">
    <mergeCell ref="H4:K4"/>
    <mergeCell ref="C4:F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C53A-61FC-4195-8BD5-D918A59117D7}">
  <dimension ref="B1:N25"/>
  <sheetViews>
    <sheetView zoomScale="87" workbookViewId="0">
      <selection activeCell="B10" sqref="B10:E11"/>
    </sheetView>
  </sheetViews>
  <sheetFormatPr defaultRowHeight="14.5" x14ac:dyDescent="0.35"/>
  <cols>
    <col min="2" max="2" width="19.90625" bestFit="1" customWidth="1"/>
    <col min="3" max="3" width="14.26953125" bestFit="1" customWidth="1"/>
    <col min="4" max="4" width="15.36328125" customWidth="1"/>
    <col min="5" max="5" width="15.81640625" customWidth="1"/>
    <col min="6" max="6" width="14.26953125" bestFit="1" customWidth="1"/>
    <col min="7" max="7" width="11.1796875" bestFit="1" customWidth="1"/>
    <col min="8" max="8" width="14.26953125" bestFit="1" customWidth="1"/>
    <col min="9" max="9" width="11.81640625" bestFit="1" customWidth="1"/>
  </cols>
  <sheetData>
    <row r="1" spans="2:14" ht="15" thickBot="1" x14ac:dyDescent="0.4"/>
    <row r="2" spans="2:14" ht="14.5" customHeight="1" thickBot="1" x14ac:dyDescent="0.55000000000000004">
      <c r="B2" s="240" t="s">
        <v>150</v>
      </c>
      <c r="C2" s="229"/>
      <c r="D2" s="229"/>
      <c r="E2" s="229"/>
      <c r="F2" s="229"/>
      <c r="G2" s="230"/>
      <c r="H2" s="122"/>
      <c r="I2" s="122"/>
    </row>
    <row r="3" spans="2:14" ht="15" customHeight="1" thickBot="1" x14ac:dyDescent="0.55000000000000004">
      <c r="B3" s="231"/>
      <c r="C3" s="232"/>
      <c r="D3" s="232"/>
      <c r="E3" s="232"/>
      <c r="F3" s="232"/>
      <c r="G3" s="233"/>
      <c r="H3" s="122"/>
      <c r="I3" s="228" t="s">
        <v>184</v>
      </c>
      <c r="J3" s="229"/>
      <c r="K3" s="229"/>
      <c r="L3" s="229"/>
      <c r="M3" s="229"/>
      <c r="N3" s="230"/>
    </row>
    <row r="4" spans="2:14" ht="15" customHeight="1" thickBot="1" x14ac:dyDescent="0.4">
      <c r="B4" s="226" t="s">
        <v>114</v>
      </c>
      <c r="C4" s="227"/>
      <c r="D4" s="226" t="s">
        <v>115</v>
      </c>
      <c r="E4" s="227"/>
      <c r="F4" s="226" t="s">
        <v>116</v>
      </c>
      <c r="G4" s="227"/>
      <c r="H4" s="1"/>
      <c r="I4" s="231"/>
      <c r="J4" s="232"/>
      <c r="K4" s="232"/>
      <c r="L4" s="232"/>
      <c r="M4" s="232"/>
      <c r="N4" s="233"/>
    </row>
    <row r="5" spans="2:14" ht="15" thickBot="1" x14ac:dyDescent="0.4">
      <c r="B5" s="80" t="s">
        <v>98</v>
      </c>
      <c r="C5" s="102">
        <v>104677936.49293235</v>
      </c>
      <c r="D5" s="101" t="s">
        <v>98</v>
      </c>
      <c r="E5" s="102">
        <v>142601933.99429393</v>
      </c>
      <c r="F5" s="103" t="s">
        <v>98</v>
      </c>
      <c r="G5" s="102">
        <v>232413248.39338514</v>
      </c>
      <c r="I5" s="217"/>
      <c r="J5" s="226" t="s">
        <v>185</v>
      </c>
      <c r="K5" s="227"/>
      <c r="L5" s="226" t="s">
        <v>186</v>
      </c>
      <c r="M5" s="227"/>
      <c r="N5" s="217"/>
    </row>
    <row r="6" spans="2:14" ht="15.5" thickTop="1" thickBot="1" x14ac:dyDescent="0.4">
      <c r="B6" s="125" t="s">
        <v>99</v>
      </c>
      <c r="C6" s="126">
        <v>5.5836339999999998E-2</v>
      </c>
      <c r="D6" s="125" t="s">
        <v>99</v>
      </c>
      <c r="E6" s="126">
        <v>5.5836339999999998E-2</v>
      </c>
      <c r="F6" s="125" t="s">
        <v>99</v>
      </c>
      <c r="G6" s="126">
        <v>5.5836339999999998E-2</v>
      </c>
      <c r="I6" s="218"/>
      <c r="J6" s="213">
        <f>E5/C5</f>
        <v>1.3622921770522496</v>
      </c>
      <c r="K6" s="214">
        <f>J6-1</f>
        <v>0.36229217705224959</v>
      </c>
      <c r="L6" s="216">
        <f>K6</f>
        <v>0.36229217705224959</v>
      </c>
      <c r="M6" s="215"/>
      <c r="N6" s="218"/>
    </row>
    <row r="7" spans="2:14" ht="15" thickBot="1" x14ac:dyDescent="0.4">
      <c r="B7" s="127" t="s">
        <v>100</v>
      </c>
      <c r="C7" s="128">
        <v>9.9973931340695099E-2</v>
      </c>
      <c r="D7" s="127" t="s">
        <v>100</v>
      </c>
      <c r="E7" s="128">
        <v>0.14475335729386773</v>
      </c>
      <c r="F7" s="127" t="s">
        <v>100</v>
      </c>
      <c r="G7" s="128">
        <v>0.35921412462254398</v>
      </c>
      <c r="I7" s="52"/>
    </row>
    <row r="8" spans="2:14" x14ac:dyDescent="0.35">
      <c r="B8" s="2"/>
      <c r="C8" s="14"/>
    </row>
    <row r="9" spans="2:14" ht="15" thickBot="1" x14ac:dyDescent="0.4">
      <c r="B9" s="2"/>
      <c r="C9" s="14"/>
    </row>
    <row r="10" spans="2:14" ht="14.5" customHeight="1" x14ac:dyDescent="0.45">
      <c r="B10" s="234" t="s">
        <v>148</v>
      </c>
      <c r="C10" s="235"/>
      <c r="D10" s="235"/>
      <c r="E10" s="236"/>
      <c r="G10" s="121"/>
      <c r="H10" s="121"/>
      <c r="I10" s="121"/>
    </row>
    <row r="11" spans="2:14" ht="14.5" customHeight="1" thickBot="1" x14ac:dyDescent="0.5">
      <c r="B11" s="237"/>
      <c r="C11" s="238"/>
      <c r="D11" s="238"/>
      <c r="E11" s="239"/>
      <c r="G11" s="121"/>
      <c r="H11" s="121"/>
      <c r="I11" s="121"/>
    </row>
    <row r="12" spans="2:14" ht="15" thickBot="1" x14ac:dyDescent="0.4">
      <c r="B12" s="134"/>
      <c r="C12" s="141" t="s">
        <v>144</v>
      </c>
      <c r="D12" s="141"/>
      <c r="E12" s="142"/>
    </row>
    <row r="13" spans="2:14" ht="15" thickBot="1" x14ac:dyDescent="0.4">
      <c r="B13" s="133" t="s">
        <v>99</v>
      </c>
      <c r="C13" s="132" t="s">
        <v>145</v>
      </c>
      <c r="D13" s="123" t="s">
        <v>146</v>
      </c>
      <c r="E13" s="124" t="s">
        <v>147</v>
      </c>
    </row>
    <row r="14" spans="2:14" x14ac:dyDescent="0.35">
      <c r="B14" s="129">
        <v>0</v>
      </c>
      <c r="C14" s="135">
        <v>977.10294768853225</v>
      </c>
      <c r="D14" s="135">
        <v>1033.5936579102772</v>
      </c>
      <c r="E14" s="136">
        <v>1380.9500516501778</v>
      </c>
    </row>
    <row r="15" spans="2:14" x14ac:dyDescent="0.35">
      <c r="B15" s="130">
        <v>0.05</v>
      </c>
      <c r="C15" s="137">
        <v>132.23127677671681</v>
      </c>
      <c r="D15" s="137">
        <v>170.49234378401829</v>
      </c>
      <c r="E15" s="138">
        <v>267.6592521576963</v>
      </c>
    </row>
    <row r="16" spans="2:14" x14ac:dyDescent="0.35">
      <c r="B16" s="130">
        <v>0.1</v>
      </c>
      <c r="C16" s="137">
        <v>-3.2850958976879716E-2</v>
      </c>
      <c r="D16" s="137">
        <v>37.134860472566338</v>
      </c>
      <c r="E16" s="138">
        <v>100.00651668390864</v>
      </c>
    </row>
    <row r="17" spans="2:5" x14ac:dyDescent="0.35">
      <c r="B17" s="130">
        <v>0.15</v>
      </c>
      <c r="C17" s="137">
        <v>-39.982430076681517</v>
      </c>
      <c r="D17" s="137">
        <v>-2.7292209499708862</v>
      </c>
      <c r="E17" s="138">
        <v>50.334537825874833</v>
      </c>
    </row>
    <row r="18" spans="2:5" x14ac:dyDescent="0.35">
      <c r="B18" s="130">
        <v>0.2</v>
      </c>
      <c r="C18" s="137">
        <v>-58.246268735613647</v>
      </c>
      <c r="D18" s="137">
        <v>-20.837973601239398</v>
      </c>
      <c r="E18" s="138">
        <v>27.791618650994327</v>
      </c>
    </row>
    <row r="19" spans="2:5" x14ac:dyDescent="0.35">
      <c r="B19" s="130">
        <v>0.25</v>
      </c>
      <c r="C19" s="137">
        <v>-68.657934577921594</v>
      </c>
      <c r="D19" s="137">
        <v>-31.120659864596494</v>
      </c>
      <c r="E19" s="138">
        <v>14.969295816791321</v>
      </c>
    </row>
    <row r="20" spans="2:5" x14ac:dyDescent="0.35">
      <c r="B20" s="130">
        <v>0.3</v>
      </c>
      <c r="C20" s="137">
        <v>-75.384767020280691</v>
      </c>
      <c r="D20" s="137">
        <v>-37.746544916644417</v>
      </c>
      <c r="E20" s="138">
        <v>6.6848499698577637</v>
      </c>
    </row>
    <row r="21" spans="2:5" x14ac:dyDescent="0.35">
      <c r="B21" s="130">
        <v>0.35</v>
      </c>
      <c r="C21" s="137">
        <v>-80.089125720151401</v>
      </c>
      <c r="D21" s="137">
        <v>-42.371333168792646</v>
      </c>
      <c r="E21" s="138">
        <v>0.8845851961802319</v>
      </c>
    </row>
    <row r="22" spans="2:5" x14ac:dyDescent="0.35">
      <c r="B22" s="130">
        <v>0.4</v>
      </c>
      <c r="C22" s="137">
        <v>-83.563632132321828</v>
      </c>
      <c r="D22" s="137">
        <v>-45.781949371350287</v>
      </c>
      <c r="E22" s="138">
        <v>-3.406806536618836</v>
      </c>
    </row>
    <row r="23" spans="2:5" ht="15" thickBot="1" x14ac:dyDescent="0.4">
      <c r="B23" s="131">
        <v>0.45</v>
      </c>
      <c r="C23" s="139">
        <v>-86.234356288414688</v>
      </c>
      <c r="D23" s="139">
        <v>-48.400386098620459</v>
      </c>
      <c r="E23" s="140">
        <v>-6.7123187423564046</v>
      </c>
    </row>
    <row r="25" spans="2:5" x14ac:dyDescent="0.35">
      <c r="B25" t="s">
        <v>149</v>
      </c>
      <c r="D25" s="14">
        <v>1000000</v>
      </c>
    </row>
  </sheetData>
  <mergeCells count="8">
    <mergeCell ref="J5:K5"/>
    <mergeCell ref="L5:M5"/>
    <mergeCell ref="I3:N4"/>
    <mergeCell ref="B10:E11"/>
    <mergeCell ref="D4:E4"/>
    <mergeCell ref="B2:G3"/>
    <mergeCell ref="F4:G4"/>
    <mergeCell ref="B4:C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6105-4CDB-41B9-84DB-AEDED8F4ECFA}">
  <dimension ref="C2:AS141"/>
  <sheetViews>
    <sheetView topLeftCell="A111" zoomScale="57" zoomScaleNormal="53" workbookViewId="0">
      <selection activeCell="D141" sqref="D141"/>
    </sheetView>
  </sheetViews>
  <sheetFormatPr defaultRowHeight="14.5" x14ac:dyDescent="0.35"/>
  <cols>
    <col min="3" max="3" width="45.6328125" bestFit="1" customWidth="1"/>
    <col min="4" max="6" width="12.453125" bestFit="1" customWidth="1"/>
    <col min="7" max="7" width="21.1796875" bestFit="1" customWidth="1"/>
    <col min="8" max="9" width="12.453125" bestFit="1" customWidth="1"/>
    <col min="10" max="10" width="16.1796875" bestFit="1" customWidth="1"/>
    <col min="11" max="45" width="12.453125" bestFit="1" customWidth="1"/>
  </cols>
  <sheetData>
    <row r="2" spans="3:15" x14ac:dyDescent="0.35">
      <c r="E2" t="s">
        <v>35</v>
      </c>
      <c r="F2" t="s">
        <v>36</v>
      </c>
      <c r="G2" t="s">
        <v>37</v>
      </c>
      <c r="J2" t="s">
        <v>125</v>
      </c>
      <c r="K2" t="s">
        <v>50</v>
      </c>
      <c r="L2" t="s">
        <v>123</v>
      </c>
      <c r="M2" t="s">
        <v>51</v>
      </c>
      <c r="N2" t="s">
        <v>124</v>
      </c>
      <c r="O2" t="s">
        <v>126</v>
      </c>
    </row>
    <row r="3" spans="3:15" x14ac:dyDescent="0.35">
      <c r="C3" t="s">
        <v>1</v>
      </c>
      <c r="D3" s="119">
        <v>79</v>
      </c>
      <c r="E3" s="118">
        <v>103</v>
      </c>
      <c r="F3" s="118">
        <v>104</v>
      </c>
      <c r="G3" s="118">
        <v>79</v>
      </c>
      <c r="I3" t="s">
        <v>35</v>
      </c>
      <c r="J3">
        <v>103</v>
      </c>
      <c r="K3">
        <v>47.6</v>
      </c>
      <c r="L3">
        <f>K3/J3</f>
        <v>0.46213592233009709</v>
      </c>
      <c r="M3">
        <v>19.600000000000001</v>
      </c>
      <c r="N3">
        <f>M3/J3</f>
        <v>0.19029126213592235</v>
      </c>
      <c r="O3">
        <f>N3+L3</f>
        <v>0.65242718446601944</v>
      </c>
    </row>
    <row r="4" spans="3:15" x14ac:dyDescent="0.35">
      <c r="C4" t="s">
        <v>40</v>
      </c>
      <c r="D4">
        <v>0.02</v>
      </c>
      <c r="E4">
        <f>E3*1.1</f>
        <v>113.30000000000001</v>
      </c>
      <c r="I4" t="s">
        <v>36</v>
      </c>
      <c r="J4">
        <v>104</v>
      </c>
      <c r="K4">
        <v>36.5</v>
      </c>
      <c r="L4">
        <f>K4/J4</f>
        <v>0.35096153846153844</v>
      </c>
      <c r="M4">
        <v>15.1</v>
      </c>
      <c r="N4">
        <f>M4/J4</f>
        <v>0.14519230769230768</v>
      </c>
      <c r="O4">
        <f>N4+L4</f>
        <v>0.49615384615384611</v>
      </c>
    </row>
    <row r="5" spans="3:15" x14ac:dyDescent="0.35">
      <c r="C5" t="s">
        <v>12</v>
      </c>
      <c r="D5">
        <v>6.6</v>
      </c>
      <c r="E5">
        <f>E3*0.9</f>
        <v>92.7</v>
      </c>
      <c r="I5" t="s">
        <v>37</v>
      </c>
      <c r="J5">
        <v>79</v>
      </c>
      <c r="K5">
        <v>23.4</v>
      </c>
      <c r="L5">
        <f>K5/J5</f>
        <v>0.29620253164556959</v>
      </c>
      <c r="M5">
        <v>10.7</v>
      </c>
      <c r="N5">
        <f>M5/J5</f>
        <v>0.13544303797468354</v>
      </c>
      <c r="O5">
        <f>N5+L5</f>
        <v>0.43164556962025313</v>
      </c>
    </row>
    <row r="7" spans="3:15" x14ac:dyDescent="0.35">
      <c r="C7" t="s">
        <v>14</v>
      </c>
      <c r="D7">
        <v>13</v>
      </c>
    </row>
    <row r="8" spans="3:15" x14ac:dyDescent="0.35">
      <c r="C8" t="s">
        <v>47</v>
      </c>
      <c r="D8">
        <v>106600</v>
      </c>
    </row>
    <row r="9" spans="3:15" x14ac:dyDescent="0.35">
      <c r="C9" t="s">
        <v>50</v>
      </c>
      <c r="D9" s="119">
        <f>G9</f>
        <v>23.4</v>
      </c>
      <c r="E9" s="118">
        <v>47.6</v>
      </c>
      <c r="F9" s="118">
        <v>36.5</v>
      </c>
      <c r="G9" s="118">
        <v>23.4</v>
      </c>
    </row>
    <row r="10" spans="3:15" x14ac:dyDescent="0.35">
      <c r="C10" t="s">
        <v>48</v>
      </c>
      <c r="D10">
        <v>115400</v>
      </c>
    </row>
    <row r="11" spans="3:15" x14ac:dyDescent="0.35">
      <c r="C11" t="s">
        <v>51</v>
      </c>
      <c r="D11" s="119">
        <f>G11</f>
        <v>10.7</v>
      </c>
      <c r="E11" s="118">
        <v>19.600000000000001</v>
      </c>
      <c r="F11" s="118">
        <v>15.1</v>
      </c>
      <c r="G11" s="118">
        <v>10.7</v>
      </c>
    </row>
    <row r="13" spans="3:15" x14ac:dyDescent="0.35">
      <c r="C13" t="s">
        <v>5</v>
      </c>
      <c r="D13" s="119">
        <f>G13</f>
        <v>-45000000</v>
      </c>
      <c r="E13" s="118">
        <v>-125000000</v>
      </c>
      <c r="F13" s="118">
        <v>-86000000</v>
      </c>
      <c r="G13" s="118">
        <v>-45000000</v>
      </c>
    </row>
    <row r="14" spans="3:15" x14ac:dyDescent="0.35">
      <c r="C14" t="s">
        <v>56</v>
      </c>
      <c r="D14">
        <v>9</v>
      </c>
    </row>
    <row r="15" spans="3:15" x14ac:dyDescent="0.35">
      <c r="C15" t="s">
        <v>57</v>
      </c>
      <c r="D15" s="119">
        <f>G15</f>
        <v>1.01</v>
      </c>
      <c r="E15" s="118">
        <v>1.1599999999999999</v>
      </c>
      <c r="F15" s="118">
        <v>1.1100000000000001</v>
      </c>
      <c r="G15" s="118">
        <v>1.01</v>
      </c>
    </row>
    <row r="16" spans="3:15" x14ac:dyDescent="0.35">
      <c r="C16" t="s">
        <v>60</v>
      </c>
      <c r="D16">
        <v>0.23</v>
      </c>
    </row>
    <row r="17" spans="3:44" x14ac:dyDescent="0.35">
      <c r="C17" t="s">
        <v>132</v>
      </c>
      <c r="D17">
        <v>7.0000000000000001E-3</v>
      </c>
    </row>
    <row r="18" spans="3:44" x14ac:dyDescent="0.35">
      <c r="C18" t="s">
        <v>72</v>
      </c>
      <c r="D18">
        <v>1.4999999999999999E-2</v>
      </c>
      <c r="G18" t="s">
        <v>117</v>
      </c>
    </row>
    <row r="19" spans="3:44" x14ac:dyDescent="0.35">
      <c r="C19" t="s">
        <v>73</v>
      </c>
      <c r="D19">
        <v>2.1999999999999999E-2</v>
      </c>
      <c r="G19" t="s">
        <v>121</v>
      </c>
    </row>
    <row r="20" spans="3:44" x14ac:dyDescent="0.35">
      <c r="C20" t="s">
        <v>74</v>
      </c>
      <c r="D20">
        <f>IF(E20=1,1.3%,0)</f>
        <v>0</v>
      </c>
      <c r="E20">
        <v>0</v>
      </c>
      <c r="G20" t="s">
        <v>122</v>
      </c>
    </row>
    <row r="21" spans="3:44" x14ac:dyDescent="0.35">
      <c r="C21" t="s">
        <v>80</v>
      </c>
      <c r="D21">
        <f>IF(E21=1,35.7%,0)</f>
        <v>0</v>
      </c>
      <c r="E21">
        <v>0</v>
      </c>
    </row>
    <row r="22" spans="3:44" x14ac:dyDescent="0.35">
      <c r="C22" t="s">
        <v>81</v>
      </c>
      <c r="D22">
        <v>4.4999999999999998E-2</v>
      </c>
    </row>
    <row r="23" spans="3:44" x14ac:dyDescent="0.35">
      <c r="C23" t="s">
        <v>83</v>
      </c>
      <c r="D23">
        <v>7.0000000000000001E-3</v>
      </c>
    </row>
    <row r="24" spans="3:44" x14ac:dyDescent="0.35">
      <c r="C24" t="s">
        <v>106</v>
      </c>
      <c r="D24">
        <v>0.03</v>
      </c>
    </row>
    <row r="25" spans="3:44" x14ac:dyDescent="0.35">
      <c r="C25" t="s">
        <v>112</v>
      </c>
      <c r="D25">
        <v>40</v>
      </c>
    </row>
    <row r="29" spans="3:44" x14ac:dyDescent="0.35">
      <c r="C29" t="s">
        <v>2</v>
      </c>
    </row>
    <row r="30" spans="3:44" x14ac:dyDescent="0.35">
      <c r="D30">
        <v>0</v>
      </c>
      <c r="E30">
        <v>1</v>
      </c>
      <c r="F30">
        <v>2</v>
      </c>
      <c r="G30">
        <v>3</v>
      </c>
      <c r="H30">
        <v>4</v>
      </c>
      <c r="I30">
        <v>5</v>
      </c>
      <c r="J30">
        <v>6</v>
      </c>
      <c r="K30">
        <v>7</v>
      </c>
      <c r="L30">
        <v>8</v>
      </c>
      <c r="M30">
        <v>9</v>
      </c>
      <c r="N30">
        <v>10</v>
      </c>
      <c r="O30">
        <v>11</v>
      </c>
      <c r="P30">
        <v>12</v>
      </c>
      <c r="Q30">
        <v>13</v>
      </c>
      <c r="R30">
        <v>14</v>
      </c>
      <c r="S30">
        <v>15</v>
      </c>
      <c r="T30">
        <v>16</v>
      </c>
      <c r="U30">
        <v>17</v>
      </c>
      <c r="V30">
        <v>18</v>
      </c>
      <c r="W30">
        <v>19</v>
      </c>
      <c r="X30">
        <v>20</v>
      </c>
      <c r="Y30">
        <v>21</v>
      </c>
      <c r="Z30">
        <v>22</v>
      </c>
      <c r="AA30">
        <v>23</v>
      </c>
      <c r="AB30">
        <v>24</v>
      </c>
      <c r="AC30">
        <v>25</v>
      </c>
      <c r="AD30">
        <v>26</v>
      </c>
      <c r="AE30">
        <v>27</v>
      </c>
      <c r="AF30">
        <v>28</v>
      </c>
      <c r="AG30">
        <v>29</v>
      </c>
      <c r="AH30">
        <v>30</v>
      </c>
      <c r="AI30">
        <v>31</v>
      </c>
      <c r="AJ30">
        <v>32</v>
      </c>
      <c r="AK30">
        <v>33</v>
      </c>
      <c r="AL30">
        <v>34</v>
      </c>
      <c r="AM30">
        <v>35</v>
      </c>
      <c r="AN30">
        <v>36</v>
      </c>
      <c r="AO30">
        <v>37</v>
      </c>
      <c r="AP30">
        <v>38</v>
      </c>
      <c r="AQ30">
        <v>39</v>
      </c>
      <c r="AR30">
        <v>40</v>
      </c>
    </row>
    <row r="31" spans="3:44" x14ac:dyDescent="0.35">
      <c r="C31" t="s">
        <v>0</v>
      </c>
      <c r="D31" s="11"/>
      <c r="E31" s="11">
        <f>31.2*prpr</f>
        <v>31.512</v>
      </c>
      <c r="F31" s="11">
        <f>28*prpr</f>
        <v>28.28</v>
      </c>
      <c r="G31" s="11">
        <f>27.86*prpr</f>
        <v>28.1386</v>
      </c>
      <c r="H31" s="11">
        <f>29.03*prpr</f>
        <v>29.320300000000003</v>
      </c>
      <c r="I31" s="11">
        <f>29.1*prpr</f>
        <v>29.391000000000002</v>
      </c>
      <c r="J31" s="11">
        <f>29.05*prpr</f>
        <v>29.340500000000002</v>
      </c>
      <c r="K31" s="11">
        <f>29.55*prpr</f>
        <v>29.845500000000001</v>
      </c>
      <c r="L31" s="11">
        <f>30.85*prpr</f>
        <v>31.1585</v>
      </c>
      <c r="M31" s="11">
        <f>31.25*prpr</f>
        <v>31.5625</v>
      </c>
      <c r="N31" s="11">
        <f>31.08*prpr</f>
        <v>31.390799999999999</v>
      </c>
      <c r="O31" s="11">
        <f>N31*((1+infl))</f>
        <v>32.018616000000002</v>
      </c>
      <c r="P31" s="11">
        <f>O31*((1+infl))</f>
        <v>32.658988319999999</v>
      </c>
      <c r="Q31" s="11">
        <f t="shared" ref="Q31:AR31" si="0">P31*((1+infl))</f>
        <v>33.3121680864</v>
      </c>
      <c r="R31" s="11">
        <f t="shared" si="0"/>
        <v>33.978411448128</v>
      </c>
      <c r="S31" s="11">
        <f t="shared" si="0"/>
        <v>34.657979677090559</v>
      </c>
      <c r="T31" s="11">
        <f t="shared" si="0"/>
        <v>35.351139270632373</v>
      </c>
      <c r="U31" s="11">
        <f t="shared" si="0"/>
        <v>36.05816205604502</v>
      </c>
      <c r="V31" s="11">
        <f t="shared" si="0"/>
        <v>36.779325297165919</v>
      </c>
      <c r="W31" s="11">
        <f t="shared" si="0"/>
        <v>37.514911803109236</v>
      </c>
      <c r="X31" s="11">
        <f t="shared" si="0"/>
        <v>38.265210039171421</v>
      </c>
      <c r="Y31" s="11">
        <f t="shared" si="0"/>
        <v>39.030514239954847</v>
      </c>
      <c r="Z31" s="11">
        <f t="shared" si="0"/>
        <v>39.811124524753943</v>
      </c>
      <c r="AA31" s="11">
        <f t="shared" si="0"/>
        <v>40.607347015249026</v>
      </c>
      <c r="AB31" s="11">
        <f t="shared" si="0"/>
        <v>41.41949395555401</v>
      </c>
      <c r="AC31" s="11">
        <f t="shared" si="0"/>
        <v>42.247883834665089</v>
      </c>
      <c r="AD31" s="11">
        <f t="shared" si="0"/>
        <v>43.092841511358394</v>
      </c>
      <c r="AE31" s="11">
        <f t="shared" si="0"/>
        <v>43.954698341585562</v>
      </c>
      <c r="AF31" s="11">
        <f t="shared" si="0"/>
        <v>44.833792308417273</v>
      </c>
      <c r="AG31" s="11">
        <f t="shared" si="0"/>
        <v>45.730468154585623</v>
      </c>
      <c r="AH31" s="11">
        <f t="shared" si="0"/>
        <v>46.645077517677336</v>
      </c>
      <c r="AI31" s="11">
        <f t="shared" si="0"/>
        <v>47.577979068030885</v>
      </c>
      <c r="AJ31" s="11">
        <f t="shared" si="0"/>
        <v>48.529538649391505</v>
      </c>
      <c r="AK31" s="11">
        <f t="shared" si="0"/>
        <v>49.500129422379338</v>
      </c>
      <c r="AL31" s="11">
        <f t="shared" si="0"/>
        <v>50.490132010826926</v>
      </c>
      <c r="AM31" s="11">
        <f t="shared" si="0"/>
        <v>51.499934651043468</v>
      </c>
      <c r="AN31" s="11">
        <f t="shared" si="0"/>
        <v>52.529933344064339</v>
      </c>
      <c r="AO31" s="11">
        <f t="shared" si="0"/>
        <v>53.580532010945625</v>
      </c>
      <c r="AP31" s="11">
        <f t="shared" si="0"/>
        <v>54.652142651164539</v>
      </c>
      <c r="AQ31" s="11">
        <f t="shared" si="0"/>
        <v>55.74518550418783</v>
      </c>
      <c r="AR31" s="11">
        <f t="shared" si="0"/>
        <v>56.860089214271589</v>
      </c>
    </row>
    <row r="32" spans="3:44" x14ac:dyDescent="0.35">
      <c r="C32" t="s">
        <v>58</v>
      </c>
      <c r="D32" s="11"/>
      <c r="E32" s="11">
        <f t="shared" ref="E32:AR32" si="1">volumc*1000</f>
        <v>79000</v>
      </c>
      <c r="F32" s="11">
        <f t="shared" si="1"/>
        <v>79000</v>
      </c>
      <c r="G32" s="11">
        <f t="shared" si="1"/>
        <v>79000</v>
      </c>
      <c r="H32" s="11">
        <f t="shared" si="1"/>
        <v>79000</v>
      </c>
      <c r="I32" s="11">
        <f t="shared" si="1"/>
        <v>79000</v>
      </c>
      <c r="J32" s="11">
        <f t="shared" si="1"/>
        <v>79000</v>
      </c>
      <c r="K32" s="11">
        <f t="shared" si="1"/>
        <v>79000</v>
      </c>
      <c r="L32" s="11">
        <f t="shared" si="1"/>
        <v>79000</v>
      </c>
      <c r="M32" s="11">
        <f t="shared" si="1"/>
        <v>79000</v>
      </c>
      <c r="N32" s="11">
        <f t="shared" si="1"/>
        <v>79000</v>
      </c>
      <c r="O32" s="11">
        <f t="shared" si="1"/>
        <v>79000</v>
      </c>
      <c r="P32" s="11">
        <f t="shared" si="1"/>
        <v>79000</v>
      </c>
      <c r="Q32" s="11">
        <f t="shared" si="1"/>
        <v>79000</v>
      </c>
      <c r="R32" s="11">
        <f t="shared" si="1"/>
        <v>79000</v>
      </c>
      <c r="S32" s="11">
        <f t="shared" si="1"/>
        <v>79000</v>
      </c>
      <c r="T32" s="11">
        <f t="shared" si="1"/>
        <v>79000</v>
      </c>
      <c r="U32" s="11">
        <f t="shared" si="1"/>
        <v>79000</v>
      </c>
      <c r="V32" s="11">
        <f t="shared" si="1"/>
        <v>79000</v>
      </c>
      <c r="W32" s="11">
        <f t="shared" si="1"/>
        <v>79000</v>
      </c>
      <c r="X32" s="11">
        <f t="shared" si="1"/>
        <v>79000</v>
      </c>
      <c r="Y32" s="11">
        <f t="shared" si="1"/>
        <v>79000</v>
      </c>
      <c r="Z32" s="11">
        <f t="shared" si="1"/>
        <v>79000</v>
      </c>
      <c r="AA32" s="11">
        <f t="shared" si="1"/>
        <v>79000</v>
      </c>
      <c r="AB32" s="11">
        <f t="shared" si="1"/>
        <v>79000</v>
      </c>
      <c r="AC32" s="11">
        <f t="shared" si="1"/>
        <v>79000</v>
      </c>
      <c r="AD32" s="11">
        <f t="shared" si="1"/>
        <v>79000</v>
      </c>
      <c r="AE32" s="11">
        <f t="shared" si="1"/>
        <v>79000</v>
      </c>
      <c r="AF32" s="11">
        <f t="shared" si="1"/>
        <v>79000</v>
      </c>
      <c r="AG32" s="11">
        <f t="shared" si="1"/>
        <v>79000</v>
      </c>
      <c r="AH32" s="11">
        <f t="shared" si="1"/>
        <v>79000</v>
      </c>
      <c r="AI32" s="11">
        <f t="shared" si="1"/>
        <v>79000</v>
      </c>
      <c r="AJ32" s="11">
        <f t="shared" si="1"/>
        <v>79000</v>
      </c>
      <c r="AK32" s="11">
        <f t="shared" si="1"/>
        <v>79000</v>
      </c>
      <c r="AL32" s="11">
        <f t="shared" si="1"/>
        <v>79000</v>
      </c>
      <c r="AM32" s="11">
        <f t="shared" si="1"/>
        <v>79000</v>
      </c>
      <c r="AN32" s="11">
        <f t="shared" si="1"/>
        <v>79000</v>
      </c>
      <c r="AO32" s="11">
        <f t="shared" si="1"/>
        <v>79000</v>
      </c>
      <c r="AP32" s="11">
        <f t="shared" si="1"/>
        <v>79000</v>
      </c>
      <c r="AQ32" s="11">
        <f t="shared" si="1"/>
        <v>79000</v>
      </c>
      <c r="AR32" s="11">
        <f t="shared" si="1"/>
        <v>79000</v>
      </c>
    </row>
    <row r="33" spans="3:45" x14ac:dyDescent="0.35">
      <c r="C33" t="s">
        <v>9</v>
      </c>
      <c r="D33" s="11"/>
      <c r="E33" s="11">
        <f>E31*E32*valuta</f>
        <v>22405032</v>
      </c>
      <c r="F33" s="11">
        <f t="shared" ref="F33:AR33" si="2">F31*F32*valuta</f>
        <v>20107080</v>
      </c>
      <c r="G33" s="11">
        <f t="shared" si="2"/>
        <v>20006544.599999998</v>
      </c>
      <c r="H33" s="11">
        <f t="shared" si="2"/>
        <v>20846733.300000001</v>
      </c>
      <c r="I33" s="11">
        <f t="shared" si="2"/>
        <v>20897001</v>
      </c>
      <c r="J33" s="11">
        <f t="shared" si="2"/>
        <v>20861095.5</v>
      </c>
      <c r="K33" s="11">
        <f t="shared" si="2"/>
        <v>21220150.5</v>
      </c>
      <c r="L33" s="11">
        <f t="shared" si="2"/>
        <v>22153693.5</v>
      </c>
      <c r="M33" s="11">
        <f t="shared" si="2"/>
        <v>22440937.5</v>
      </c>
      <c r="N33" s="11">
        <f t="shared" si="2"/>
        <v>22318858.799999997</v>
      </c>
      <c r="O33" s="11">
        <f t="shared" si="2"/>
        <v>22765235.976000004</v>
      </c>
      <c r="P33" s="11">
        <f t="shared" si="2"/>
        <v>23220540.695519999</v>
      </c>
      <c r="Q33" s="11">
        <f t="shared" si="2"/>
        <v>23684951.509430401</v>
      </c>
      <c r="R33" s="11">
        <f t="shared" si="2"/>
        <v>24158650.53961901</v>
      </c>
      <c r="S33" s="11">
        <f t="shared" si="2"/>
        <v>24641823.550411385</v>
      </c>
      <c r="T33" s="11">
        <f t="shared" si="2"/>
        <v>25134660.021419618</v>
      </c>
      <c r="U33" s="11">
        <f t="shared" si="2"/>
        <v>25637353.221848011</v>
      </c>
      <c r="V33" s="11">
        <f t="shared" si="2"/>
        <v>26150100.286284968</v>
      </c>
      <c r="W33" s="11">
        <f t="shared" si="2"/>
        <v>26673102.292010665</v>
      </c>
      <c r="X33" s="11">
        <f t="shared" si="2"/>
        <v>27206564.33785088</v>
      </c>
      <c r="Y33" s="11">
        <f t="shared" si="2"/>
        <v>27750695.624607895</v>
      </c>
      <c r="Z33" s="11">
        <f t="shared" si="2"/>
        <v>28305709.537100054</v>
      </c>
      <c r="AA33" s="11">
        <f t="shared" si="2"/>
        <v>28871823.727842055</v>
      </c>
      <c r="AB33" s="11">
        <f t="shared" si="2"/>
        <v>29449260.2023989</v>
      </c>
      <c r="AC33" s="11">
        <f t="shared" si="2"/>
        <v>30038245.406446878</v>
      </c>
      <c r="AD33" s="11">
        <f t="shared" si="2"/>
        <v>30639010.314575817</v>
      </c>
      <c r="AE33" s="11">
        <f t="shared" si="2"/>
        <v>31251790.520867333</v>
      </c>
      <c r="AF33" s="11">
        <f t="shared" si="2"/>
        <v>31876826.331284679</v>
      </c>
      <c r="AG33" s="11">
        <f t="shared" si="2"/>
        <v>32514362.85791038</v>
      </c>
      <c r="AH33" s="11">
        <f t="shared" si="2"/>
        <v>33164650.115068585</v>
      </c>
      <c r="AI33" s="11">
        <f t="shared" si="2"/>
        <v>33827943.117369957</v>
      </c>
      <c r="AJ33" s="11">
        <f t="shared" si="2"/>
        <v>34504501.979717359</v>
      </c>
      <c r="AK33" s="11">
        <f t="shared" si="2"/>
        <v>35194592.019311711</v>
      </c>
      <c r="AL33" s="11">
        <f t="shared" si="2"/>
        <v>35898483.859697945</v>
      </c>
      <c r="AM33" s="11">
        <f t="shared" si="2"/>
        <v>36616453.536891907</v>
      </c>
      <c r="AN33" s="11">
        <f t="shared" si="2"/>
        <v>37348782.607629746</v>
      </c>
      <c r="AO33" s="11">
        <f t="shared" si="2"/>
        <v>38095758.259782337</v>
      </c>
      <c r="AP33" s="11">
        <f t="shared" si="2"/>
        <v>38857673.424977988</v>
      </c>
      <c r="AQ33" s="11">
        <f t="shared" si="2"/>
        <v>39634826.893477544</v>
      </c>
      <c r="AR33" s="11">
        <f t="shared" si="2"/>
        <v>40427523.431347102</v>
      </c>
    </row>
    <row r="34" spans="3:45" x14ac:dyDescent="0.35">
      <c r="C34" t="s">
        <v>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3:45" x14ac:dyDescent="0.35">
      <c r="C35" t="s">
        <v>38</v>
      </c>
      <c r="D35" s="11"/>
      <c r="E35" s="11">
        <f t="shared" ref="E35:AR35" si="3">(-1)*(DVkost*DVc)*(1+infl)^E30</f>
        <v>-2544328.7999999998</v>
      </c>
      <c r="F35" s="11">
        <f t="shared" si="3"/>
        <v>-2595215.3760000002</v>
      </c>
      <c r="G35" s="11">
        <f t="shared" si="3"/>
        <v>-2647119.68352</v>
      </c>
      <c r="H35" s="11">
        <f t="shared" si="3"/>
        <v>-2700062.0771904001</v>
      </c>
      <c r="I35" s="11">
        <f t="shared" si="3"/>
        <v>-2754063.3187342081</v>
      </c>
      <c r="J35" s="11">
        <f t="shared" si="3"/>
        <v>-2809144.5851088925</v>
      </c>
      <c r="K35" s="11">
        <f t="shared" si="3"/>
        <v>-2865327.4768110695</v>
      </c>
      <c r="L35" s="11">
        <f t="shared" si="3"/>
        <v>-2922634.0263472912</v>
      </c>
      <c r="M35" s="11">
        <f t="shared" si="3"/>
        <v>-2981086.7068742369</v>
      </c>
      <c r="N35" s="11">
        <f t="shared" si="3"/>
        <v>-3040708.4410117217</v>
      </c>
      <c r="O35" s="11">
        <f t="shared" si="3"/>
        <v>-3101522.6098319557</v>
      </c>
      <c r="P35" s="11">
        <f t="shared" si="3"/>
        <v>-3163553.0620285952</v>
      </c>
      <c r="Q35" s="11">
        <f t="shared" si="3"/>
        <v>-3226824.1232691673</v>
      </c>
      <c r="R35" s="11">
        <f t="shared" si="3"/>
        <v>-3291360.6057345509</v>
      </c>
      <c r="S35" s="11">
        <f t="shared" si="3"/>
        <v>-3357187.8178492407</v>
      </c>
      <c r="T35" s="11">
        <f t="shared" si="3"/>
        <v>-3424331.5742062265</v>
      </c>
      <c r="U35" s="11">
        <f t="shared" si="3"/>
        <v>-3492818.2056903513</v>
      </c>
      <c r="V35" s="11">
        <f t="shared" si="3"/>
        <v>-3562674.5698041576</v>
      </c>
      <c r="W35" s="11">
        <f t="shared" si="3"/>
        <v>-3633928.0612002406</v>
      </c>
      <c r="X35" s="11">
        <f t="shared" si="3"/>
        <v>-3706606.6224242458</v>
      </c>
      <c r="Y35" s="11">
        <f t="shared" si="3"/>
        <v>-3780738.7548727305</v>
      </c>
      <c r="Z35" s="11">
        <f t="shared" si="3"/>
        <v>-3856353.5299701854</v>
      </c>
      <c r="AA35" s="11">
        <f t="shared" si="3"/>
        <v>-3933480.6005695886</v>
      </c>
      <c r="AB35" s="11">
        <f t="shared" si="3"/>
        <v>-4012150.2125809803</v>
      </c>
      <c r="AC35" s="11">
        <f t="shared" si="3"/>
        <v>-4092393.2168326001</v>
      </c>
      <c r="AD35" s="11">
        <f t="shared" si="3"/>
        <v>-4174241.0811692523</v>
      </c>
      <c r="AE35" s="11">
        <f t="shared" si="3"/>
        <v>-4257725.9027926363</v>
      </c>
      <c r="AF35" s="11">
        <f t="shared" si="3"/>
        <v>-4342880.4208484907</v>
      </c>
      <c r="AG35" s="11">
        <f t="shared" si="3"/>
        <v>-4429738.0292654596</v>
      </c>
      <c r="AH35" s="11">
        <f t="shared" si="3"/>
        <v>-4518332.7898507686</v>
      </c>
      <c r="AI35" s="11">
        <f t="shared" si="3"/>
        <v>-4608699.4456477836</v>
      </c>
      <c r="AJ35" s="11">
        <f t="shared" si="3"/>
        <v>-4700873.4345607404</v>
      </c>
      <c r="AK35" s="11">
        <f t="shared" si="3"/>
        <v>-4794890.9032519553</v>
      </c>
      <c r="AL35" s="11">
        <f t="shared" si="3"/>
        <v>-4890788.7213169942</v>
      </c>
      <c r="AM35" s="11">
        <f t="shared" si="3"/>
        <v>-4988604.4957433334</v>
      </c>
      <c r="AN35" s="11">
        <f t="shared" si="3"/>
        <v>-5088376.5856582001</v>
      </c>
      <c r="AO35" s="11">
        <f t="shared" si="3"/>
        <v>-5190144.1173713645</v>
      </c>
      <c r="AP35" s="11">
        <f t="shared" si="3"/>
        <v>-5293946.9997187927</v>
      </c>
      <c r="AQ35" s="11">
        <f t="shared" si="3"/>
        <v>-5399825.9397131661</v>
      </c>
      <c r="AR35" s="11">
        <f t="shared" si="3"/>
        <v>-5507822.4585074307</v>
      </c>
    </row>
    <row r="36" spans="3:45" x14ac:dyDescent="0.35">
      <c r="C36" t="s">
        <v>39</v>
      </c>
      <c r="D36" s="11"/>
      <c r="E36" s="11">
        <f t="shared" ref="E36:AR36" si="4">(-1)*(Rehabkost*RBc)*(1+infl)^E30</f>
        <v>-1259475.6000000001</v>
      </c>
      <c r="F36" s="11">
        <f t="shared" si="4"/>
        <v>-1284665.112</v>
      </c>
      <c r="G36" s="11">
        <f t="shared" si="4"/>
        <v>-1310358.4142399998</v>
      </c>
      <c r="H36" s="11">
        <f t="shared" si="4"/>
        <v>-1336565.5825248</v>
      </c>
      <c r="I36" s="11">
        <f t="shared" si="4"/>
        <v>-1363296.894175296</v>
      </c>
      <c r="J36" s="11">
        <f t="shared" si="4"/>
        <v>-1390562.832058802</v>
      </c>
      <c r="K36" s="11">
        <f t="shared" si="4"/>
        <v>-1418374.0886999778</v>
      </c>
      <c r="L36" s="11">
        <f t="shared" si="4"/>
        <v>-1446741.5704739774</v>
      </c>
      <c r="M36" s="11">
        <f t="shared" si="4"/>
        <v>-1475676.4018834571</v>
      </c>
      <c r="N36" s="11">
        <f t="shared" si="4"/>
        <v>-1505189.9299211262</v>
      </c>
      <c r="O36" s="11">
        <f t="shared" si="4"/>
        <v>-1535293.7285195484</v>
      </c>
      <c r="P36" s="11">
        <f t="shared" si="4"/>
        <v>-1565999.6030899396</v>
      </c>
      <c r="Q36" s="11">
        <f t="shared" si="4"/>
        <v>-1597319.5951517383</v>
      </c>
      <c r="R36" s="11">
        <f t="shared" si="4"/>
        <v>-1629265.9870547734</v>
      </c>
      <c r="S36" s="11">
        <f t="shared" si="4"/>
        <v>-1661851.3067958683</v>
      </c>
      <c r="T36" s="11">
        <f t="shared" si="4"/>
        <v>-1695088.3329317858</v>
      </c>
      <c r="U36" s="11">
        <f t="shared" si="4"/>
        <v>-1728990.0995904219</v>
      </c>
      <c r="V36" s="11">
        <f t="shared" si="4"/>
        <v>-1763569.9015822301</v>
      </c>
      <c r="W36" s="11">
        <f t="shared" si="4"/>
        <v>-1798841.2996138746</v>
      </c>
      <c r="X36" s="11">
        <f t="shared" si="4"/>
        <v>-1834818.1256061522</v>
      </c>
      <c r="Y36" s="11">
        <f t="shared" si="4"/>
        <v>-1871514.4881182751</v>
      </c>
      <c r="Z36" s="11">
        <f t="shared" si="4"/>
        <v>-1908944.7778806407</v>
      </c>
      <c r="AA36" s="11">
        <f t="shared" si="4"/>
        <v>-1947123.6734382531</v>
      </c>
      <c r="AB36" s="11">
        <f t="shared" si="4"/>
        <v>-1986066.1469070183</v>
      </c>
      <c r="AC36" s="11">
        <f t="shared" si="4"/>
        <v>-2025787.4698451587</v>
      </c>
      <c r="AD36" s="11">
        <f t="shared" si="4"/>
        <v>-2066303.2192420622</v>
      </c>
      <c r="AE36" s="11">
        <f t="shared" si="4"/>
        <v>-2107629.2836269028</v>
      </c>
      <c r="AF36" s="11">
        <f t="shared" si="4"/>
        <v>-2149781.8692994416</v>
      </c>
      <c r="AG36" s="11">
        <f t="shared" si="4"/>
        <v>-2192777.5066854302</v>
      </c>
      <c r="AH36" s="11">
        <f t="shared" si="4"/>
        <v>-2236633.0568191386</v>
      </c>
      <c r="AI36" s="11">
        <f t="shared" si="4"/>
        <v>-2281365.7179555208</v>
      </c>
      <c r="AJ36" s="11">
        <f t="shared" si="4"/>
        <v>-2326993.0323146321</v>
      </c>
      <c r="AK36" s="11">
        <f t="shared" si="4"/>
        <v>-2373532.8929609247</v>
      </c>
      <c r="AL36" s="11">
        <f t="shared" si="4"/>
        <v>-2421003.550820143</v>
      </c>
      <c r="AM36" s="11">
        <f t="shared" si="4"/>
        <v>-2469423.6218365459</v>
      </c>
      <c r="AN36" s="11">
        <f t="shared" si="4"/>
        <v>-2518812.0942732766</v>
      </c>
      <c r="AO36" s="11">
        <f t="shared" si="4"/>
        <v>-2569188.3361587427</v>
      </c>
      <c r="AP36" s="11">
        <f t="shared" si="4"/>
        <v>-2620572.1028819177</v>
      </c>
      <c r="AQ36" s="11">
        <f t="shared" si="4"/>
        <v>-2672983.5449395548</v>
      </c>
      <c r="AR36" s="11">
        <f t="shared" si="4"/>
        <v>-2726443.2158383466</v>
      </c>
    </row>
    <row r="37" spans="3:45" x14ac:dyDescent="0.35">
      <c r="C37" t="s">
        <v>41</v>
      </c>
      <c r="D37" s="11"/>
      <c r="E37" s="11">
        <f t="shared" ref="E37:AR37" si="5">(-1)*(konsensjonsats*volumc*1000)*(1+infl)^E30</f>
        <v>-531828</v>
      </c>
      <c r="F37" s="11">
        <f t="shared" si="5"/>
        <v>-542464.55999999994</v>
      </c>
      <c r="G37" s="11">
        <f t="shared" si="5"/>
        <v>-553313.85119999992</v>
      </c>
      <c r="H37" s="11">
        <f t="shared" si="5"/>
        <v>-564380.12822399999</v>
      </c>
      <c r="I37" s="11">
        <f t="shared" si="5"/>
        <v>-575667.73078848002</v>
      </c>
      <c r="J37" s="11">
        <f t="shared" si="5"/>
        <v>-587181.08540424961</v>
      </c>
      <c r="K37" s="11">
        <f t="shared" si="5"/>
        <v>-598924.70711233455</v>
      </c>
      <c r="L37" s="11">
        <f t="shared" si="5"/>
        <v>-610903.20125458122</v>
      </c>
      <c r="M37" s="11">
        <f t="shared" si="5"/>
        <v>-623121.26527967292</v>
      </c>
      <c r="N37" s="11">
        <f t="shared" si="5"/>
        <v>-635583.69058526633</v>
      </c>
      <c r="O37" s="11">
        <f t="shared" si="5"/>
        <v>-648295.36439697153</v>
      </c>
      <c r="P37" s="11">
        <f t="shared" si="5"/>
        <v>-661261.2716849111</v>
      </c>
      <c r="Q37" s="11">
        <f t="shared" si="5"/>
        <v>-674486.49711860926</v>
      </c>
      <c r="R37" s="11">
        <f t="shared" si="5"/>
        <v>-687976.22706098156</v>
      </c>
      <c r="S37" s="11">
        <f t="shared" si="5"/>
        <v>-701735.75160220102</v>
      </c>
      <c r="T37" s="11">
        <f t="shared" si="5"/>
        <v>-715770.46663424512</v>
      </c>
      <c r="U37" s="11">
        <f t="shared" si="5"/>
        <v>-730085.87596693006</v>
      </c>
      <c r="V37" s="11">
        <f t="shared" si="5"/>
        <v>-744687.59348626854</v>
      </c>
      <c r="W37" s="11">
        <f t="shared" si="5"/>
        <v>-759581.34535599395</v>
      </c>
      <c r="X37" s="11">
        <f t="shared" si="5"/>
        <v>-774772.97226311394</v>
      </c>
      <c r="Y37" s="11">
        <f t="shared" si="5"/>
        <v>-790268.43170837616</v>
      </c>
      <c r="Z37" s="11">
        <f t="shared" si="5"/>
        <v>-806073.80034254363</v>
      </c>
      <c r="AA37" s="11">
        <f t="shared" si="5"/>
        <v>-822195.27634939447</v>
      </c>
      <c r="AB37" s="11">
        <f t="shared" si="5"/>
        <v>-838639.18187638232</v>
      </c>
      <c r="AC37" s="11">
        <f t="shared" si="5"/>
        <v>-855411.96551390993</v>
      </c>
      <c r="AD37" s="11">
        <f t="shared" si="5"/>
        <v>-872520.20482418826</v>
      </c>
      <c r="AE37" s="11">
        <f t="shared" si="5"/>
        <v>-889970.60892067186</v>
      </c>
      <c r="AF37" s="11">
        <f t="shared" si="5"/>
        <v>-907770.02109908545</v>
      </c>
      <c r="AG37" s="11">
        <f t="shared" si="5"/>
        <v>-925925.42152106704</v>
      </c>
      <c r="AH37" s="11">
        <f t="shared" si="5"/>
        <v>-944443.92995148851</v>
      </c>
      <c r="AI37" s="11">
        <f t="shared" si="5"/>
        <v>-963332.80855051801</v>
      </c>
      <c r="AJ37" s="11">
        <f t="shared" si="5"/>
        <v>-982599.46472152858</v>
      </c>
      <c r="AK37" s="11">
        <f t="shared" si="5"/>
        <v>-1002251.4540159593</v>
      </c>
      <c r="AL37" s="11">
        <f t="shared" si="5"/>
        <v>-1022296.4830962784</v>
      </c>
      <c r="AM37" s="11">
        <f t="shared" si="5"/>
        <v>-1042742.4127582039</v>
      </c>
      <c r="AN37" s="11">
        <f t="shared" si="5"/>
        <v>-1063597.2610133679</v>
      </c>
      <c r="AO37" s="11">
        <f t="shared" si="5"/>
        <v>-1084869.2062336353</v>
      </c>
      <c r="AP37" s="11">
        <f t="shared" si="5"/>
        <v>-1106566.5903583083</v>
      </c>
      <c r="AQ37" s="11">
        <f t="shared" si="5"/>
        <v>-1128697.9221654739</v>
      </c>
      <c r="AR37" s="11">
        <f t="shared" si="5"/>
        <v>-1151271.8806087838</v>
      </c>
    </row>
    <row r="38" spans="3:45" x14ac:dyDescent="0.35">
      <c r="C38" t="s">
        <v>46</v>
      </c>
      <c r="D38" s="11"/>
      <c r="E38" s="11">
        <f t="shared" ref="E38:AR38" si="6">(-1)*(innmatingssats*volumc*1000)*(1+infl)^E30</f>
        <v>-1047540</v>
      </c>
      <c r="F38" s="11">
        <f t="shared" si="6"/>
        <v>-1068490.8</v>
      </c>
      <c r="G38" s="11">
        <f t="shared" si="6"/>
        <v>-1089860.6159999999</v>
      </c>
      <c r="H38" s="11">
        <f t="shared" si="6"/>
        <v>-1111657.8283200001</v>
      </c>
      <c r="I38" s="11">
        <f t="shared" si="6"/>
        <v>-1133890.9848863999</v>
      </c>
      <c r="J38" s="11">
        <f t="shared" si="6"/>
        <v>-1156568.8045841281</v>
      </c>
      <c r="K38" s="11">
        <f t="shared" si="6"/>
        <v>-1179700.1806758104</v>
      </c>
      <c r="L38" s="11">
        <f t="shared" si="6"/>
        <v>-1203294.1842893267</v>
      </c>
      <c r="M38" s="11">
        <f t="shared" si="6"/>
        <v>-1227360.0679751132</v>
      </c>
      <c r="N38" s="11">
        <f t="shared" si="6"/>
        <v>-1251907.2693346154</v>
      </c>
      <c r="O38" s="11">
        <f t="shared" si="6"/>
        <v>-1276945.4147213076</v>
      </c>
      <c r="P38" s="11">
        <f t="shared" si="6"/>
        <v>-1302484.3230157341</v>
      </c>
      <c r="Q38" s="11">
        <f t="shared" si="6"/>
        <v>-1328534.0094760486</v>
      </c>
      <c r="R38" s="11">
        <f t="shared" si="6"/>
        <v>-1355104.6896655697</v>
      </c>
      <c r="S38" s="11">
        <f t="shared" si="6"/>
        <v>-1382206.7834588806</v>
      </c>
      <c r="T38" s="11">
        <f t="shared" si="6"/>
        <v>-1409850.9191280585</v>
      </c>
      <c r="U38" s="11">
        <f t="shared" si="6"/>
        <v>-1438047.9375106199</v>
      </c>
      <c r="V38" s="11">
        <f t="shared" si="6"/>
        <v>-1466808.896260832</v>
      </c>
      <c r="W38" s="11">
        <f t="shared" si="6"/>
        <v>-1496145.0741860487</v>
      </c>
      <c r="X38" s="11">
        <f t="shared" si="6"/>
        <v>-1526067.9756697698</v>
      </c>
      <c r="Y38" s="11">
        <f t="shared" si="6"/>
        <v>-1556589.335183165</v>
      </c>
      <c r="Z38" s="11">
        <f t="shared" si="6"/>
        <v>-1587721.1218868284</v>
      </c>
      <c r="AA38" s="11">
        <f t="shared" si="6"/>
        <v>-1619475.5443245647</v>
      </c>
      <c r="AB38" s="11">
        <f t="shared" si="6"/>
        <v>-1651865.055211056</v>
      </c>
      <c r="AC38" s="11">
        <f t="shared" si="6"/>
        <v>-1684902.3563152773</v>
      </c>
      <c r="AD38" s="11">
        <f t="shared" si="6"/>
        <v>-1718600.403441583</v>
      </c>
      <c r="AE38" s="11">
        <f t="shared" si="6"/>
        <v>-1752972.4115104142</v>
      </c>
      <c r="AF38" s="11">
        <f t="shared" si="6"/>
        <v>-1788031.859740623</v>
      </c>
      <c r="AG38" s="11">
        <f t="shared" si="6"/>
        <v>-1823792.4969354351</v>
      </c>
      <c r="AH38" s="11">
        <f t="shared" si="6"/>
        <v>-1860268.3468741439</v>
      </c>
      <c r="AI38" s="11">
        <f t="shared" si="6"/>
        <v>-1897473.7138116264</v>
      </c>
      <c r="AJ38" s="11">
        <f t="shared" si="6"/>
        <v>-1935423.1880878594</v>
      </c>
      <c r="AK38" s="11">
        <f t="shared" si="6"/>
        <v>-1974131.6518496168</v>
      </c>
      <c r="AL38" s="11">
        <f t="shared" si="6"/>
        <v>-2013614.2848866088</v>
      </c>
      <c r="AM38" s="11">
        <f t="shared" si="6"/>
        <v>-2053886.570584341</v>
      </c>
      <c r="AN38" s="11">
        <f t="shared" si="6"/>
        <v>-2094964.3019960276</v>
      </c>
      <c r="AO38" s="11">
        <f t="shared" si="6"/>
        <v>-2136863.5880359486</v>
      </c>
      <c r="AP38" s="11">
        <f t="shared" si="6"/>
        <v>-2179600.8597966679</v>
      </c>
      <c r="AQ38" s="11">
        <f t="shared" si="6"/>
        <v>-2223192.8769926</v>
      </c>
      <c r="AR38" s="11">
        <f t="shared" si="6"/>
        <v>-2267656.7345324527</v>
      </c>
    </row>
    <row r="39" spans="3:45" x14ac:dyDescent="0.35">
      <c r="C39" t="s">
        <v>52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3:45" x14ac:dyDescent="0.35">
      <c r="C40" t="s">
        <v>61</v>
      </c>
      <c r="D40" s="11"/>
      <c r="E40" s="11">
        <f>E70</f>
        <v>0</v>
      </c>
      <c r="F40" s="11">
        <f t="shared" ref="F40:AR40" si="7">F70</f>
        <v>0</v>
      </c>
      <c r="G40" s="11">
        <f t="shared" si="7"/>
        <v>0</v>
      </c>
      <c r="H40" s="11">
        <f t="shared" si="7"/>
        <v>0</v>
      </c>
      <c r="I40" s="11">
        <f t="shared" si="7"/>
        <v>0</v>
      </c>
      <c r="J40" s="11">
        <f t="shared" si="7"/>
        <v>0</v>
      </c>
      <c r="K40" s="11">
        <f t="shared" si="7"/>
        <v>0</v>
      </c>
      <c r="L40" s="11">
        <f t="shared" si="7"/>
        <v>0</v>
      </c>
      <c r="M40" s="11">
        <f t="shared" si="7"/>
        <v>0</v>
      </c>
      <c r="N40" s="11">
        <f t="shared" si="7"/>
        <v>0</v>
      </c>
      <c r="O40" s="11">
        <f t="shared" si="7"/>
        <v>0</v>
      </c>
      <c r="P40" s="11">
        <f t="shared" si="7"/>
        <v>0</v>
      </c>
      <c r="Q40" s="11">
        <f t="shared" si="7"/>
        <v>0</v>
      </c>
      <c r="R40" s="11">
        <f t="shared" si="7"/>
        <v>0</v>
      </c>
      <c r="S40" s="11">
        <f t="shared" si="7"/>
        <v>0</v>
      </c>
      <c r="T40" s="11">
        <f t="shared" si="7"/>
        <v>0</v>
      </c>
      <c r="U40" s="11">
        <f t="shared" si="7"/>
        <v>0</v>
      </c>
      <c r="V40" s="11">
        <f t="shared" si="7"/>
        <v>0</v>
      </c>
      <c r="W40" s="11">
        <f t="shared" si="7"/>
        <v>0</v>
      </c>
      <c r="X40" s="11">
        <f t="shared" si="7"/>
        <v>0</v>
      </c>
      <c r="Y40" s="11">
        <f t="shared" si="7"/>
        <v>0</v>
      </c>
      <c r="Z40" s="11">
        <f t="shared" si="7"/>
        <v>0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7"/>
        <v>0</v>
      </c>
      <c r="AE40" s="11">
        <f t="shared" si="7"/>
        <v>0</v>
      </c>
      <c r="AF40" s="11">
        <f t="shared" si="7"/>
        <v>0</v>
      </c>
      <c r="AG40" s="11">
        <f t="shared" si="7"/>
        <v>0</v>
      </c>
      <c r="AH40" s="11">
        <f t="shared" si="7"/>
        <v>0</v>
      </c>
      <c r="AI40" s="11">
        <f t="shared" si="7"/>
        <v>0</v>
      </c>
      <c r="AJ40" s="11">
        <f t="shared" si="7"/>
        <v>0</v>
      </c>
      <c r="AK40" s="11">
        <f t="shared" si="7"/>
        <v>0</v>
      </c>
      <c r="AL40" s="11">
        <f t="shared" si="7"/>
        <v>0</v>
      </c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0</v>
      </c>
      <c r="AQ40" s="11">
        <f t="shared" si="7"/>
        <v>0</v>
      </c>
      <c r="AR40" s="11">
        <f t="shared" si="7"/>
        <v>0</v>
      </c>
    </row>
    <row r="41" spans="3:45" x14ac:dyDescent="0.35">
      <c r="C41" t="s">
        <v>55</v>
      </c>
      <c r="D41" s="11"/>
      <c r="E41" s="11">
        <f>E138*-1</f>
        <v>-311062.5</v>
      </c>
      <c r="F41" s="11">
        <f t="shared" ref="F41:AR41" si="8">F138*-1</f>
        <v>-303187.5</v>
      </c>
      <c r="G41" s="11">
        <f t="shared" si="8"/>
        <v>-295312.5</v>
      </c>
      <c r="H41" s="11">
        <f t="shared" si="8"/>
        <v>-287437.5</v>
      </c>
      <c r="I41" s="11">
        <f t="shared" si="8"/>
        <v>-279562.5</v>
      </c>
      <c r="J41" s="11">
        <f t="shared" si="8"/>
        <v>-271687.5</v>
      </c>
      <c r="K41" s="11">
        <f t="shared" si="8"/>
        <v>-263812.5</v>
      </c>
      <c r="L41" s="11">
        <f t="shared" si="8"/>
        <v>-255937.5</v>
      </c>
      <c r="M41" s="11">
        <f t="shared" si="8"/>
        <v>-248062.5</v>
      </c>
      <c r="N41" s="11">
        <f t="shared" si="8"/>
        <v>-240187.5</v>
      </c>
      <c r="O41" s="11">
        <f t="shared" si="8"/>
        <v>-232312.5</v>
      </c>
      <c r="P41" s="11">
        <f t="shared" si="8"/>
        <v>-224437.5</v>
      </c>
      <c r="Q41" s="11">
        <f t="shared" si="8"/>
        <v>-216562.5</v>
      </c>
      <c r="R41" s="11">
        <f t="shared" si="8"/>
        <v>-208687.5</v>
      </c>
      <c r="S41" s="11">
        <f t="shared" si="8"/>
        <v>-200812.5</v>
      </c>
      <c r="T41" s="11">
        <f t="shared" si="8"/>
        <v>-192937.5</v>
      </c>
      <c r="U41" s="11">
        <f t="shared" si="8"/>
        <v>-185062.5</v>
      </c>
      <c r="V41" s="11">
        <f t="shared" si="8"/>
        <v>-177187.5</v>
      </c>
      <c r="W41" s="11">
        <f t="shared" si="8"/>
        <v>-169312.5</v>
      </c>
      <c r="X41" s="11">
        <f t="shared" si="8"/>
        <v>-161437.5</v>
      </c>
      <c r="Y41" s="11">
        <f t="shared" si="8"/>
        <v>-153562.5</v>
      </c>
      <c r="Z41" s="11">
        <f t="shared" si="8"/>
        <v>-145687.5</v>
      </c>
      <c r="AA41" s="11">
        <f t="shared" si="8"/>
        <v>-137812.5</v>
      </c>
      <c r="AB41" s="11">
        <f t="shared" si="8"/>
        <v>-129937.5</v>
      </c>
      <c r="AC41" s="11">
        <f t="shared" si="8"/>
        <v>-122062.5</v>
      </c>
      <c r="AD41" s="11">
        <f t="shared" si="8"/>
        <v>-114187.5</v>
      </c>
      <c r="AE41" s="11">
        <f t="shared" si="8"/>
        <v>-106312.5</v>
      </c>
      <c r="AF41" s="11">
        <f t="shared" si="8"/>
        <v>-98437.5</v>
      </c>
      <c r="AG41" s="11">
        <f t="shared" si="8"/>
        <v>-90562.5</v>
      </c>
      <c r="AH41" s="11">
        <f t="shared" si="8"/>
        <v>-82687.5</v>
      </c>
      <c r="AI41" s="11">
        <f t="shared" si="8"/>
        <v>-74812.5</v>
      </c>
      <c r="AJ41" s="11">
        <f t="shared" si="8"/>
        <v>-66937.5</v>
      </c>
      <c r="AK41" s="11">
        <f t="shared" si="8"/>
        <v>-59062.5</v>
      </c>
      <c r="AL41" s="11">
        <f t="shared" si="8"/>
        <v>-51187.5</v>
      </c>
      <c r="AM41" s="11">
        <f t="shared" si="8"/>
        <v>-43312.5</v>
      </c>
      <c r="AN41" s="11">
        <f t="shared" si="8"/>
        <v>-35437.5</v>
      </c>
      <c r="AO41" s="11">
        <f t="shared" si="8"/>
        <v>-27562.5</v>
      </c>
      <c r="AP41" s="11">
        <f t="shared" si="8"/>
        <v>-19687.5</v>
      </c>
      <c r="AQ41" s="11">
        <f t="shared" si="8"/>
        <v>-11812.5</v>
      </c>
      <c r="AR41" s="11">
        <f t="shared" si="8"/>
        <v>-3937.5</v>
      </c>
    </row>
    <row r="42" spans="3:45" x14ac:dyDescent="0.35">
      <c r="C42" t="s">
        <v>54</v>
      </c>
      <c r="D42" s="11"/>
      <c r="E42" s="11">
        <f>E93</f>
        <v>0</v>
      </c>
      <c r="F42" s="11">
        <f t="shared" ref="F42:AR42" si="9">F93</f>
        <v>0</v>
      </c>
      <c r="G42" s="11">
        <f t="shared" si="9"/>
        <v>0</v>
      </c>
      <c r="H42" s="11">
        <f t="shared" si="9"/>
        <v>0</v>
      </c>
      <c r="I42" s="11">
        <f t="shared" si="9"/>
        <v>0</v>
      </c>
      <c r="J42" s="11">
        <f t="shared" si="9"/>
        <v>0</v>
      </c>
      <c r="K42" s="11">
        <f t="shared" si="9"/>
        <v>0</v>
      </c>
      <c r="L42" s="11">
        <f t="shared" si="9"/>
        <v>0</v>
      </c>
      <c r="M42" s="11">
        <f t="shared" si="9"/>
        <v>0</v>
      </c>
      <c r="N42" s="11">
        <f t="shared" si="9"/>
        <v>0</v>
      </c>
      <c r="O42" s="11">
        <f t="shared" si="9"/>
        <v>0</v>
      </c>
      <c r="P42" s="11">
        <f t="shared" si="9"/>
        <v>0</v>
      </c>
      <c r="Q42" s="11">
        <f t="shared" si="9"/>
        <v>0</v>
      </c>
      <c r="R42" s="11">
        <f t="shared" si="9"/>
        <v>0</v>
      </c>
      <c r="S42" s="11">
        <f t="shared" si="9"/>
        <v>0</v>
      </c>
      <c r="T42" s="11">
        <f t="shared" si="9"/>
        <v>0</v>
      </c>
      <c r="U42" s="11">
        <f t="shared" si="9"/>
        <v>0</v>
      </c>
      <c r="V42" s="11">
        <f t="shared" si="9"/>
        <v>0</v>
      </c>
      <c r="W42" s="11">
        <f t="shared" si="9"/>
        <v>0</v>
      </c>
      <c r="X42" s="11">
        <f t="shared" si="9"/>
        <v>0</v>
      </c>
      <c r="Y42" s="11">
        <f t="shared" si="9"/>
        <v>0</v>
      </c>
      <c r="Z42" s="11">
        <f t="shared" si="9"/>
        <v>0</v>
      </c>
      <c r="AA42" s="11">
        <f t="shared" si="9"/>
        <v>0</v>
      </c>
      <c r="AB42" s="11">
        <f t="shared" si="9"/>
        <v>0</v>
      </c>
      <c r="AC42" s="11">
        <f t="shared" si="9"/>
        <v>0</v>
      </c>
      <c r="AD42" s="11">
        <f t="shared" si="9"/>
        <v>0</v>
      </c>
      <c r="AE42" s="11">
        <f t="shared" si="9"/>
        <v>0</v>
      </c>
      <c r="AF42" s="11">
        <f t="shared" si="9"/>
        <v>0</v>
      </c>
      <c r="AG42" s="11">
        <f t="shared" si="9"/>
        <v>0</v>
      </c>
      <c r="AH42" s="11">
        <f t="shared" si="9"/>
        <v>0</v>
      </c>
      <c r="AI42" s="11">
        <f t="shared" si="9"/>
        <v>0</v>
      </c>
      <c r="AJ42" s="11">
        <f t="shared" si="9"/>
        <v>0</v>
      </c>
      <c r="AK42" s="11">
        <f t="shared" si="9"/>
        <v>0</v>
      </c>
      <c r="AL42" s="11">
        <f t="shared" si="9"/>
        <v>0</v>
      </c>
      <c r="AM42" s="11">
        <f t="shared" si="9"/>
        <v>0</v>
      </c>
      <c r="AN42" s="11">
        <f t="shared" si="9"/>
        <v>0</v>
      </c>
      <c r="AO42" s="11">
        <f t="shared" si="9"/>
        <v>0</v>
      </c>
      <c r="AP42" s="11">
        <f t="shared" si="9"/>
        <v>0</v>
      </c>
      <c r="AQ42" s="11">
        <f t="shared" si="9"/>
        <v>0</v>
      </c>
      <c r="AR42" s="11">
        <f t="shared" si="9"/>
        <v>0</v>
      </c>
    </row>
    <row r="43" spans="3:45" x14ac:dyDescent="0.35">
      <c r="C43" t="s">
        <v>10</v>
      </c>
      <c r="D43" s="11"/>
      <c r="E43" s="11">
        <f>E136*-1</f>
        <v>-1125000</v>
      </c>
      <c r="F43" s="11">
        <f t="shared" ref="F43:AR43" si="10">F136*-1</f>
        <v>-1125000</v>
      </c>
      <c r="G43" s="11">
        <f t="shared" si="10"/>
        <v>-1125000</v>
      </c>
      <c r="H43" s="11">
        <f t="shared" si="10"/>
        <v>-1125000</v>
      </c>
      <c r="I43" s="11">
        <f t="shared" si="10"/>
        <v>-1125000</v>
      </c>
      <c r="J43" s="11">
        <f t="shared" si="10"/>
        <v>-1125000</v>
      </c>
      <c r="K43" s="11">
        <f t="shared" si="10"/>
        <v>-1125000</v>
      </c>
      <c r="L43" s="11">
        <f t="shared" si="10"/>
        <v>-1125000</v>
      </c>
      <c r="M43" s="11">
        <f t="shared" si="10"/>
        <v>-1125000</v>
      </c>
      <c r="N43" s="11">
        <f t="shared" si="10"/>
        <v>-1125000</v>
      </c>
      <c r="O43" s="11">
        <f t="shared" si="10"/>
        <v>-1125000</v>
      </c>
      <c r="P43" s="11">
        <f t="shared" si="10"/>
        <v>-1125000</v>
      </c>
      <c r="Q43" s="11">
        <f t="shared" si="10"/>
        <v>-1125000</v>
      </c>
      <c r="R43" s="11">
        <f t="shared" si="10"/>
        <v>-1125000</v>
      </c>
      <c r="S43" s="11">
        <f t="shared" si="10"/>
        <v>-1125000</v>
      </c>
      <c r="T43" s="11">
        <f t="shared" si="10"/>
        <v>-1125000</v>
      </c>
      <c r="U43" s="11">
        <f t="shared" si="10"/>
        <v>-1125000</v>
      </c>
      <c r="V43" s="11">
        <f t="shared" si="10"/>
        <v>-1125000</v>
      </c>
      <c r="W43" s="11">
        <f t="shared" si="10"/>
        <v>-1125000</v>
      </c>
      <c r="X43" s="11">
        <f t="shared" si="10"/>
        <v>-1125000</v>
      </c>
      <c r="Y43" s="11">
        <f t="shared" si="10"/>
        <v>-1125000</v>
      </c>
      <c r="Z43" s="11">
        <f t="shared" si="10"/>
        <v>-1125000</v>
      </c>
      <c r="AA43" s="11">
        <f t="shared" si="10"/>
        <v>-1125000</v>
      </c>
      <c r="AB43" s="11">
        <f t="shared" si="10"/>
        <v>-1125000</v>
      </c>
      <c r="AC43" s="11">
        <f t="shared" si="10"/>
        <v>-1125000</v>
      </c>
      <c r="AD43" s="11">
        <f t="shared" si="10"/>
        <v>-1125000</v>
      </c>
      <c r="AE43" s="11">
        <f t="shared" si="10"/>
        <v>-1125000</v>
      </c>
      <c r="AF43" s="11">
        <f t="shared" si="10"/>
        <v>-1125000</v>
      </c>
      <c r="AG43" s="11">
        <f t="shared" si="10"/>
        <v>-1125000</v>
      </c>
      <c r="AH43" s="11">
        <f t="shared" si="10"/>
        <v>-1125000</v>
      </c>
      <c r="AI43" s="11">
        <f t="shared" si="10"/>
        <v>-1125000</v>
      </c>
      <c r="AJ43" s="11">
        <f t="shared" si="10"/>
        <v>-1125000</v>
      </c>
      <c r="AK43" s="11">
        <f t="shared" si="10"/>
        <v>-1125000</v>
      </c>
      <c r="AL43" s="11">
        <f t="shared" si="10"/>
        <v>-1125000</v>
      </c>
      <c r="AM43" s="11">
        <f t="shared" si="10"/>
        <v>-1125000</v>
      </c>
      <c r="AN43" s="11">
        <f t="shared" si="10"/>
        <v>-1125000</v>
      </c>
      <c r="AO43" s="11">
        <f t="shared" si="10"/>
        <v>-1125000</v>
      </c>
      <c r="AP43" s="11">
        <f t="shared" si="10"/>
        <v>-1125000</v>
      </c>
      <c r="AQ43" s="11">
        <f t="shared" si="10"/>
        <v>-1125000</v>
      </c>
      <c r="AR43" s="11">
        <f t="shared" si="10"/>
        <v>-1125000</v>
      </c>
    </row>
    <row r="44" spans="3:45" x14ac:dyDescent="0.35">
      <c r="C44" s="106" t="s">
        <v>7</v>
      </c>
      <c r="D44" s="107"/>
      <c r="E44" s="107">
        <f t="shared" ref="E44:AJ44" si="11">SUM(E33:E43)</f>
        <v>15585797.099999998</v>
      </c>
      <c r="F44" s="107">
        <f t="shared" si="11"/>
        <v>13188056.651999997</v>
      </c>
      <c r="G44" s="107">
        <f t="shared" si="11"/>
        <v>12985579.535039999</v>
      </c>
      <c r="H44" s="107">
        <f t="shared" si="11"/>
        <v>13721630.183740802</v>
      </c>
      <c r="I44" s="107">
        <f t="shared" si="11"/>
        <v>13665519.571415618</v>
      </c>
      <c r="J44" s="107">
        <f t="shared" si="11"/>
        <v>13520950.692843929</v>
      </c>
      <c r="K44" s="107">
        <f t="shared" si="11"/>
        <v>13769011.546700807</v>
      </c>
      <c r="L44" s="107">
        <f t="shared" si="11"/>
        <v>14589183.017634826</v>
      </c>
      <c r="M44" s="107">
        <f t="shared" si="11"/>
        <v>14760630.55798752</v>
      </c>
      <c r="N44" s="107">
        <f t="shared" si="11"/>
        <v>14520281.969147263</v>
      </c>
      <c r="O44" s="107">
        <f t="shared" si="11"/>
        <v>14845866.358530222</v>
      </c>
      <c r="P44" s="107">
        <f t="shared" si="11"/>
        <v>15177804.935700819</v>
      </c>
      <c r="Q44" s="107">
        <f t="shared" si="11"/>
        <v>15516224.784414839</v>
      </c>
      <c r="R44" s="107">
        <f t="shared" si="11"/>
        <v>15861255.530103136</v>
      </c>
      <c r="S44" s="107">
        <f t="shared" si="11"/>
        <v>16213029.390705191</v>
      </c>
      <c r="T44" s="107">
        <f t="shared" si="11"/>
        <v>16571681.228519306</v>
      </c>
      <c r="U44" s="107">
        <f t="shared" si="11"/>
        <v>16937348.60308969</v>
      </c>
      <c r="V44" s="107">
        <f t="shared" si="11"/>
        <v>17310171.825151481</v>
      </c>
      <c r="W44" s="107">
        <f t="shared" si="11"/>
        <v>17690294.011654507</v>
      </c>
      <c r="X44" s="107">
        <f t="shared" si="11"/>
        <v>18077861.141887598</v>
      </c>
      <c r="Y44" s="107">
        <f t="shared" si="11"/>
        <v>18473022.114725344</v>
      </c>
      <c r="Z44" s="107">
        <f t="shared" si="11"/>
        <v>18875928.80701986</v>
      </c>
      <c r="AA44" s="107">
        <f t="shared" si="11"/>
        <v>19286736.133160252</v>
      </c>
      <c r="AB44" s="107">
        <f t="shared" si="11"/>
        <v>19705602.105823465</v>
      </c>
      <c r="AC44" s="107">
        <f t="shared" si="11"/>
        <v>20132687.897939932</v>
      </c>
      <c r="AD44" s="107">
        <f t="shared" si="11"/>
        <v>20568157.905898735</v>
      </c>
      <c r="AE44" s="107">
        <f t="shared" si="11"/>
        <v>21012179.814016707</v>
      </c>
      <c r="AF44" s="107">
        <f t="shared" si="11"/>
        <v>21464924.66029704</v>
      </c>
      <c r="AG44" s="107">
        <f t="shared" si="11"/>
        <v>21926566.903502986</v>
      </c>
      <c r="AH44" s="107">
        <f t="shared" si="11"/>
        <v>22397284.491573047</v>
      </c>
      <c r="AI44" s="107">
        <f t="shared" si="11"/>
        <v>22877258.931404509</v>
      </c>
      <c r="AJ44" s="107">
        <f t="shared" si="11"/>
        <v>23366675.360032603</v>
      </c>
      <c r="AK44" s="107">
        <f t="shared" ref="AK44:AR44" si="12">SUM(AK33:AK43)</f>
        <v>23865722.617233258</v>
      </c>
      <c r="AL44" s="107">
        <f t="shared" si="12"/>
        <v>24374593.319577921</v>
      </c>
      <c r="AM44" s="107">
        <f t="shared" si="12"/>
        <v>24893483.935969479</v>
      </c>
      <c r="AN44" s="107">
        <f t="shared" si="12"/>
        <v>25422594.864688877</v>
      </c>
      <c r="AO44" s="107">
        <f t="shared" si="12"/>
        <v>25962130.511982646</v>
      </c>
      <c r="AP44" s="107">
        <f t="shared" si="12"/>
        <v>26512299.372222301</v>
      </c>
      <c r="AQ44" s="107">
        <f t="shared" si="12"/>
        <v>27073314.10966675</v>
      </c>
      <c r="AR44" s="107">
        <f t="shared" si="12"/>
        <v>27645391.641860086</v>
      </c>
    </row>
    <row r="45" spans="3:45" x14ac:dyDescent="0.35">
      <c r="C45" t="s">
        <v>59</v>
      </c>
      <c r="D45" s="11"/>
      <c r="E45" s="11">
        <f t="shared" ref="E45:AR45" si="13">selskatt*E44*(-1)</f>
        <v>-3584733.3329999996</v>
      </c>
      <c r="F45" s="11">
        <f t="shared" si="13"/>
        <v>-3033253.0299599995</v>
      </c>
      <c r="G45" s="11">
        <f t="shared" si="13"/>
        <v>-2986683.2930591996</v>
      </c>
      <c r="H45" s="11">
        <f t="shared" si="13"/>
        <v>-3155974.9422603846</v>
      </c>
      <c r="I45" s="11">
        <f t="shared" si="13"/>
        <v>-3143069.5014255922</v>
      </c>
      <c r="J45" s="11">
        <f t="shared" si="13"/>
        <v>-3109818.6593541037</v>
      </c>
      <c r="K45" s="11">
        <f t="shared" si="13"/>
        <v>-3166872.6557411859</v>
      </c>
      <c r="L45" s="11">
        <f t="shared" si="13"/>
        <v>-3355512.0940560102</v>
      </c>
      <c r="M45" s="11">
        <f t="shared" si="13"/>
        <v>-3394945.0283371299</v>
      </c>
      <c r="N45" s="11">
        <f t="shared" si="13"/>
        <v>-3339664.8529038709</v>
      </c>
      <c r="O45" s="11">
        <f t="shared" si="13"/>
        <v>-3414549.262461951</v>
      </c>
      <c r="P45" s="11">
        <f t="shared" si="13"/>
        <v>-3490895.1352111883</v>
      </c>
      <c r="Q45" s="11">
        <f t="shared" si="13"/>
        <v>-3568731.7004154129</v>
      </c>
      <c r="R45" s="11">
        <f t="shared" si="13"/>
        <v>-3648088.7719237213</v>
      </c>
      <c r="S45" s="11">
        <f t="shared" si="13"/>
        <v>-3728996.7598621938</v>
      </c>
      <c r="T45" s="11">
        <f t="shared" si="13"/>
        <v>-3811486.6825594404</v>
      </c>
      <c r="U45" s="11">
        <f t="shared" si="13"/>
        <v>-3895590.1787106288</v>
      </c>
      <c r="V45" s="11">
        <f t="shared" si="13"/>
        <v>-3981339.5197848408</v>
      </c>
      <c r="W45" s="11">
        <f t="shared" si="13"/>
        <v>-4068767.6226805369</v>
      </c>
      <c r="X45" s="11">
        <f t="shared" si="13"/>
        <v>-4157908.0626341477</v>
      </c>
      <c r="Y45" s="11">
        <f t="shared" si="13"/>
        <v>-4248795.0863868296</v>
      </c>
      <c r="Z45" s="11">
        <f t="shared" si="13"/>
        <v>-4341463.6256145677</v>
      </c>
      <c r="AA45" s="11">
        <f t="shared" si="13"/>
        <v>-4435949.3106268579</v>
      </c>
      <c r="AB45" s="11">
        <f t="shared" si="13"/>
        <v>-4532288.4843393974</v>
      </c>
      <c r="AC45" s="11">
        <f t="shared" si="13"/>
        <v>-4630518.2165261842</v>
      </c>
      <c r="AD45" s="11">
        <f t="shared" si="13"/>
        <v>-4730676.3183567096</v>
      </c>
      <c r="AE45" s="11">
        <f t="shared" si="13"/>
        <v>-4832801.3572238432</v>
      </c>
      <c r="AF45" s="11">
        <f t="shared" si="13"/>
        <v>-4936932.6718683196</v>
      </c>
      <c r="AG45" s="11">
        <f t="shared" si="13"/>
        <v>-5043110.3878056873</v>
      </c>
      <c r="AH45" s="11">
        <f t="shared" si="13"/>
        <v>-5151375.4330618009</v>
      </c>
      <c r="AI45" s="11">
        <f t="shared" si="13"/>
        <v>-5261769.5542230373</v>
      </c>
      <c r="AJ45" s="11">
        <f t="shared" si="13"/>
        <v>-5374335.332807499</v>
      </c>
      <c r="AK45" s="11">
        <f t="shared" si="13"/>
        <v>-5489116.2019636491</v>
      </c>
      <c r="AL45" s="11">
        <f t="shared" si="13"/>
        <v>-5606156.4635029221</v>
      </c>
      <c r="AM45" s="11">
        <f t="shared" si="13"/>
        <v>-5725501.3052729806</v>
      </c>
      <c r="AN45" s="11">
        <f t="shared" si="13"/>
        <v>-5847196.818878442</v>
      </c>
      <c r="AO45" s="11">
        <f t="shared" si="13"/>
        <v>-5971290.0177560085</v>
      </c>
      <c r="AP45" s="11">
        <f t="shared" si="13"/>
        <v>-6097828.8556111297</v>
      </c>
      <c r="AQ45" s="11">
        <f t="shared" si="13"/>
        <v>-6226862.2452233527</v>
      </c>
      <c r="AR45" s="11">
        <f t="shared" si="13"/>
        <v>-6358440.07762782</v>
      </c>
    </row>
    <row r="46" spans="3:45" x14ac:dyDescent="0.35">
      <c r="C46" s="106" t="s">
        <v>8</v>
      </c>
      <c r="D46" s="107"/>
      <c r="E46" s="107">
        <f>SUM(E44:E45)</f>
        <v>12001063.766999997</v>
      </c>
      <c r="F46" s="107">
        <f t="shared" ref="F46:AR46" si="14">SUM(F44:F45)</f>
        <v>10154803.622039998</v>
      </c>
      <c r="G46" s="107">
        <f t="shared" si="14"/>
        <v>9998896.2419807985</v>
      </c>
      <c r="H46" s="107">
        <f t="shared" si="14"/>
        <v>10565655.241480418</v>
      </c>
      <c r="I46" s="107">
        <f t="shared" si="14"/>
        <v>10522450.069990026</v>
      </c>
      <c r="J46" s="107">
        <f t="shared" si="14"/>
        <v>10411132.033489825</v>
      </c>
      <c r="K46" s="107">
        <f t="shared" si="14"/>
        <v>10602138.89095962</v>
      </c>
      <c r="L46" s="107">
        <f t="shared" si="14"/>
        <v>11233670.923578816</v>
      </c>
      <c r="M46" s="107">
        <f t="shared" si="14"/>
        <v>11365685.52965039</v>
      </c>
      <c r="N46" s="107">
        <f t="shared" si="14"/>
        <v>11180617.116243392</v>
      </c>
      <c r="O46" s="107">
        <f t="shared" si="14"/>
        <v>11431317.096068271</v>
      </c>
      <c r="P46" s="107">
        <f t="shared" si="14"/>
        <v>11686909.800489631</v>
      </c>
      <c r="Q46" s="107">
        <f t="shared" si="14"/>
        <v>11947493.083999425</v>
      </c>
      <c r="R46" s="107">
        <f t="shared" si="14"/>
        <v>12213166.758179415</v>
      </c>
      <c r="S46" s="107">
        <f t="shared" si="14"/>
        <v>12484032.630842997</v>
      </c>
      <c r="T46" s="107">
        <f t="shared" si="14"/>
        <v>12760194.545959866</v>
      </c>
      <c r="U46" s="107">
        <f t="shared" si="14"/>
        <v>13041758.424379062</v>
      </c>
      <c r="V46" s="107">
        <f t="shared" si="14"/>
        <v>13328832.305366639</v>
      </c>
      <c r="W46" s="107">
        <f t="shared" si="14"/>
        <v>13621526.38897397</v>
      </c>
      <c r="X46" s="107">
        <f t="shared" si="14"/>
        <v>13919953.07925345</v>
      </c>
      <c r="Y46" s="107">
        <f t="shared" si="14"/>
        <v>14224227.028338514</v>
      </c>
      <c r="Z46" s="107">
        <f t="shared" si="14"/>
        <v>14534465.181405291</v>
      </c>
      <c r="AA46" s="107">
        <f t="shared" si="14"/>
        <v>14850786.822533395</v>
      </c>
      <c r="AB46" s="107">
        <f t="shared" si="14"/>
        <v>15173313.621484067</v>
      </c>
      <c r="AC46" s="107">
        <f t="shared" si="14"/>
        <v>15502169.681413747</v>
      </c>
      <c r="AD46" s="107">
        <f t="shared" si="14"/>
        <v>15837481.587542025</v>
      </c>
      <c r="AE46" s="107">
        <f t="shared" si="14"/>
        <v>16179378.456792865</v>
      </c>
      <c r="AF46" s="107">
        <f t="shared" si="14"/>
        <v>16527991.988428719</v>
      </c>
      <c r="AG46" s="107">
        <f t="shared" si="14"/>
        <v>16883456.5156973</v>
      </c>
      <c r="AH46" s="107">
        <f t="shared" si="14"/>
        <v>17245909.058511246</v>
      </c>
      <c r="AI46" s="107">
        <f t="shared" si="14"/>
        <v>17615489.37718147</v>
      </c>
      <c r="AJ46" s="107">
        <f t="shared" si="14"/>
        <v>17992340.027225103</v>
      </c>
      <c r="AK46" s="107">
        <f t="shared" si="14"/>
        <v>18376606.41526961</v>
      </c>
      <c r="AL46" s="107">
        <f t="shared" si="14"/>
        <v>18768436.856075</v>
      </c>
      <c r="AM46" s="107">
        <f t="shared" si="14"/>
        <v>19167982.630696498</v>
      </c>
      <c r="AN46" s="107">
        <f t="shared" si="14"/>
        <v>19575398.045810435</v>
      </c>
      <c r="AO46" s="107">
        <f t="shared" si="14"/>
        <v>19990840.494226638</v>
      </c>
      <c r="AP46" s="107">
        <f t="shared" si="14"/>
        <v>20414470.51661117</v>
      </c>
      <c r="AQ46" s="107">
        <f t="shared" si="14"/>
        <v>20846451.864443399</v>
      </c>
      <c r="AR46" s="107">
        <f t="shared" si="14"/>
        <v>21286951.564232267</v>
      </c>
      <c r="AS46" s="11">
        <f>SUM(D46:AR46)</f>
        <v>585465445.28384471</v>
      </c>
    </row>
    <row r="47" spans="3:45" x14ac:dyDescent="0.35">
      <c r="C47" t="s">
        <v>10</v>
      </c>
      <c r="D47" s="11"/>
      <c r="E47" s="11">
        <f>E43*(-1)</f>
        <v>1125000</v>
      </c>
      <c r="F47" s="11">
        <f t="shared" ref="F47:AR47" si="15">F43*(-1)</f>
        <v>1125000</v>
      </c>
      <c r="G47" s="11">
        <f t="shared" si="15"/>
        <v>1125000</v>
      </c>
      <c r="H47" s="11">
        <f t="shared" si="15"/>
        <v>1125000</v>
      </c>
      <c r="I47" s="11">
        <f t="shared" si="15"/>
        <v>1125000</v>
      </c>
      <c r="J47" s="11">
        <f t="shared" si="15"/>
        <v>1125000</v>
      </c>
      <c r="K47" s="11">
        <f t="shared" si="15"/>
        <v>1125000</v>
      </c>
      <c r="L47" s="11">
        <f t="shared" si="15"/>
        <v>1125000</v>
      </c>
      <c r="M47" s="11">
        <f t="shared" si="15"/>
        <v>1125000</v>
      </c>
      <c r="N47" s="11">
        <f t="shared" si="15"/>
        <v>1125000</v>
      </c>
      <c r="O47" s="11">
        <f t="shared" si="15"/>
        <v>1125000</v>
      </c>
      <c r="P47" s="11">
        <f t="shared" si="15"/>
        <v>1125000</v>
      </c>
      <c r="Q47" s="11">
        <f t="shared" si="15"/>
        <v>1125000</v>
      </c>
      <c r="R47" s="11">
        <f t="shared" si="15"/>
        <v>1125000</v>
      </c>
      <c r="S47" s="11">
        <f t="shared" si="15"/>
        <v>1125000</v>
      </c>
      <c r="T47" s="11">
        <f t="shared" si="15"/>
        <v>1125000</v>
      </c>
      <c r="U47" s="11">
        <f t="shared" si="15"/>
        <v>1125000</v>
      </c>
      <c r="V47" s="11">
        <f t="shared" si="15"/>
        <v>1125000</v>
      </c>
      <c r="W47" s="11">
        <f t="shared" si="15"/>
        <v>1125000</v>
      </c>
      <c r="X47" s="11">
        <f t="shared" si="15"/>
        <v>1125000</v>
      </c>
      <c r="Y47" s="11">
        <f t="shared" si="15"/>
        <v>1125000</v>
      </c>
      <c r="Z47" s="11">
        <f t="shared" si="15"/>
        <v>1125000</v>
      </c>
      <c r="AA47" s="11">
        <f t="shared" si="15"/>
        <v>1125000</v>
      </c>
      <c r="AB47" s="11">
        <f t="shared" si="15"/>
        <v>1125000</v>
      </c>
      <c r="AC47" s="11">
        <f t="shared" si="15"/>
        <v>1125000</v>
      </c>
      <c r="AD47" s="11">
        <f t="shared" si="15"/>
        <v>1125000</v>
      </c>
      <c r="AE47" s="11">
        <f t="shared" si="15"/>
        <v>1125000</v>
      </c>
      <c r="AF47" s="11">
        <f t="shared" si="15"/>
        <v>1125000</v>
      </c>
      <c r="AG47" s="11">
        <f t="shared" si="15"/>
        <v>1125000</v>
      </c>
      <c r="AH47" s="11">
        <f t="shared" si="15"/>
        <v>1125000</v>
      </c>
      <c r="AI47" s="11">
        <f t="shared" si="15"/>
        <v>1125000</v>
      </c>
      <c r="AJ47" s="11">
        <f t="shared" si="15"/>
        <v>1125000</v>
      </c>
      <c r="AK47" s="11">
        <f t="shared" si="15"/>
        <v>1125000</v>
      </c>
      <c r="AL47" s="11">
        <f t="shared" si="15"/>
        <v>1125000</v>
      </c>
      <c r="AM47" s="11">
        <f t="shared" si="15"/>
        <v>1125000</v>
      </c>
      <c r="AN47" s="11">
        <f t="shared" si="15"/>
        <v>1125000</v>
      </c>
      <c r="AO47" s="11">
        <f t="shared" si="15"/>
        <v>1125000</v>
      </c>
      <c r="AP47" s="11">
        <f t="shared" si="15"/>
        <v>1125000</v>
      </c>
      <c r="AQ47" s="11">
        <f t="shared" si="15"/>
        <v>1125000</v>
      </c>
      <c r="AR47" s="11">
        <f t="shared" si="15"/>
        <v>1125000</v>
      </c>
      <c r="AS47" s="11">
        <f t="shared" ref="AS47:AS51" si="16">SUM(D47:AR47)</f>
        <v>45000000</v>
      </c>
    </row>
    <row r="48" spans="3:45" x14ac:dyDescent="0.35">
      <c r="C48" t="s">
        <v>33</v>
      </c>
      <c r="D48" s="11"/>
      <c r="E48" s="11">
        <f>E109</f>
        <v>-1279677.6664075479</v>
      </c>
      <c r="F48" s="11">
        <f t="shared" ref="F48:M48" si="17">F109</f>
        <v>-55985.897905331105</v>
      </c>
      <c r="G48" s="11">
        <f t="shared" si="17"/>
        <v>467882.14678025991</v>
      </c>
      <c r="H48" s="11">
        <f t="shared" si="17"/>
        <v>27992.948952665552</v>
      </c>
      <c r="I48" s="11">
        <f t="shared" si="17"/>
        <v>-19994.963537618518</v>
      </c>
      <c r="J48" s="11">
        <f t="shared" si="17"/>
        <v>199949.63537617959</v>
      </c>
      <c r="K48" s="11">
        <f t="shared" si="17"/>
        <v>519869.05197806656</v>
      </c>
      <c r="L48" s="11">
        <f t="shared" si="17"/>
        <v>159959.70830094256</v>
      </c>
      <c r="M48" s="11">
        <f t="shared" si="17"/>
        <v>-67982.876027902588</v>
      </c>
      <c r="N48" s="11">
        <f>N109</f>
        <v>248577.38669967093</v>
      </c>
      <c r="O48" s="11">
        <f t="shared" ref="O48:AR48" si="18">O109</f>
        <v>253548.93443365581</v>
      </c>
      <c r="P48" s="11">
        <f>P109</f>
        <v>258619.91312233359</v>
      </c>
      <c r="Q48" s="11">
        <f t="shared" si="18"/>
        <v>263792.31138478033</v>
      </c>
      <c r="R48" s="11">
        <f t="shared" si="18"/>
        <v>269068.15761247091</v>
      </c>
      <c r="S48" s="11">
        <f t="shared" si="18"/>
        <v>274449.52076472901</v>
      </c>
      <c r="T48" s="11">
        <f t="shared" si="18"/>
        <v>279938.51118001901</v>
      </c>
      <c r="U48" s="11">
        <f t="shared" si="18"/>
        <v>285537.28140361607</v>
      </c>
      <c r="V48" s="11">
        <f t="shared" si="18"/>
        <v>291248.02703168988</v>
      </c>
      <c r="W48" s="11">
        <f t="shared" si="18"/>
        <v>297072.98757232726</v>
      </c>
      <c r="X48" s="11">
        <f t="shared" si="18"/>
        <v>303014.44732376933</v>
      </c>
      <c r="Y48" s="11">
        <f t="shared" si="18"/>
        <v>309074.73627024889</v>
      </c>
      <c r="Z48" s="11">
        <f t="shared" si="18"/>
        <v>315256.2309956532</v>
      </c>
      <c r="AA48" s="11">
        <f t="shared" si="18"/>
        <v>321561.35561556555</v>
      </c>
      <c r="AB48" s="11">
        <f t="shared" si="18"/>
        <v>327992.58272787742</v>
      </c>
      <c r="AC48" s="11">
        <f t="shared" si="18"/>
        <v>334552.4343824368</v>
      </c>
      <c r="AD48" s="11">
        <f t="shared" si="18"/>
        <v>341243.48307007924</v>
      </c>
      <c r="AE48" s="11">
        <f t="shared" si="18"/>
        <v>348068.35273148492</v>
      </c>
      <c r="AF48" s="11">
        <f t="shared" si="18"/>
        <v>355029.71978611872</v>
      </c>
      <c r="AG48" s="11">
        <f t="shared" si="18"/>
        <v>362130.31418183446</v>
      </c>
      <c r="AH48" s="11">
        <f t="shared" si="18"/>
        <v>369372.92046547309</v>
      </c>
      <c r="AI48" s="11">
        <f t="shared" si="18"/>
        <v>376760.3788747862</v>
      </c>
      <c r="AJ48" s="11">
        <f t="shared" si="18"/>
        <v>384295.58645227924</v>
      </c>
      <c r="AK48" s="11">
        <f t="shared" si="18"/>
        <v>391981.49818132445</v>
      </c>
      <c r="AL48" s="11">
        <f t="shared" si="18"/>
        <v>399821.1281449534</v>
      </c>
      <c r="AM48" s="11">
        <f t="shared" si="18"/>
        <v>407817.55070785061</v>
      </c>
      <c r="AN48" s="11">
        <f t="shared" si="18"/>
        <v>415973.90172200277</v>
      </c>
      <c r="AO48" s="11">
        <f t="shared" si="18"/>
        <v>424293.37975645065</v>
      </c>
      <c r="AP48" s="11">
        <f t="shared" si="18"/>
        <v>432779.24735157192</v>
      </c>
      <c r="AQ48" s="11">
        <f t="shared" si="18"/>
        <v>441434.83229861036</v>
      </c>
      <c r="AR48" s="11">
        <f t="shared" si="18"/>
        <v>-22513176.447228964</v>
      </c>
      <c r="AS48" s="11">
        <f t="shared" si="16"/>
        <v>-12476857.247473586</v>
      </c>
    </row>
    <row r="49" spans="3:45" x14ac:dyDescent="0.35">
      <c r="C49" t="s">
        <v>5</v>
      </c>
      <c r="D49" s="11">
        <f>inv</f>
        <v>-45000000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f t="shared" si="16"/>
        <v>-45000000</v>
      </c>
    </row>
    <row r="50" spans="3:45" x14ac:dyDescent="0.35">
      <c r="C50" t="s">
        <v>97</v>
      </c>
      <c r="D50" s="11">
        <f>D109</f>
        <v>12476857.247473586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f t="shared" si="16"/>
        <v>12476857.247473586</v>
      </c>
    </row>
    <row r="51" spans="3:45" x14ac:dyDescent="0.35">
      <c r="C51" s="106" t="s">
        <v>32</v>
      </c>
      <c r="D51" s="107">
        <f>SUM(D46:D50)</f>
        <v>-32523142.752526414</v>
      </c>
      <c r="E51" s="107">
        <f t="shared" ref="E51:AR51" si="19">SUM(E46:E50)</f>
        <v>11846386.100592449</v>
      </c>
      <c r="F51" s="107">
        <f t="shared" si="19"/>
        <v>11223817.724134667</v>
      </c>
      <c r="G51" s="107">
        <f t="shared" si="19"/>
        <v>11591778.388761058</v>
      </c>
      <c r="H51" s="107">
        <f t="shared" si="19"/>
        <v>11718648.190433083</v>
      </c>
      <c r="I51" s="107">
        <f t="shared" si="19"/>
        <v>11627455.106452407</v>
      </c>
      <c r="J51" s="107">
        <f t="shared" si="19"/>
        <v>11736081.668866005</v>
      </c>
      <c r="K51" s="107">
        <f t="shared" si="19"/>
        <v>12247007.942937687</v>
      </c>
      <c r="L51" s="107">
        <f t="shared" si="19"/>
        <v>12518630.631879758</v>
      </c>
      <c r="M51" s="107">
        <f t="shared" si="19"/>
        <v>12422702.653622488</v>
      </c>
      <c r="N51" s="107">
        <f t="shared" si="19"/>
        <v>12554194.502943063</v>
      </c>
      <c r="O51" s="107">
        <f t="shared" si="19"/>
        <v>12809866.030501926</v>
      </c>
      <c r="P51" s="107">
        <f t="shared" si="19"/>
        <v>13070529.713611964</v>
      </c>
      <c r="Q51" s="107">
        <f t="shared" si="19"/>
        <v>13336285.395384206</v>
      </c>
      <c r="R51" s="107">
        <f t="shared" si="19"/>
        <v>13607234.915791886</v>
      </c>
      <c r="S51" s="107">
        <f t="shared" si="19"/>
        <v>13883482.151607726</v>
      </c>
      <c r="T51" s="107">
        <f t="shared" si="19"/>
        <v>14165133.057139885</v>
      </c>
      <c r="U51" s="107">
        <f t="shared" si="19"/>
        <v>14452295.705782678</v>
      </c>
      <c r="V51" s="107">
        <f t="shared" si="19"/>
        <v>14745080.332398329</v>
      </c>
      <c r="W51" s="107">
        <f t="shared" si="19"/>
        <v>15043599.376546297</v>
      </c>
      <c r="X51" s="107">
        <f t="shared" si="19"/>
        <v>15347967.526577219</v>
      </c>
      <c r="Y51" s="107">
        <f t="shared" si="19"/>
        <v>15658301.764608763</v>
      </c>
      <c r="Z51" s="107">
        <f t="shared" si="19"/>
        <v>15974721.412400944</v>
      </c>
      <c r="AA51" s="107">
        <f t="shared" si="19"/>
        <v>16297348.178148961</v>
      </c>
      <c r="AB51" s="107">
        <f t="shared" si="19"/>
        <v>16626306.204211945</v>
      </c>
      <c r="AC51" s="107">
        <f t="shared" si="19"/>
        <v>16961722.115796186</v>
      </c>
      <c r="AD51" s="107">
        <f t="shared" si="19"/>
        <v>17303725.070612106</v>
      </c>
      <c r="AE51" s="107">
        <f t="shared" si="19"/>
        <v>17652446.80952435</v>
      </c>
      <c r="AF51" s="107">
        <f t="shared" si="19"/>
        <v>18008021.708214838</v>
      </c>
      <c r="AG51" s="107">
        <f t="shared" si="19"/>
        <v>18370586.829879135</v>
      </c>
      <c r="AH51" s="107">
        <f t="shared" si="19"/>
        <v>18740281.978976719</v>
      </c>
      <c r="AI51" s="107">
        <f t="shared" si="19"/>
        <v>19117249.756056257</v>
      </c>
      <c r="AJ51" s="107">
        <f t="shared" si="19"/>
        <v>19501635.613677382</v>
      </c>
      <c r="AK51" s="107">
        <f t="shared" si="19"/>
        <v>19893587.913450934</v>
      </c>
      <c r="AL51" s="107">
        <f t="shared" si="19"/>
        <v>20293257.984219953</v>
      </c>
      <c r="AM51" s="107">
        <f t="shared" si="19"/>
        <v>20700800.181404348</v>
      </c>
      <c r="AN51" s="107">
        <f t="shared" si="19"/>
        <v>21116371.947532438</v>
      </c>
      <c r="AO51" s="107">
        <f t="shared" si="19"/>
        <v>21540133.873983089</v>
      </c>
      <c r="AP51" s="107">
        <f t="shared" si="19"/>
        <v>21972249.763962742</v>
      </c>
      <c r="AQ51" s="107">
        <f t="shared" si="19"/>
        <v>22412886.696742009</v>
      </c>
      <c r="AR51" s="107">
        <f t="shared" si="19"/>
        <v>-101224.88299669698</v>
      </c>
      <c r="AS51" s="11">
        <f t="shared" si="16"/>
        <v>585465445.28384495</v>
      </c>
    </row>
    <row r="53" spans="3:45" x14ac:dyDescent="0.35">
      <c r="C53" t="s">
        <v>98</v>
      </c>
      <c r="D53" s="11">
        <f>NPV(D54,E51:AR51)+D51</f>
        <v>188451407.21048045</v>
      </c>
    </row>
    <row r="54" spans="3:45" x14ac:dyDescent="0.35">
      <c r="C54" t="s">
        <v>99</v>
      </c>
      <c r="D54" s="50">
        <f>rtk</f>
        <v>5.5836339999999998E-2</v>
      </c>
    </row>
    <row r="55" spans="3:45" x14ac:dyDescent="0.35">
      <c r="C55" t="s">
        <v>100</v>
      </c>
      <c r="D55" s="50">
        <f>IRR(D51:AR51)</f>
        <v>0.36255548068925103</v>
      </c>
    </row>
    <row r="58" spans="3:45" x14ac:dyDescent="0.35">
      <c r="C58" t="s">
        <v>49</v>
      </c>
    </row>
    <row r="60" spans="3:45" x14ac:dyDescent="0.35">
      <c r="C60" t="s">
        <v>53</v>
      </c>
      <c r="D60">
        <v>0</v>
      </c>
      <c r="E60">
        <v>1</v>
      </c>
      <c r="F60">
        <v>2</v>
      </c>
      <c r="G60">
        <v>3</v>
      </c>
      <c r="H60">
        <v>4</v>
      </c>
      <c r="I60">
        <v>5</v>
      </c>
      <c r="J60">
        <v>6</v>
      </c>
      <c r="K60">
        <v>7</v>
      </c>
      <c r="L60">
        <v>8</v>
      </c>
      <c r="M60">
        <v>9</v>
      </c>
      <c r="N60">
        <v>10</v>
      </c>
      <c r="O60">
        <v>11</v>
      </c>
      <c r="P60">
        <v>12</v>
      </c>
      <c r="Q60">
        <v>13</v>
      </c>
      <c r="R60">
        <v>14</v>
      </c>
      <c r="S60">
        <v>15</v>
      </c>
      <c r="T60">
        <v>16</v>
      </c>
      <c r="U60">
        <v>17</v>
      </c>
      <c r="V60">
        <v>18</v>
      </c>
      <c r="W60">
        <v>19</v>
      </c>
      <c r="X60">
        <v>20</v>
      </c>
      <c r="Y60">
        <v>21</v>
      </c>
      <c r="Z60">
        <v>22</v>
      </c>
      <c r="AA60">
        <v>23</v>
      </c>
      <c r="AB60">
        <v>24</v>
      </c>
      <c r="AC60">
        <v>25</v>
      </c>
      <c r="AD60">
        <v>26</v>
      </c>
      <c r="AE60">
        <v>27</v>
      </c>
      <c r="AF60">
        <v>28</v>
      </c>
      <c r="AG60">
        <v>29</v>
      </c>
      <c r="AH60">
        <v>30</v>
      </c>
      <c r="AI60">
        <v>31</v>
      </c>
      <c r="AJ60">
        <v>32</v>
      </c>
      <c r="AK60">
        <v>33</v>
      </c>
      <c r="AL60">
        <v>34</v>
      </c>
      <c r="AM60">
        <v>35</v>
      </c>
      <c r="AN60">
        <v>36</v>
      </c>
      <c r="AO60">
        <v>37</v>
      </c>
      <c r="AP60">
        <v>38</v>
      </c>
      <c r="AQ60">
        <v>39</v>
      </c>
      <c r="AR60">
        <v>40</v>
      </c>
    </row>
    <row r="61" spans="3:45" x14ac:dyDescent="0.35">
      <c r="C61" t="s">
        <v>62</v>
      </c>
      <c r="E61">
        <f t="shared" ref="E61:T62" si="20">E31</f>
        <v>31.512</v>
      </c>
      <c r="F61">
        <f t="shared" si="20"/>
        <v>28.28</v>
      </c>
      <c r="G61">
        <f t="shared" si="20"/>
        <v>28.1386</v>
      </c>
      <c r="H61">
        <f t="shared" si="20"/>
        <v>29.320300000000003</v>
      </c>
      <c r="I61">
        <f t="shared" si="20"/>
        <v>29.391000000000002</v>
      </c>
      <c r="J61">
        <f t="shared" si="20"/>
        <v>29.340500000000002</v>
      </c>
      <c r="K61">
        <f t="shared" si="20"/>
        <v>29.845500000000001</v>
      </c>
      <c r="L61">
        <f t="shared" si="20"/>
        <v>31.1585</v>
      </c>
      <c r="M61">
        <f t="shared" si="20"/>
        <v>31.5625</v>
      </c>
      <c r="N61">
        <f t="shared" si="20"/>
        <v>31.390799999999999</v>
      </c>
      <c r="O61">
        <f t="shared" ref="O61:AR61" si="21">N61*(1+infl)</f>
        <v>32.018616000000002</v>
      </c>
      <c r="P61">
        <f t="shared" si="21"/>
        <v>32.658988319999999</v>
      </c>
      <c r="Q61">
        <f t="shared" si="21"/>
        <v>33.3121680864</v>
      </c>
      <c r="R61">
        <f t="shared" si="21"/>
        <v>33.978411448128</v>
      </c>
      <c r="S61">
        <f t="shared" si="21"/>
        <v>34.657979677090559</v>
      </c>
      <c r="T61">
        <f t="shared" si="21"/>
        <v>35.351139270632373</v>
      </c>
      <c r="U61">
        <f t="shared" si="21"/>
        <v>36.05816205604502</v>
      </c>
      <c r="V61">
        <f t="shared" si="21"/>
        <v>36.779325297165919</v>
      </c>
      <c r="W61">
        <f t="shared" si="21"/>
        <v>37.514911803109236</v>
      </c>
      <c r="X61">
        <f t="shared" si="21"/>
        <v>38.265210039171421</v>
      </c>
      <c r="Y61">
        <f t="shared" si="21"/>
        <v>39.030514239954847</v>
      </c>
      <c r="Z61">
        <f t="shared" si="21"/>
        <v>39.811124524753943</v>
      </c>
      <c r="AA61">
        <f t="shared" si="21"/>
        <v>40.607347015249026</v>
      </c>
      <c r="AB61">
        <f t="shared" si="21"/>
        <v>41.41949395555401</v>
      </c>
      <c r="AC61">
        <f t="shared" si="21"/>
        <v>42.247883834665089</v>
      </c>
      <c r="AD61">
        <f t="shared" si="21"/>
        <v>43.092841511358394</v>
      </c>
      <c r="AE61">
        <f t="shared" si="21"/>
        <v>43.954698341585562</v>
      </c>
      <c r="AF61">
        <f t="shared" si="21"/>
        <v>44.833792308417273</v>
      </c>
      <c r="AG61">
        <f t="shared" si="21"/>
        <v>45.730468154585623</v>
      </c>
      <c r="AH61">
        <f t="shared" si="21"/>
        <v>46.645077517677336</v>
      </c>
      <c r="AI61">
        <f t="shared" si="21"/>
        <v>47.577979068030885</v>
      </c>
      <c r="AJ61">
        <f t="shared" si="21"/>
        <v>48.529538649391505</v>
      </c>
      <c r="AK61">
        <f t="shared" si="21"/>
        <v>49.500129422379338</v>
      </c>
      <c r="AL61">
        <f t="shared" si="21"/>
        <v>50.490132010826926</v>
      </c>
      <c r="AM61">
        <f t="shared" si="21"/>
        <v>51.499934651043468</v>
      </c>
      <c r="AN61">
        <f t="shared" si="21"/>
        <v>52.529933344064339</v>
      </c>
      <c r="AO61">
        <f t="shared" si="21"/>
        <v>53.580532010945625</v>
      </c>
      <c r="AP61">
        <f t="shared" si="21"/>
        <v>54.652142651164539</v>
      </c>
      <c r="AQ61">
        <f t="shared" si="21"/>
        <v>55.74518550418783</v>
      </c>
      <c r="AR61">
        <f t="shared" si="21"/>
        <v>56.860089214271589</v>
      </c>
    </row>
    <row r="62" spans="3:45" x14ac:dyDescent="0.35">
      <c r="C62" t="s">
        <v>31</v>
      </c>
      <c r="E62">
        <f t="shared" si="20"/>
        <v>79000</v>
      </c>
      <c r="F62">
        <f t="shared" si="20"/>
        <v>79000</v>
      </c>
      <c r="G62">
        <f t="shared" si="20"/>
        <v>79000</v>
      </c>
      <c r="H62">
        <f t="shared" si="20"/>
        <v>79000</v>
      </c>
      <c r="I62">
        <f t="shared" si="20"/>
        <v>79000</v>
      </c>
      <c r="J62">
        <f t="shared" si="20"/>
        <v>79000</v>
      </c>
      <c r="K62">
        <f t="shared" si="20"/>
        <v>79000</v>
      </c>
      <c r="L62">
        <f t="shared" si="20"/>
        <v>79000</v>
      </c>
      <c r="M62">
        <f t="shared" si="20"/>
        <v>79000</v>
      </c>
      <c r="N62">
        <f t="shared" si="20"/>
        <v>79000</v>
      </c>
      <c r="O62">
        <f t="shared" si="20"/>
        <v>79000</v>
      </c>
      <c r="P62">
        <f t="shared" si="20"/>
        <v>79000</v>
      </c>
      <c r="Q62">
        <f t="shared" si="20"/>
        <v>79000</v>
      </c>
      <c r="R62">
        <f t="shared" si="20"/>
        <v>79000</v>
      </c>
      <c r="S62">
        <f t="shared" si="20"/>
        <v>79000</v>
      </c>
      <c r="T62">
        <f t="shared" si="20"/>
        <v>79000</v>
      </c>
      <c r="U62">
        <f t="shared" ref="U62:AR62" si="22">U32</f>
        <v>79000</v>
      </c>
      <c r="V62">
        <f t="shared" si="22"/>
        <v>79000</v>
      </c>
      <c r="W62">
        <f t="shared" si="22"/>
        <v>79000</v>
      </c>
      <c r="X62">
        <f t="shared" si="22"/>
        <v>79000</v>
      </c>
      <c r="Y62">
        <f t="shared" si="22"/>
        <v>79000</v>
      </c>
      <c r="Z62">
        <f t="shared" si="22"/>
        <v>79000</v>
      </c>
      <c r="AA62">
        <f t="shared" si="22"/>
        <v>79000</v>
      </c>
      <c r="AB62">
        <f t="shared" si="22"/>
        <v>79000</v>
      </c>
      <c r="AC62">
        <f t="shared" si="22"/>
        <v>79000</v>
      </c>
      <c r="AD62">
        <f t="shared" si="22"/>
        <v>79000</v>
      </c>
      <c r="AE62">
        <f t="shared" si="22"/>
        <v>79000</v>
      </c>
      <c r="AF62">
        <f t="shared" si="22"/>
        <v>79000</v>
      </c>
      <c r="AG62">
        <f t="shared" si="22"/>
        <v>79000</v>
      </c>
      <c r="AH62">
        <f t="shared" si="22"/>
        <v>79000</v>
      </c>
      <c r="AI62">
        <f t="shared" si="22"/>
        <v>79000</v>
      </c>
      <c r="AJ62">
        <f t="shared" si="22"/>
        <v>79000</v>
      </c>
      <c r="AK62">
        <f t="shared" si="22"/>
        <v>79000</v>
      </c>
      <c r="AL62">
        <f t="shared" si="22"/>
        <v>79000</v>
      </c>
      <c r="AM62">
        <f t="shared" si="22"/>
        <v>79000</v>
      </c>
      <c r="AN62">
        <f t="shared" si="22"/>
        <v>79000</v>
      </c>
      <c r="AO62">
        <f t="shared" si="22"/>
        <v>79000</v>
      </c>
      <c r="AP62">
        <f t="shared" si="22"/>
        <v>79000</v>
      </c>
      <c r="AQ62">
        <f t="shared" si="22"/>
        <v>79000</v>
      </c>
      <c r="AR62">
        <f t="shared" si="22"/>
        <v>79000</v>
      </c>
    </row>
    <row r="63" spans="3:45" x14ac:dyDescent="0.35">
      <c r="C63" t="s">
        <v>63</v>
      </c>
      <c r="E63">
        <f t="shared" ref="E63:AR63" si="23">E61*E62*valuta</f>
        <v>22405032</v>
      </c>
      <c r="F63">
        <f t="shared" si="23"/>
        <v>20107080</v>
      </c>
      <c r="G63">
        <f t="shared" si="23"/>
        <v>20006544.599999998</v>
      </c>
      <c r="H63">
        <f t="shared" si="23"/>
        <v>20846733.300000001</v>
      </c>
      <c r="I63">
        <f t="shared" si="23"/>
        <v>20897001</v>
      </c>
      <c r="J63">
        <f t="shared" si="23"/>
        <v>20861095.5</v>
      </c>
      <c r="K63">
        <f t="shared" si="23"/>
        <v>21220150.5</v>
      </c>
      <c r="L63">
        <f t="shared" si="23"/>
        <v>22153693.5</v>
      </c>
      <c r="M63">
        <f t="shared" si="23"/>
        <v>22440937.5</v>
      </c>
      <c r="N63">
        <f t="shared" si="23"/>
        <v>22318858.799999997</v>
      </c>
      <c r="O63">
        <f t="shared" si="23"/>
        <v>22765235.976000004</v>
      </c>
      <c r="P63">
        <f t="shared" si="23"/>
        <v>23220540.695519999</v>
      </c>
      <c r="Q63">
        <f t="shared" si="23"/>
        <v>23684951.509430401</v>
      </c>
      <c r="R63">
        <f t="shared" si="23"/>
        <v>24158650.53961901</v>
      </c>
      <c r="S63">
        <f t="shared" si="23"/>
        <v>24641823.550411385</v>
      </c>
      <c r="T63">
        <f t="shared" si="23"/>
        <v>25134660.021419618</v>
      </c>
      <c r="U63">
        <f t="shared" si="23"/>
        <v>25637353.221848011</v>
      </c>
      <c r="V63">
        <f t="shared" si="23"/>
        <v>26150100.286284968</v>
      </c>
      <c r="W63">
        <f t="shared" si="23"/>
        <v>26673102.292010665</v>
      </c>
      <c r="X63">
        <f t="shared" si="23"/>
        <v>27206564.33785088</v>
      </c>
      <c r="Y63">
        <f t="shared" si="23"/>
        <v>27750695.624607895</v>
      </c>
      <c r="Z63">
        <f t="shared" si="23"/>
        <v>28305709.537100054</v>
      </c>
      <c r="AA63">
        <f t="shared" si="23"/>
        <v>28871823.727842055</v>
      </c>
      <c r="AB63">
        <f t="shared" si="23"/>
        <v>29449260.2023989</v>
      </c>
      <c r="AC63">
        <f t="shared" si="23"/>
        <v>30038245.406446878</v>
      </c>
      <c r="AD63">
        <f t="shared" si="23"/>
        <v>30639010.314575817</v>
      </c>
      <c r="AE63">
        <f t="shared" si="23"/>
        <v>31251790.520867333</v>
      </c>
      <c r="AF63">
        <f t="shared" si="23"/>
        <v>31876826.331284679</v>
      </c>
      <c r="AG63">
        <f t="shared" si="23"/>
        <v>32514362.85791038</v>
      </c>
      <c r="AH63">
        <f t="shared" si="23"/>
        <v>33164650.115068585</v>
      </c>
      <c r="AI63">
        <f t="shared" si="23"/>
        <v>33827943.117369957</v>
      </c>
      <c r="AJ63">
        <f t="shared" si="23"/>
        <v>34504501.979717359</v>
      </c>
      <c r="AK63">
        <f t="shared" si="23"/>
        <v>35194592.019311711</v>
      </c>
      <c r="AL63">
        <f t="shared" si="23"/>
        <v>35898483.859697945</v>
      </c>
      <c r="AM63">
        <f t="shared" si="23"/>
        <v>36616453.536891907</v>
      </c>
      <c r="AN63">
        <f t="shared" si="23"/>
        <v>37348782.607629746</v>
      </c>
      <c r="AO63">
        <f t="shared" si="23"/>
        <v>38095758.259782337</v>
      </c>
      <c r="AP63">
        <f t="shared" si="23"/>
        <v>38857673.424977988</v>
      </c>
      <c r="AQ63">
        <f t="shared" si="23"/>
        <v>39634826.893477544</v>
      </c>
      <c r="AR63">
        <f t="shared" si="23"/>
        <v>40427523.431347102</v>
      </c>
    </row>
    <row r="64" spans="3:45" x14ac:dyDescent="0.35">
      <c r="C64" t="s">
        <v>64</v>
      </c>
    </row>
    <row r="65" spans="3:44" x14ac:dyDescent="0.35">
      <c r="C65" t="s">
        <v>76</v>
      </c>
      <c r="E65">
        <f>SUM(E35:E38)</f>
        <v>-5383172.4000000004</v>
      </c>
      <c r="F65">
        <f t="shared" ref="F65:AR65" si="24">SUM(F35:F38)</f>
        <v>-5490835.8479999993</v>
      </c>
      <c r="G65">
        <f t="shared" si="24"/>
        <v>-5600652.5649599992</v>
      </c>
      <c r="H65">
        <f t="shared" si="24"/>
        <v>-5712665.6162592005</v>
      </c>
      <c r="I65">
        <f t="shared" si="24"/>
        <v>-5826918.9285843838</v>
      </c>
      <c r="J65">
        <f t="shared" si="24"/>
        <v>-5943457.307156072</v>
      </c>
      <c r="K65">
        <f t="shared" si="24"/>
        <v>-6062326.4532991927</v>
      </c>
      <c r="L65">
        <f t="shared" si="24"/>
        <v>-6183572.982365177</v>
      </c>
      <c r="M65">
        <f t="shared" si="24"/>
        <v>-6307244.4420124805</v>
      </c>
      <c r="N65">
        <f t="shared" si="24"/>
        <v>-6433389.3308527293</v>
      </c>
      <c r="O65">
        <f t="shared" si="24"/>
        <v>-6562057.1174697829</v>
      </c>
      <c r="P65">
        <f t="shared" si="24"/>
        <v>-6693298.2598191798</v>
      </c>
      <c r="Q65">
        <f t="shared" si="24"/>
        <v>-6827164.2250155639</v>
      </c>
      <c r="R65">
        <f t="shared" si="24"/>
        <v>-6963707.509515875</v>
      </c>
      <c r="S65">
        <f t="shared" si="24"/>
        <v>-7102981.6597061902</v>
      </c>
      <c r="T65">
        <f t="shared" si="24"/>
        <v>-7245041.2929003164</v>
      </c>
      <c r="U65">
        <f t="shared" si="24"/>
        <v>-7389942.1187583227</v>
      </c>
      <c r="V65">
        <f t="shared" si="24"/>
        <v>-7537740.9611334875</v>
      </c>
      <c r="W65">
        <f t="shared" si="24"/>
        <v>-7688495.7803561576</v>
      </c>
      <c r="X65">
        <f t="shared" si="24"/>
        <v>-7842265.6959632812</v>
      </c>
      <c r="Y65">
        <f t="shared" si="24"/>
        <v>-7999111.009882547</v>
      </c>
      <c r="Z65">
        <f t="shared" si="24"/>
        <v>-8159093.2300801985</v>
      </c>
      <c r="AA65">
        <f t="shared" si="24"/>
        <v>-8322275.0946818013</v>
      </c>
      <c r="AB65">
        <f t="shared" si="24"/>
        <v>-8488720.5965754371</v>
      </c>
      <c r="AC65">
        <f t="shared" si="24"/>
        <v>-8658495.0085069463</v>
      </c>
      <c r="AD65">
        <f t="shared" si="24"/>
        <v>-8831664.9086770862</v>
      </c>
      <c r="AE65">
        <f t="shared" si="24"/>
        <v>-9008298.2068506256</v>
      </c>
      <c r="AF65">
        <f t="shared" si="24"/>
        <v>-9188464.1709876396</v>
      </c>
      <c r="AG65">
        <f t="shared" si="24"/>
        <v>-9372233.4544073921</v>
      </c>
      <c r="AH65">
        <f t="shared" si="24"/>
        <v>-9559678.1234955397</v>
      </c>
      <c r="AI65">
        <f t="shared" si="24"/>
        <v>-9750871.6859654486</v>
      </c>
      <c r="AJ65">
        <f t="shared" si="24"/>
        <v>-9945889.1196847614</v>
      </c>
      <c r="AK65">
        <f t="shared" si="24"/>
        <v>-10144806.902078455</v>
      </c>
      <c r="AL65">
        <f t="shared" si="24"/>
        <v>-10347703.040120024</v>
      </c>
      <c r="AM65">
        <f t="shared" si="24"/>
        <v>-10554657.100922424</v>
      </c>
      <c r="AN65">
        <f t="shared" si="24"/>
        <v>-10765750.242940873</v>
      </c>
      <c r="AO65">
        <f t="shared" si="24"/>
        <v>-10981065.247799691</v>
      </c>
      <c r="AP65">
        <f t="shared" si="24"/>
        <v>-11200686.552755686</v>
      </c>
      <c r="AQ65">
        <f t="shared" si="24"/>
        <v>-11424700.283810794</v>
      </c>
      <c r="AR65">
        <f t="shared" si="24"/>
        <v>-11653194.289487014</v>
      </c>
    </row>
    <row r="66" spans="3:44" x14ac:dyDescent="0.35">
      <c r="C66" t="s">
        <v>55</v>
      </c>
      <c r="E66">
        <f>E138*-1</f>
        <v>-311062.5</v>
      </c>
      <c r="F66">
        <f t="shared" ref="F66:AR66" si="25">F138*-1</f>
        <v>-303187.5</v>
      </c>
      <c r="G66">
        <f t="shared" si="25"/>
        <v>-295312.5</v>
      </c>
      <c r="H66">
        <f t="shared" si="25"/>
        <v>-287437.5</v>
      </c>
      <c r="I66">
        <f t="shared" si="25"/>
        <v>-279562.5</v>
      </c>
      <c r="J66">
        <f t="shared" si="25"/>
        <v>-271687.5</v>
      </c>
      <c r="K66">
        <f t="shared" si="25"/>
        <v>-263812.5</v>
      </c>
      <c r="L66">
        <f t="shared" si="25"/>
        <v>-255937.5</v>
      </c>
      <c r="M66">
        <f t="shared" si="25"/>
        <v>-248062.5</v>
      </c>
      <c r="N66">
        <f t="shared" si="25"/>
        <v>-240187.5</v>
      </c>
      <c r="O66">
        <f t="shared" si="25"/>
        <v>-232312.5</v>
      </c>
      <c r="P66">
        <f t="shared" si="25"/>
        <v>-224437.5</v>
      </c>
      <c r="Q66">
        <f t="shared" si="25"/>
        <v>-216562.5</v>
      </c>
      <c r="R66">
        <f t="shared" si="25"/>
        <v>-208687.5</v>
      </c>
      <c r="S66">
        <f t="shared" si="25"/>
        <v>-200812.5</v>
      </c>
      <c r="T66">
        <f t="shared" si="25"/>
        <v>-192937.5</v>
      </c>
      <c r="U66">
        <f t="shared" si="25"/>
        <v>-185062.5</v>
      </c>
      <c r="V66">
        <f t="shared" si="25"/>
        <v>-177187.5</v>
      </c>
      <c r="W66">
        <f t="shared" si="25"/>
        <v>-169312.5</v>
      </c>
      <c r="X66">
        <f t="shared" si="25"/>
        <v>-161437.5</v>
      </c>
      <c r="Y66">
        <f t="shared" si="25"/>
        <v>-153562.5</v>
      </c>
      <c r="Z66">
        <f t="shared" si="25"/>
        <v>-145687.5</v>
      </c>
      <c r="AA66">
        <f t="shared" si="25"/>
        <v>-137812.5</v>
      </c>
      <c r="AB66">
        <f t="shared" si="25"/>
        <v>-129937.5</v>
      </c>
      <c r="AC66">
        <f t="shared" si="25"/>
        <v>-122062.5</v>
      </c>
      <c r="AD66">
        <f t="shared" si="25"/>
        <v>-114187.5</v>
      </c>
      <c r="AE66">
        <f t="shared" si="25"/>
        <v>-106312.5</v>
      </c>
      <c r="AF66">
        <f t="shared" si="25"/>
        <v>-98437.5</v>
      </c>
      <c r="AG66">
        <f t="shared" si="25"/>
        <v>-90562.5</v>
      </c>
      <c r="AH66">
        <f t="shared" si="25"/>
        <v>-82687.5</v>
      </c>
      <c r="AI66">
        <f t="shared" si="25"/>
        <v>-74812.5</v>
      </c>
      <c r="AJ66">
        <f t="shared" si="25"/>
        <v>-66937.5</v>
      </c>
      <c r="AK66">
        <f t="shared" si="25"/>
        <v>-59062.5</v>
      </c>
      <c r="AL66">
        <f t="shared" si="25"/>
        <v>-51187.5</v>
      </c>
      <c r="AM66">
        <f t="shared" si="25"/>
        <v>-43312.5</v>
      </c>
      <c r="AN66">
        <f t="shared" si="25"/>
        <v>-35437.5</v>
      </c>
      <c r="AO66">
        <f t="shared" si="25"/>
        <v>-27562.5</v>
      </c>
      <c r="AP66">
        <f t="shared" si="25"/>
        <v>-19687.5</v>
      </c>
      <c r="AQ66">
        <f t="shared" si="25"/>
        <v>-11812.5</v>
      </c>
      <c r="AR66">
        <f t="shared" si="25"/>
        <v>-3937.5</v>
      </c>
    </row>
    <row r="67" spans="3:44" x14ac:dyDescent="0.35">
      <c r="C67" t="s">
        <v>66</v>
      </c>
      <c r="E67">
        <f>E74</f>
        <v>-1865671.6417910447</v>
      </c>
      <c r="F67">
        <f t="shared" ref="F67:M67" si="26">F74</f>
        <v>-1865671.6417910447</v>
      </c>
      <c r="G67">
        <f t="shared" si="26"/>
        <v>-1865671.6417910447</v>
      </c>
      <c r="H67">
        <f t="shared" si="26"/>
        <v>-1865671.6417910447</v>
      </c>
      <c r="I67">
        <f t="shared" si="26"/>
        <v>-1865671.6417910447</v>
      </c>
      <c r="J67">
        <f t="shared" si="26"/>
        <v>-1865671.6417910447</v>
      </c>
      <c r="K67">
        <f t="shared" si="26"/>
        <v>-1865671.6417910447</v>
      </c>
      <c r="L67">
        <f t="shared" si="26"/>
        <v>-1865671.6417910447</v>
      </c>
      <c r="M67">
        <f t="shared" si="26"/>
        <v>-1865671.6417910447</v>
      </c>
      <c r="N67">
        <f>N74</f>
        <v>-1865671.6417910447</v>
      </c>
      <c r="O67">
        <f t="shared" ref="O67:AR67" si="27">O74</f>
        <v>-1865671.6417910447</v>
      </c>
      <c r="P67">
        <f t="shared" si="27"/>
        <v>-1865671.6417910447</v>
      </c>
      <c r="Q67">
        <f t="shared" si="27"/>
        <v>-1865671.6417910447</v>
      </c>
      <c r="R67">
        <f t="shared" si="27"/>
        <v>-1865671.6417910447</v>
      </c>
      <c r="S67">
        <f t="shared" si="27"/>
        <v>-1865671.6417910447</v>
      </c>
      <c r="T67">
        <f t="shared" si="27"/>
        <v>-1865671.6417910447</v>
      </c>
      <c r="U67">
        <f t="shared" si="27"/>
        <v>-1865671.6417910447</v>
      </c>
      <c r="V67">
        <f t="shared" si="27"/>
        <v>-1865671.6417910447</v>
      </c>
      <c r="W67">
        <f t="shared" si="27"/>
        <v>-1865671.6417910447</v>
      </c>
      <c r="X67">
        <f t="shared" si="27"/>
        <v>-1865671.6417910447</v>
      </c>
      <c r="Y67">
        <f t="shared" si="27"/>
        <v>-1865671.6417910447</v>
      </c>
      <c r="Z67">
        <f t="shared" si="27"/>
        <v>-1865671.6417910447</v>
      </c>
      <c r="AA67">
        <f t="shared" si="27"/>
        <v>-1865671.6417910447</v>
      </c>
      <c r="AB67">
        <f t="shared" si="27"/>
        <v>-1865671.6417910447</v>
      </c>
      <c r="AC67">
        <f t="shared" si="27"/>
        <v>-1865671.6417910447</v>
      </c>
      <c r="AD67">
        <f t="shared" si="27"/>
        <v>-1865671.6417910447</v>
      </c>
      <c r="AE67">
        <f t="shared" si="27"/>
        <v>-1865671.6417910447</v>
      </c>
      <c r="AF67">
        <f t="shared" si="27"/>
        <v>-1865671.6417910447</v>
      </c>
      <c r="AG67">
        <f t="shared" si="27"/>
        <v>-1865671.6417910447</v>
      </c>
      <c r="AH67">
        <f t="shared" si="27"/>
        <v>-1865671.6417910447</v>
      </c>
      <c r="AI67">
        <f t="shared" si="27"/>
        <v>-1865671.6417910447</v>
      </c>
      <c r="AJ67">
        <f t="shared" si="27"/>
        <v>-1865671.6417910447</v>
      </c>
      <c r="AK67">
        <f t="shared" si="27"/>
        <v>-1865671.6417910447</v>
      </c>
      <c r="AL67">
        <f t="shared" si="27"/>
        <v>-1865671.6417910447</v>
      </c>
      <c r="AM67">
        <f t="shared" si="27"/>
        <v>-1865671.6417910447</v>
      </c>
      <c r="AN67">
        <f t="shared" si="27"/>
        <v>-1865671.6417910447</v>
      </c>
      <c r="AO67">
        <f t="shared" si="27"/>
        <v>-1865671.6417910447</v>
      </c>
      <c r="AP67">
        <f t="shared" si="27"/>
        <v>-1865671.6417910447</v>
      </c>
      <c r="AQ67">
        <f t="shared" si="27"/>
        <v>-1865671.6417910447</v>
      </c>
      <c r="AR67">
        <f t="shared" si="27"/>
        <v>-1865671.6417910447</v>
      </c>
    </row>
    <row r="68" spans="3:44" x14ac:dyDescent="0.35">
      <c r="C68" t="s">
        <v>67</v>
      </c>
      <c r="E68">
        <f>E77*(-1)</f>
        <v>-969477.61194029846</v>
      </c>
      <c r="F68">
        <f t="shared" ref="F68:M68" si="28">F77*(-1)</f>
        <v>-928432.83582089539</v>
      </c>
      <c r="G68">
        <f t="shared" si="28"/>
        <v>-887388.05970149243</v>
      </c>
      <c r="H68">
        <f t="shared" si="28"/>
        <v>-846343.28358208947</v>
      </c>
      <c r="I68">
        <f t="shared" si="28"/>
        <v>-805298.50746268639</v>
      </c>
      <c r="J68">
        <f t="shared" si="28"/>
        <v>-764253.73134328343</v>
      </c>
      <c r="K68">
        <f t="shared" si="28"/>
        <v>-723208.95522388048</v>
      </c>
      <c r="L68">
        <f t="shared" si="28"/>
        <v>-682164.1791044774</v>
      </c>
      <c r="M68">
        <f t="shared" si="28"/>
        <v>-641119.40298507444</v>
      </c>
      <c r="N68">
        <f>N77*(-1)</f>
        <v>-600074.62686567137</v>
      </c>
      <c r="O68">
        <f t="shared" ref="O68:AR68" si="29">O77*(-1)</f>
        <v>-559029.85074626841</v>
      </c>
      <c r="P68">
        <f t="shared" si="29"/>
        <v>-517985.07462686539</v>
      </c>
      <c r="Q68">
        <f t="shared" si="29"/>
        <v>-476940.29850746243</v>
      </c>
      <c r="R68">
        <f t="shared" si="29"/>
        <v>-435895.52238805941</v>
      </c>
      <c r="S68">
        <f t="shared" si="29"/>
        <v>-394850.7462686564</v>
      </c>
      <c r="T68">
        <f t="shared" si="29"/>
        <v>-353805.97014925338</v>
      </c>
      <c r="U68">
        <f t="shared" si="29"/>
        <v>-312761.19402985042</v>
      </c>
      <c r="V68">
        <f t="shared" si="29"/>
        <v>-271716.4179104474</v>
      </c>
      <c r="W68">
        <f t="shared" si="29"/>
        <v>-230671.64179104441</v>
      </c>
      <c r="X68">
        <f t="shared" si="29"/>
        <v>-189626.8656716414</v>
      </c>
      <c r="Y68">
        <f t="shared" si="29"/>
        <v>-148582.08955223844</v>
      </c>
      <c r="Z68">
        <f t="shared" si="29"/>
        <v>-107537.31343283544</v>
      </c>
      <c r="AA68">
        <f t="shared" si="29"/>
        <v>-66492.537313432462</v>
      </c>
      <c r="AB68">
        <f t="shared" si="29"/>
        <v>-25447.761194029481</v>
      </c>
      <c r="AC68">
        <f t="shared" si="29"/>
        <v>15597.0149253735</v>
      </c>
      <c r="AD68">
        <f t="shared" si="29"/>
        <v>56641.791044776481</v>
      </c>
      <c r="AE68">
        <f t="shared" si="29"/>
        <v>97686.567164179447</v>
      </c>
      <c r="AF68">
        <f t="shared" si="29"/>
        <v>138731.34328358245</v>
      </c>
      <c r="AG68">
        <f t="shared" si="29"/>
        <v>179776.11940298541</v>
      </c>
      <c r="AH68">
        <f t="shared" si="29"/>
        <v>220820.89552238837</v>
      </c>
      <c r="AI68">
        <f t="shared" si="29"/>
        <v>261865.67164179138</v>
      </c>
      <c r="AJ68">
        <f t="shared" si="29"/>
        <v>302910.44776119437</v>
      </c>
      <c r="AK68">
        <f t="shared" si="29"/>
        <v>343955.22388059739</v>
      </c>
      <c r="AL68">
        <f t="shared" si="29"/>
        <v>385000.00000000041</v>
      </c>
      <c r="AM68">
        <f t="shared" si="29"/>
        <v>426044.77611940337</v>
      </c>
      <c r="AN68">
        <f t="shared" si="29"/>
        <v>467089.55223880638</v>
      </c>
      <c r="AO68">
        <f t="shared" si="29"/>
        <v>508134.3283582094</v>
      </c>
      <c r="AP68">
        <f t="shared" si="29"/>
        <v>549179.10447761242</v>
      </c>
      <c r="AQ68">
        <f t="shared" si="29"/>
        <v>590223.88059701538</v>
      </c>
      <c r="AR68">
        <f t="shared" si="29"/>
        <v>631268.65671641845</v>
      </c>
    </row>
    <row r="69" spans="3:44" x14ac:dyDescent="0.35">
      <c r="C69" t="s">
        <v>78</v>
      </c>
      <c r="E69">
        <f>SUM(E63:E68)</f>
        <v>13875647.846268658</v>
      </c>
      <c r="F69">
        <f>SUM(F63:F68)</f>
        <v>11518952.174388062</v>
      </c>
      <c r="G69">
        <f t="shared" ref="G69:M69" si="30">SUM(G63:G68)</f>
        <v>11357519.83354746</v>
      </c>
      <c r="H69">
        <f t="shared" si="30"/>
        <v>12134615.258367667</v>
      </c>
      <c r="I69">
        <f t="shared" si="30"/>
        <v>12119549.422161886</v>
      </c>
      <c r="J69">
        <f>SUM(J63:J68)</f>
        <v>12016025.319709599</v>
      </c>
      <c r="K69">
        <f t="shared" si="30"/>
        <v>12305130.949685883</v>
      </c>
      <c r="L69">
        <f t="shared" si="30"/>
        <v>13166347.196739301</v>
      </c>
      <c r="M69">
        <f t="shared" si="30"/>
        <v>13378839.513211399</v>
      </c>
      <c r="N69">
        <f>SUM(N63:N68)</f>
        <v>13179535.700490551</v>
      </c>
      <c r="O69">
        <f>SUM(O63:O68)</f>
        <v>13546164.865992906</v>
      </c>
      <c r="P69">
        <f t="shared" ref="P69:AR69" si="31">SUM(P63:P68)</f>
        <v>13919148.219282908</v>
      </c>
      <c r="Q69">
        <f t="shared" si="31"/>
        <v>14298612.844116326</v>
      </c>
      <c r="R69">
        <f t="shared" si="31"/>
        <v>14684688.365924031</v>
      </c>
      <c r="S69">
        <f t="shared" si="31"/>
        <v>15077507.002645493</v>
      </c>
      <c r="T69">
        <f t="shared" si="31"/>
        <v>15477203.616579004</v>
      </c>
      <c r="U69">
        <f t="shared" si="31"/>
        <v>15883915.767268794</v>
      </c>
      <c r="V69">
        <f t="shared" si="31"/>
        <v>16297783.765449988</v>
      </c>
      <c r="W69">
        <f t="shared" si="31"/>
        <v>16718950.728072418</v>
      </c>
      <c r="X69">
        <f t="shared" si="31"/>
        <v>17147562.63442491</v>
      </c>
      <c r="Y69">
        <f t="shared" si="31"/>
        <v>17583768.383382063</v>
      </c>
      <c r="Z69">
        <f t="shared" si="31"/>
        <v>18027719.851795975</v>
      </c>
      <c r="AA69">
        <f t="shared" si="31"/>
        <v>18479571.954055779</v>
      </c>
      <c r="AB69">
        <f t="shared" si="31"/>
        <v>18939482.702838391</v>
      </c>
      <c r="AC69">
        <f t="shared" si="31"/>
        <v>19407613.271074258</v>
      </c>
      <c r="AD69">
        <f t="shared" si="31"/>
        <v>19884128.055152461</v>
      </c>
      <c r="AE69">
        <f t="shared" si="31"/>
        <v>20369194.739389841</v>
      </c>
      <c r="AF69">
        <f t="shared" si="31"/>
        <v>20862984.361789577</v>
      </c>
      <c r="AG69">
        <f t="shared" si="31"/>
        <v>21365671.381114926</v>
      </c>
      <c r="AH69">
        <f t="shared" si="31"/>
        <v>21877433.745304387</v>
      </c>
      <c r="AI69">
        <f t="shared" si="31"/>
        <v>22398452.961255256</v>
      </c>
      <c r="AJ69">
        <f t="shared" si="31"/>
        <v>22928914.166002743</v>
      </c>
      <c r="AK69">
        <f t="shared" si="31"/>
        <v>23469006.199322805</v>
      </c>
      <c r="AL69">
        <f t="shared" si="31"/>
        <v>24018921.677786876</v>
      </c>
      <c r="AM69">
        <f t="shared" si="31"/>
        <v>24578857.070297841</v>
      </c>
      <c r="AN69">
        <f t="shared" si="31"/>
        <v>25149012.775136635</v>
      </c>
      <c r="AO69">
        <f t="shared" si="31"/>
        <v>25729593.198549811</v>
      </c>
      <c r="AP69">
        <f t="shared" si="31"/>
        <v>26320806.834908873</v>
      </c>
      <c r="AQ69">
        <f t="shared" si="31"/>
        <v>26922866.348472718</v>
      </c>
      <c r="AR69">
        <f t="shared" si="31"/>
        <v>27535988.656785462</v>
      </c>
    </row>
    <row r="70" spans="3:44" x14ac:dyDescent="0.35">
      <c r="C70" s="106" t="s">
        <v>79</v>
      </c>
      <c r="D70" s="106"/>
      <c r="E70" s="106">
        <f t="shared" ref="E70:AR70" si="32">E69*grunnr</f>
        <v>0</v>
      </c>
      <c r="F70" s="106">
        <f t="shared" si="32"/>
        <v>0</v>
      </c>
      <c r="G70" s="106">
        <f t="shared" si="32"/>
        <v>0</v>
      </c>
      <c r="H70" s="106">
        <f t="shared" si="32"/>
        <v>0</v>
      </c>
      <c r="I70" s="106">
        <f t="shared" si="32"/>
        <v>0</v>
      </c>
      <c r="J70" s="106">
        <f t="shared" si="32"/>
        <v>0</v>
      </c>
      <c r="K70" s="106">
        <f t="shared" si="32"/>
        <v>0</v>
      </c>
      <c r="L70" s="106">
        <f t="shared" si="32"/>
        <v>0</v>
      </c>
      <c r="M70" s="106">
        <f t="shared" si="32"/>
        <v>0</v>
      </c>
      <c r="N70" s="106">
        <f t="shared" si="32"/>
        <v>0</v>
      </c>
      <c r="O70" s="106">
        <f t="shared" si="32"/>
        <v>0</v>
      </c>
      <c r="P70" s="106">
        <f t="shared" si="32"/>
        <v>0</v>
      </c>
      <c r="Q70" s="106">
        <f t="shared" si="32"/>
        <v>0</v>
      </c>
      <c r="R70" s="106">
        <f t="shared" si="32"/>
        <v>0</v>
      </c>
      <c r="S70" s="106">
        <f t="shared" si="32"/>
        <v>0</v>
      </c>
      <c r="T70" s="106">
        <f t="shared" si="32"/>
        <v>0</v>
      </c>
      <c r="U70" s="106">
        <f t="shared" si="32"/>
        <v>0</v>
      </c>
      <c r="V70" s="106">
        <f t="shared" si="32"/>
        <v>0</v>
      </c>
      <c r="W70" s="106">
        <f t="shared" si="32"/>
        <v>0</v>
      </c>
      <c r="X70" s="106">
        <f t="shared" si="32"/>
        <v>0</v>
      </c>
      <c r="Y70" s="106">
        <f t="shared" si="32"/>
        <v>0</v>
      </c>
      <c r="Z70" s="106">
        <f t="shared" si="32"/>
        <v>0</v>
      </c>
      <c r="AA70" s="106">
        <f t="shared" si="32"/>
        <v>0</v>
      </c>
      <c r="AB70" s="106">
        <f t="shared" si="32"/>
        <v>0</v>
      </c>
      <c r="AC70" s="106">
        <f t="shared" si="32"/>
        <v>0</v>
      </c>
      <c r="AD70" s="106">
        <f t="shared" si="32"/>
        <v>0</v>
      </c>
      <c r="AE70" s="106">
        <f t="shared" si="32"/>
        <v>0</v>
      </c>
      <c r="AF70" s="106">
        <f t="shared" si="32"/>
        <v>0</v>
      </c>
      <c r="AG70" s="106">
        <f t="shared" si="32"/>
        <v>0</v>
      </c>
      <c r="AH70" s="106">
        <f t="shared" si="32"/>
        <v>0</v>
      </c>
      <c r="AI70" s="106">
        <f t="shared" si="32"/>
        <v>0</v>
      </c>
      <c r="AJ70" s="106">
        <f t="shared" si="32"/>
        <v>0</v>
      </c>
      <c r="AK70" s="106">
        <f t="shared" si="32"/>
        <v>0</v>
      </c>
      <c r="AL70" s="106">
        <f t="shared" si="32"/>
        <v>0</v>
      </c>
      <c r="AM70" s="106">
        <f t="shared" si="32"/>
        <v>0</v>
      </c>
      <c r="AN70" s="106">
        <f t="shared" si="32"/>
        <v>0</v>
      </c>
      <c r="AO70" s="106">
        <f t="shared" si="32"/>
        <v>0</v>
      </c>
      <c r="AP70" s="106">
        <f t="shared" si="32"/>
        <v>0</v>
      </c>
      <c r="AQ70" s="106">
        <f t="shared" si="32"/>
        <v>0</v>
      </c>
      <c r="AR70" s="106">
        <f t="shared" si="32"/>
        <v>0</v>
      </c>
    </row>
    <row r="72" spans="3:44" x14ac:dyDescent="0.35">
      <c r="C72" t="s">
        <v>66</v>
      </c>
      <c r="D72">
        <v>0</v>
      </c>
      <c r="E72">
        <v>1</v>
      </c>
      <c r="F72">
        <v>2</v>
      </c>
      <c r="G72">
        <v>3</v>
      </c>
      <c r="H72">
        <v>4</v>
      </c>
      <c r="I72">
        <v>5</v>
      </c>
      <c r="J72">
        <v>6</v>
      </c>
      <c r="K72">
        <v>7</v>
      </c>
      <c r="L72">
        <v>8</v>
      </c>
      <c r="M72">
        <v>9</v>
      </c>
      <c r="N72">
        <v>10</v>
      </c>
      <c r="O72">
        <v>11</v>
      </c>
      <c r="P72">
        <v>12</v>
      </c>
      <c r="Q72">
        <v>13</v>
      </c>
      <c r="R72">
        <v>14</v>
      </c>
      <c r="S72">
        <v>15</v>
      </c>
      <c r="T72">
        <v>16</v>
      </c>
      <c r="U72">
        <v>17</v>
      </c>
      <c r="V72">
        <v>18</v>
      </c>
      <c r="W72">
        <v>19</v>
      </c>
      <c r="X72">
        <v>20</v>
      </c>
      <c r="Y72">
        <v>21</v>
      </c>
      <c r="Z72">
        <v>22</v>
      </c>
      <c r="AA72">
        <v>23</v>
      </c>
      <c r="AB72">
        <v>24</v>
      </c>
      <c r="AC72">
        <v>25</v>
      </c>
      <c r="AD72">
        <v>26</v>
      </c>
      <c r="AE72">
        <v>27</v>
      </c>
      <c r="AF72">
        <v>28</v>
      </c>
      <c r="AG72">
        <v>29</v>
      </c>
      <c r="AH72">
        <v>30</v>
      </c>
      <c r="AI72">
        <v>31</v>
      </c>
      <c r="AJ72">
        <v>32</v>
      </c>
      <c r="AK72">
        <v>33</v>
      </c>
      <c r="AL72">
        <v>34</v>
      </c>
      <c r="AM72">
        <v>35</v>
      </c>
      <c r="AN72">
        <v>36</v>
      </c>
      <c r="AO72">
        <v>37</v>
      </c>
      <c r="AP72">
        <v>38</v>
      </c>
      <c r="AQ72">
        <v>39</v>
      </c>
      <c r="AR72">
        <v>40</v>
      </c>
    </row>
    <row r="73" spans="3:44" x14ac:dyDescent="0.35">
      <c r="C73" t="s">
        <v>68</v>
      </c>
      <c r="E73">
        <f>inv*-1</f>
        <v>45000000</v>
      </c>
      <c r="F73">
        <f>E75</f>
        <v>43134328.358208954</v>
      </c>
      <c r="G73">
        <f t="shared" ref="G73:AR73" si="33">F75</f>
        <v>41268656.716417909</v>
      </c>
      <c r="H73">
        <f t="shared" si="33"/>
        <v>39402985.074626863</v>
      </c>
      <c r="I73">
        <f t="shared" si="33"/>
        <v>37537313.432835817</v>
      </c>
      <c r="J73">
        <f t="shared" si="33"/>
        <v>35671641.791044772</v>
      </c>
      <c r="K73">
        <f t="shared" si="33"/>
        <v>33805970.149253726</v>
      </c>
      <c r="L73">
        <f t="shared" si="33"/>
        <v>31940298.50746268</v>
      </c>
      <c r="M73">
        <f>L75</f>
        <v>30074626.865671635</v>
      </c>
      <c r="N73">
        <f t="shared" si="33"/>
        <v>28208955.223880589</v>
      </c>
      <c r="O73">
        <f t="shared" si="33"/>
        <v>26343283.582089543</v>
      </c>
      <c r="P73">
        <f t="shared" si="33"/>
        <v>24477611.940298498</v>
      </c>
      <c r="Q73">
        <f t="shared" si="33"/>
        <v>22611940.298507452</v>
      </c>
      <c r="R73">
        <f t="shared" si="33"/>
        <v>20746268.656716406</v>
      </c>
      <c r="S73">
        <f t="shared" si="33"/>
        <v>18880597.014925361</v>
      </c>
      <c r="T73">
        <f t="shared" si="33"/>
        <v>17014925.373134315</v>
      </c>
      <c r="U73">
        <f t="shared" si="33"/>
        <v>15149253.731343269</v>
      </c>
      <c r="V73">
        <f t="shared" si="33"/>
        <v>13283582.089552224</v>
      </c>
      <c r="W73">
        <f t="shared" si="33"/>
        <v>11417910.447761178</v>
      </c>
      <c r="X73">
        <f t="shared" si="33"/>
        <v>9552238.8059701324</v>
      </c>
      <c r="Y73">
        <f t="shared" si="33"/>
        <v>7686567.1641790876</v>
      </c>
      <c r="Z73">
        <f t="shared" si="33"/>
        <v>5820895.5223880429</v>
      </c>
      <c r="AA73">
        <f t="shared" si="33"/>
        <v>3955223.8805969981</v>
      </c>
      <c r="AB73">
        <f t="shared" si="33"/>
        <v>2089552.2388059534</v>
      </c>
      <c r="AC73">
        <f t="shared" si="33"/>
        <v>223880.59701490868</v>
      </c>
      <c r="AD73">
        <f t="shared" si="33"/>
        <v>-1641791.0447761361</v>
      </c>
      <c r="AE73">
        <f t="shared" si="33"/>
        <v>-3507462.6865671808</v>
      </c>
      <c r="AF73">
        <f t="shared" si="33"/>
        <v>-5373134.3283582255</v>
      </c>
      <c r="AG73">
        <f t="shared" si="33"/>
        <v>-7238805.9701492703</v>
      </c>
      <c r="AH73">
        <f t="shared" si="33"/>
        <v>-9104477.611940315</v>
      </c>
      <c r="AI73">
        <f t="shared" si="33"/>
        <v>-10970149.253731359</v>
      </c>
      <c r="AJ73">
        <f t="shared" si="33"/>
        <v>-12835820.895522404</v>
      </c>
      <c r="AK73">
        <f t="shared" si="33"/>
        <v>-14701492.53731345</v>
      </c>
      <c r="AL73">
        <f t="shared" si="33"/>
        <v>-16567164.179104496</v>
      </c>
      <c r="AM73">
        <f t="shared" si="33"/>
        <v>-18432835.820895541</v>
      </c>
      <c r="AN73">
        <f t="shared" si="33"/>
        <v>-20298507.462686587</v>
      </c>
      <c r="AO73">
        <f t="shared" si="33"/>
        <v>-22164179.104477633</v>
      </c>
      <c r="AP73">
        <f t="shared" si="33"/>
        <v>-24029850.746268678</v>
      </c>
      <c r="AQ73">
        <f t="shared" si="33"/>
        <v>-25895522.388059724</v>
      </c>
      <c r="AR73">
        <f t="shared" si="33"/>
        <v>-27761194.02985077</v>
      </c>
    </row>
    <row r="74" spans="3:44" x14ac:dyDescent="0.35">
      <c r="C74" s="106" t="s">
        <v>10</v>
      </c>
      <c r="D74" s="106"/>
      <c r="E74" s="106">
        <f>IF(E73=15000,0,(invest/levetid))</f>
        <v>-1865671.6417910447</v>
      </c>
      <c r="F74" s="106">
        <f t="shared" ref="F74:AR74" si="34">IF(F73=15000,0,(invest/levetid))</f>
        <v>-1865671.6417910447</v>
      </c>
      <c r="G74" s="106">
        <f t="shared" si="34"/>
        <v>-1865671.6417910447</v>
      </c>
      <c r="H74" s="106">
        <f t="shared" si="34"/>
        <v>-1865671.6417910447</v>
      </c>
      <c r="I74" s="106">
        <f t="shared" si="34"/>
        <v>-1865671.6417910447</v>
      </c>
      <c r="J74" s="106">
        <f t="shared" si="34"/>
        <v>-1865671.6417910447</v>
      </c>
      <c r="K74" s="106">
        <f t="shared" si="34"/>
        <v>-1865671.6417910447</v>
      </c>
      <c r="L74" s="106">
        <f t="shared" si="34"/>
        <v>-1865671.6417910447</v>
      </c>
      <c r="M74" s="106">
        <f t="shared" si="34"/>
        <v>-1865671.6417910447</v>
      </c>
      <c r="N74" s="106">
        <f t="shared" si="34"/>
        <v>-1865671.6417910447</v>
      </c>
      <c r="O74" s="106">
        <f t="shared" si="34"/>
        <v>-1865671.6417910447</v>
      </c>
      <c r="P74" s="106">
        <f t="shared" si="34"/>
        <v>-1865671.6417910447</v>
      </c>
      <c r="Q74" s="106">
        <f t="shared" si="34"/>
        <v>-1865671.6417910447</v>
      </c>
      <c r="R74" s="106">
        <f t="shared" si="34"/>
        <v>-1865671.6417910447</v>
      </c>
      <c r="S74" s="106">
        <f t="shared" si="34"/>
        <v>-1865671.6417910447</v>
      </c>
      <c r="T74" s="106">
        <f t="shared" si="34"/>
        <v>-1865671.6417910447</v>
      </c>
      <c r="U74" s="106">
        <f t="shared" si="34"/>
        <v>-1865671.6417910447</v>
      </c>
      <c r="V74" s="106">
        <f t="shared" si="34"/>
        <v>-1865671.6417910447</v>
      </c>
      <c r="W74" s="106">
        <f t="shared" si="34"/>
        <v>-1865671.6417910447</v>
      </c>
      <c r="X74" s="106">
        <f t="shared" si="34"/>
        <v>-1865671.6417910447</v>
      </c>
      <c r="Y74" s="106">
        <f t="shared" si="34"/>
        <v>-1865671.6417910447</v>
      </c>
      <c r="Z74" s="106">
        <f t="shared" si="34"/>
        <v>-1865671.6417910447</v>
      </c>
      <c r="AA74" s="106">
        <f t="shared" si="34"/>
        <v>-1865671.6417910447</v>
      </c>
      <c r="AB74" s="106">
        <f t="shared" si="34"/>
        <v>-1865671.6417910447</v>
      </c>
      <c r="AC74" s="106">
        <f t="shared" si="34"/>
        <v>-1865671.6417910447</v>
      </c>
      <c r="AD74" s="106">
        <f t="shared" si="34"/>
        <v>-1865671.6417910447</v>
      </c>
      <c r="AE74" s="106">
        <f t="shared" si="34"/>
        <v>-1865671.6417910447</v>
      </c>
      <c r="AF74" s="106">
        <f t="shared" si="34"/>
        <v>-1865671.6417910447</v>
      </c>
      <c r="AG74" s="106">
        <f t="shared" si="34"/>
        <v>-1865671.6417910447</v>
      </c>
      <c r="AH74" s="106">
        <f t="shared" si="34"/>
        <v>-1865671.6417910447</v>
      </c>
      <c r="AI74" s="106">
        <f t="shared" si="34"/>
        <v>-1865671.6417910447</v>
      </c>
      <c r="AJ74" s="106">
        <f t="shared" si="34"/>
        <v>-1865671.6417910447</v>
      </c>
      <c r="AK74" s="106">
        <f t="shared" si="34"/>
        <v>-1865671.6417910447</v>
      </c>
      <c r="AL74" s="106">
        <f t="shared" si="34"/>
        <v>-1865671.6417910447</v>
      </c>
      <c r="AM74" s="106">
        <f t="shared" si="34"/>
        <v>-1865671.6417910447</v>
      </c>
      <c r="AN74" s="106">
        <f t="shared" si="34"/>
        <v>-1865671.6417910447</v>
      </c>
      <c r="AO74" s="106">
        <f t="shared" si="34"/>
        <v>-1865671.6417910447</v>
      </c>
      <c r="AP74" s="106">
        <f t="shared" si="34"/>
        <v>-1865671.6417910447</v>
      </c>
      <c r="AQ74" s="106">
        <f t="shared" si="34"/>
        <v>-1865671.6417910447</v>
      </c>
      <c r="AR74" s="106">
        <f t="shared" si="34"/>
        <v>-1865671.6417910447</v>
      </c>
    </row>
    <row r="75" spans="3:44" x14ac:dyDescent="0.35">
      <c r="C75" t="s">
        <v>69</v>
      </c>
      <c r="E75">
        <f>SUM(E73:E74)</f>
        <v>43134328.358208954</v>
      </c>
      <c r="F75">
        <f t="shared" ref="F75:AR75" si="35">SUM(F73:F74)</f>
        <v>41268656.716417909</v>
      </c>
      <c r="G75">
        <f t="shared" si="35"/>
        <v>39402985.074626863</v>
      </c>
      <c r="H75">
        <f t="shared" si="35"/>
        <v>37537313.432835817</v>
      </c>
      <c r="I75">
        <f t="shared" si="35"/>
        <v>35671641.791044772</v>
      </c>
      <c r="J75">
        <f t="shared" si="35"/>
        <v>33805970.149253726</v>
      </c>
      <c r="K75">
        <f t="shared" si="35"/>
        <v>31940298.50746268</v>
      </c>
      <c r="L75">
        <f t="shared" si="35"/>
        <v>30074626.865671635</v>
      </c>
      <c r="M75">
        <f t="shared" si="35"/>
        <v>28208955.223880589</v>
      </c>
      <c r="N75">
        <f t="shared" si="35"/>
        <v>26343283.582089543</v>
      </c>
      <c r="O75">
        <f t="shared" si="35"/>
        <v>24477611.940298498</v>
      </c>
      <c r="P75">
        <f t="shared" si="35"/>
        <v>22611940.298507452</v>
      </c>
      <c r="Q75">
        <f t="shared" si="35"/>
        <v>20746268.656716406</v>
      </c>
      <c r="R75">
        <f t="shared" si="35"/>
        <v>18880597.014925361</v>
      </c>
      <c r="S75">
        <f t="shared" si="35"/>
        <v>17014925.373134315</v>
      </c>
      <c r="T75">
        <f t="shared" si="35"/>
        <v>15149253.731343269</v>
      </c>
      <c r="U75">
        <f t="shared" si="35"/>
        <v>13283582.089552224</v>
      </c>
      <c r="V75">
        <f t="shared" si="35"/>
        <v>11417910.447761178</v>
      </c>
      <c r="W75">
        <f t="shared" si="35"/>
        <v>9552238.8059701324</v>
      </c>
      <c r="X75">
        <f t="shared" si="35"/>
        <v>7686567.1641790876</v>
      </c>
      <c r="Y75">
        <f t="shared" si="35"/>
        <v>5820895.5223880429</v>
      </c>
      <c r="Z75">
        <f t="shared" si="35"/>
        <v>3955223.8805969981</v>
      </c>
      <c r="AA75">
        <f t="shared" si="35"/>
        <v>2089552.2388059534</v>
      </c>
      <c r="AB75">
        <f t="shared" si="35"/>
        <v>223880.59701490868</v>
      </c>
      <c r="AC75">
        <f t="shared" si="35"/>
        <v>-1641791.0447761361</v>
      </c>
      <c r="AD75">
        <f t="shared" si="35"/>
        <v>-3507462.6865671808</v>
      </c>
      <c r="AE75">
        <f t="shared" si="35"/>
        <v>-5373134.3283582255</v>
      </c>
      <c r="AF75">
        <f t="shared" si="35"/>
        <v>-7238805.9701492703</v>
      </c>
      <c r="AG75">
        <f t="shared" si="35"/>
        <v>-9104477.611940315</v>
      </c>
      <c r="AH75">
        <f t="shared" si="35"/>
        <v>-10970149.253731359</v>
      </c>
      <c r="AI75">
        <f t="shared" si="35"/>
        <v>-12835820.895522404</v>
      </c>
      <c r="AJ75">
        <f t="shared" si="35"/>
        <v>-14701492.53731345</v>
      </c>
      <c r="AK75">
        <f t="shared" si="35"/>
        <v>-16567164.179104496</v>
      </c>
      <c r="AL75">
        <f t="shared" si="35"/>
        <v>-18432835.820895541</v>
      </c>
      <c r="AM75">
        <f t="shared" si="35"/>
        <v>-20298507.462686587</v>
      </c>
      <c r="AN75">
        <f t="shared" si="35"/>
        <v>-22164179.104477633</v>
      </c>
      <c r="AO75">
        <f t="shared" si="35"/>
        <v>-24029850.746268678</v>
      </c>
      <c r="AP75">
        <f t="shared" si="35"/>
        <v>-25895522.388059724</v>
      </c>
      <c r="AQ75">
        <f t="shared" si="35"/>
        <v>-27761194.02985077</v>
      </c>
      <c r="AR75">
        <f t="shared" si="35"/>
        <v>-29626865.671641815</v>
      </c>
    </row>
    <row r="76" spans="3:44" x14ac:dyDescent="0.35">
      <c r="C76" t="s">
        <v>70</v>
      </c>
      <c r="E76">
        <f>(E75+E73)/2</f>
        <v>44067164.179104477</v>
      </c>
      <c r="F76">
        <f t="shared" ref="F76:M76" si="36">(F75+F73)/2</f>
        <v>42201492.537313432</v>
      </c>
      <c r="G76">
        <f t="shared" si="36"/>
        <v>40335820.895522386</v>
      </c>
      <c r="H76">
        <f t="shared" si="36"/>
        <v>38470149.25373134</v>
      </c>
      <c r="I76">
        <f t="shared" si="36"/>
        <v>36604477.611940295</v>
      </c>
      <c r="J76">
        <f t="shared" si="36"/>
        <v>34738805.970149249</v>
      </c>
      <c r="K76">
        <f t="shared" si="36"/>
        <v>32873134.328358203</v>
      </c>
      <c r="L76">
        <f t="shared" si="36"/>
        <v>31007462.686567158</v>
      </c>
      <c r="M76">
        <f t="shared" si="36"/>
        <v>29141791.044776112</v>
      </c>
      <c r="N76">
        <f>(N75+N73)/2</f>
        <v>27276119.402985066</v>
      </c>
      <c r="O76">
        <f>(O75+O73)/2</f>
        <v>25410447.761194021</v>
      </c>
      <c r="P76">
        <f t="shared" ref="P76:AR76" si="37">(P75+P73)/2</f>
        <v>23544776.119402975</v>
      </c>
      <c r="Q76">
        <f t="shared" si="37"/>
        <v>21679104.477611929</v>
      </c>
      <c r="R76">
        <f t="shared" si="37"/>
        <v>19813432.835820884</v>
      </c>
      <c r="S76">
        <f t="shared" si="37"/>
        <v>17947761.194029838</v>
      </c>
      <c r="T76">
        <f t="shared" si="37"/>
        <v>16082089.552238792</v>
      </c>
      <c r="U76">
        <f t="shared" si="37"/>
        <v>14216417.910447747</v>
      </c>
      <c r="V76">
        <f t="shared" si="37"/>
        <v>12350746.268656701</v>
      </c>
      <c r="W76">
        <f t="shared" si="37"/>
        <v>10485074.626865655</v>
      </c>
      <c r="X76">
        <f t="shared" si="37"/>
        <v>8619402.9850746095</v>
      </c>
      <c r="Y76">
        <f t="shared" si="37"/>
        <v>6753731.3432835657</v>
      </c>
      <c r="Z76">
        <f t="shared" si="37"/>
        <v>4888059.70149252</v>
      </c>
      <c r="AA76">
        <f t="shared" si="37"/>
        <v>3022388.0597014758</v>
      </c>
      <c r="AB76">
        <f t="shared" si="37"/>
        <v>1156716.417910431</v>
      </c>
      <c r="AC76">
        <f t="shared" si="37"/>
        <v>-708955.22388061369</v>
      </c>
      <c r="AD76">
        <f t="shared" si="37"/>
        <v>-2574626.8656716584</v>
      </c>
      <c r="AE76">
        <f t="shared" si="37"/>
        <v>-4440298.5074627027</v>
      </c>
      <c r="AF76">
        <f t="shared" si="37"/>
        <v>-6305970.1492537484</v>
      </c>
      <c r="AG76">
        <f t="shared" si="37"/>
        <v>-8171641.7910447922</v>
      </c>
      <c r="AH76">
        <f t="shared" si="37"/>
        <v>-10037313.432835836</v>
      </c>
      <c r="AI76">
        <f t="shared" si="37"/>
        <v>-11902985.074626882</v>
      </c>
      <c r="AJ76">
        <f t="shared" si="37"/>
        <v>-13768656.716417927</v>
      </c>
      <c r="AK76">
        <f t="shared" si="37"/>
        <v>-15634328.358208973</v>
      </c>
      <c r="AL76">
        <f t="shared" si="37"/>
        <v>-17500000.000000019</v>
      </c>
      <c r="AM76">
        <f t="shared" si="37"/>
        <v>-19365671.641791064</v>
      </c>
      <c r="AN76">
        <f t="shared" si="37"/>
        <v>-21231343.28358211</v>
      </c>
      <c r="AO76">
        <f t="shared" si="37"/>
        <v>-23097014.925373156</v>
      </c>
      <c r="AP76">
        <f t="shared" si="37"/>
        <v>-24962686.567164201</v>
      </c>
      <c r="AQ76">
        <f t="shared" si="37"/>
        <v>-26828358.208955247</v>
      </c>
      <c r="AR76">
        <f t="shared" si="37"/>
        <v>-28694029.850746293</v>
      </c>
    </row>
    <row r="77" spans="3:44" x14ac:dyDescent="0.35">
      <c r="C77" s="106" t="s">
        <v>71</v>
      </c>
      <c r="D77" s="106"/>
      <c r="E77" s="106">
        <f>normrente*E76</f>
        <v>969477.61194029846</v>
      </c>
      <c r="F77" s="106">
        <f t="shared" ref="F77:AR77" si="38">normrente*F76</f>
        <v>928432.83582089539</v>
      </c>
      <c r="G77" s="106">
        <f t="shared" si="38"/>
        <v>887388.05970149243</v>
      </c>
      <c r="H77" s="106">
        <f t="shared" si="38"/>
        <v>846343.28358208947</v>
      </c>
      <c r="I77" s="106">
        <f t="shared" si="38"/>
        <v>805298.50746268639</v>
      </c>
      <c r="J77" s="106">
        <f t="shared" si="38"/>
        <v>764253.73134328343</v>
      </c>
      <c r="K77" s="106">
        <f t="shared" si="38"/>
        <v>723208.95522388048</v>
      </c>
      <c r="L77" s="106">
        <f t="shared" si="38"/>
        <v>682164.1791044774</v>
      </c>
      <c r="M77" s="106">
        <f t="shared" si="38"/>
        <v>641119.40298507444</v>
      </c>
      <c r="N77" s="106">
        <f t="shared" si="38"/>
        <v>600074.62686567137</v>
      </c>
      <c r="O77" s="106">
        <f t="shared" si="38"/>
        <v>559029.85074626841</v>
      </c>
      <c r="P77" s="106">
        <f t="shared" si="38"/>
        <v>517985.07462686539</v>
      </c>
      <c r="Q77" s="106">
        <f t="shared" si="38"/>
        <v>476940.29850746243</v>
      </c>
      <c r="R77" s="106">
        <f t="shared" si="38"/>
        <v>435895.52238805941</v>
      </c>
      <c r="S77" s="106">
        <f t="shared" si="38"/>
        <v>394850.7462686564</v>
      </c>
      <c r="T77" s="106">
        <f t="shared" si="38"/>
        <v>353805.97014925338</v>
      </c>
      <c r="U77" s="106">
        <f t="shared" si="38"/>
        <v>312761.19402985042</v>
      </c>
      <c r="V77" s="106">
        <f t="shared" si="38"/>
        <v>271716.4179104474</v>
      </c>
      <c r="W77" s="106">
        <f t="shared" si="38"/>
        <v>230671.64179104441</v>
      </c>
      <c r="X77" s="106">
        <f t="shared" si="38"/>
        <v>189626.8656716414</v>
      </c>
      <c r="Y77" s="106">
        <f t="shared" si="38"/>
        <v>148582.08955223844</v>
      </c>
      <c r="Z77" s="106">
        <f t="shared" si="38"/>
        <v>107537.31343283544</v>
      </c>
      <c r="AA77" s="106">
        <f t="shared" si="38"/>
        <v>66492.537313432462</v>
      </c>
      <c r="AB77" s="106">
        <f t="shared" si="38"/>
        <v>25447.761194029481</v>
      </c>
      <c r="AC77" s="106">
        <f t="shared" si="38"/>
        <v>-15597.0149253735</v>
      </c>
      <c r="AD77" s="106">
        <f t="shared" si="38"/>
        <v>-56641.791044776481</v>
      </c>
      <c r="AE77" s="106">
        <f t="shared" si="38"/>
        <v>-97686.567164179447</v>
      </c>
      <c r="AF77" s="106">
        <f t="shared" si="38"/>
        <v>-138731.34328358245</v>
      </c>
      <c r="AG77" s="106">
        <f t="shared" si="38"/>
        <v>-179776.11940298541</v>
      </c>
      <c r="AH77" s="106">
        <f t="shared" si="38"/>
        <v>-220820.89552238837</v>
      </c>
      <c r="AI77" s="106">
        <f t="shared" si="38"/>
        <v>-261865.67164179138</v>
      </c>
      <c r="AJ77" s="106">
        <f t="shared" si="38"/>
        <v>-302910.44776119437</v>
      </c>
      <c r="AK77" s="106">
        <f t="shared" si="38"/>
        <v>-343955.22388059739</v>
      </c>
      <c r="AL77" s="106">
        <f t="shared" si="38"/>
        <v>-385000.00000000041</v>
      </c>
      <c r="AM77" s="106">
        <f t="shared" si="38"/>
        <v>-426044.77611940337</v>
      </c>
      <c r="AN77" s="106">
        <f t="shared" si="38"/>
        <v>-467089.55223880638</v>
      </c>
      <c r="AO77" s="106">
        <f t="shared" si="38"/>
        <v>-508134.3283582094</v>
      </c>
      <c r="AP77" s="106">
        <f t="shared" si="38"/>
        <v>-549179.10447761242</v>
      </c>
      <c r="AQ77" s="106">
        <f t="shared" si="38"/>
        <v>-590223.88059701538</v>
      </c>
      <c r="AR77" s="106">
        <f t="shared" si="38"/>
        <v>-631268.65671641845</v>
      </c>
    </row>
    <row r="79" spans="3:44" x14ac:dyDescent="0.35">
      <c r="C79" t="s">
        <v>55</v>
      </c>
      <c r="D79">
        <v>0</v>
      </c>
      <c r="E79">
        <v>1</v>
      </c>
      <c r="F79">
        <v>2</v>
      </c>
      <c r="G79">
        <v>3</v>
      </c>
      <c r="H79">
        <v>4</v>
      </c>
      <c r="I79">
        <v>5</v>
      </c>
      <c r="J79">
        <v>6</v>
      </c>
      <c r="K79">
        <v>7</v>
      </c>
      <c r="L79">
        <v>8</v>
      </c>
      <c r="M79">
        <v>9</v>
      </c>
      <c r="N79">
        <v>10</v>
      </c>
      <c r="O79">
        <v>11</v>
      </c>
      <c r="P79">
        <v>12</v>
      </c>
      <c r="Q79">
        <v>13</v>
      </c>
      <c r="R79">
        <v>14</v>
      </c>
      <c r="S79">
        <v>15</v>
      </c>
      <c r="T79">
        <v>16</v>
      </c>
      <c r="U79">
        <v>17</v>
      </c>
      <c r="V79">
        <v>18</v>
      </c>
      <c r="W79">
        <v>19</v>
      </c>
      <c r="X79">
        <v>20</v>
      </c>
      <c r="Y79">
        <v>21</v>
      </c>
      <c r="Z79">
        <v>22</v>
      </c>
      <c r="AA79">
        <v>23</v>
      </c>
      <c r="AB79">
        <v>24</v>
      </c>
      <c r="AC79">
        <v>25</v>
      </c>
      <c r="AD79">
        <v>26</v>
      </c>
      <c r="AE79">
        <v>27</v>
      </c>
      <c r="AF79">
        <v>28</v>
      </c>
      <c r="AG79">
        <v>29</v>
      </c>
      <c r="AH79">
        <v>30</v>
      </c>
      <c r="AI79">
        <v>31</v>
      </c>
      <c r="AJ79">
        <v>32</v>
      </c>
      <c r="AK79">
        <v>33</v>
      </c>
      <c r="AL79">
        <v>34</v>
      </c>
      <c r="AM79">
        <v>35</v>
      </c>
      <c r="AN79">
        <v>36</v>
      </c>
      <c r="AO79">
        <v>37</v>
      </c>
      <c r="AP79">
        <v>38</v>
      </c>
      <c r="AQ79">
        <v>39</v>
      </c>
      <c r="AR79">
        <v>40</v>
      </c>
    </row>
    <row r="80" spans="3:44" x14ac:dyDescent="0.35">
      <c r="C80" t="s">
        <v>75</v>
      </c>
      <c r="E80">
        <f>E33</f>
        <v>22405032</v>
      </c>
      <c r="F80">
        <f>F33</f>
        <v>20107080</v>
      </c>
      <c r="G80">
        <f>AVERAGE(E33:F33)</f>
        <v>21256056</v>
      </c>
      <c r="H80">
        <f>AVERAGE(E33:G33)</f>
        <v>20839552.199999999</v>
      </c>
      <c r="I80">
        <f>AVERAGE(E33:H33)</f>
        <v>20841347.474999998</v>
      </c>
      <c r="J80">
        <f t="shared" ref="J80:AR80" si="39">AVERAGE(E33:I33)</f>
        <v>20852478.18</v>
      </c>
      <c r="K80">
        <f t="shared" si="39"/>
        <v>20543690.879999999</v>
      </c>
      <c r="L80">
        <f t="shared" si="39"/>
        <v>20766304.98</v>
      </c>
      <c r="M80">
        <f t="shared" si="39"/>
        <v>21195734.759999998</v>
      </c>
      <c r="N80">
        <f t="shared" si="39"/>
        <v>21514575.600000001</v>
      </c>
      <c r="O80">
        <f t="shared" si="39"/>
        <v>21798947.16</v>
      </c>
      <c r="P80">
        <f t="shared" si="39"/>
        <v>22179775.255199999</v>
      </c>
      <c r="Q80">
        <f t="shared" si="39"/>
        <v>22579853.294303998</v>
      </c>
      <c r="R80">
        <f t="shared" si="39"/>
        <v>22886104.896190077</v>
      </c>
      <c r="S80">
        <f t="shared" si="39"/>
        <v>23229647.504113887</v>
      </c>
      <c r="T80">
        <f t="shared" si="39"/>
        <v>23694240.454196163</v>
      </c>
      <c r="U80">
        <f t="shared" si="39"/>
        <v>24168125.263280082</v>
      </c>
      <c r="V80">
        <f t="shared" si="39"/>
        <v>24651487.768545683</v>
      </c>
      <c r="W80">
        <f t="shared" si="39"/>
        <v>25144517.523916598</v>
      </c>
      <c r="X80">
        <f t="shared" si="39"/>
        <v>25647407.874394931</v>
      </c>
      <c r="Y80">
        <f t="shared" si="39"/>
        <v>26160356.03188283</v>
      </c>
      <c r="Z80">
        <f t="shared" si="39"/>
        <v>26683563.152520485</v>
      </c>
      <c r="AA80">
        <f t="shared" si="39"/>
        <v>27217234.415570892</v>
      </c>
      <c r="AB80">
        <f t="shared" si="39"/>
        <v>27761579.103882313</v>
      </c>
      <c r="AC80">
        <f t="shared" si="39"/>
        <v>28316810.685959958</v>
      </c>
      <c r="AD80">
        <f t="shared" si="39"/>
        <v>28883146.899679154</v>
      </c>
      <c r="AE80">
        <f t="shared" si="39"/>
        <v>29460809.83767274</v>
      </c>
      <c r="AF80">
        <f t="shared" si="39"/>
        <v>30050026.034426201</v>
      </c>
      <c r="AG80">
        <f t="shared" si="39"/>
        <v>30651026.555114724</v>
      </c>
      <c r="AH80">
        <f t="shared" si="39"/>
        <v>31264047.086217023</v>
      </c>
      <c r="AI80">
        <f t="shared" si="39"/>
        <v>31889328.027941357</v>
      </c>
      <c r="AJ80">
        <f t="shared" si="39"/>
        <v>32527114.588500183</v>
      </c>
      <c r="AK80">
        <f t="shared" si="39"/>
        <v>33177656.880270194</v>
      </c>
      <c r="AL80">
        <f t="shared" si="39"/>
        <v>33841210.017875597</v>
      </c>
      <c r="AM80">
        <f t="shared" si="39"/>
        <v>34518034.218233109</v>
      </c>
      <c r="AN80">
        <f t="shared" si="39"/>
        <v>35208394.902597778</v>
      </c>
      <c r="AO80">
        <f t="shared" si="39"/>
        <v>35912562.800649732</v>
      </c>
      <c r="AP80">
        <f t="shared" si="39"/>
        <v>36630814.056662731</v>
      </c>
      <c r="AQ80">
        <f t="shared" si="39"/>
        <v>37363430.337795988</v>
      </c>
      <c r="AR80">
        <f t="shared" si="39"/>
        <v>38110698.944551907</v>
      </c>
    </row>
    <row r="81" spans="3:44" x14ac:dyDescent="0.35">
      <c r="C81" t="s">
        <v>65</v>
      </c>
      <c r="E81">
        <f>E65</f>
        <v>-5383172.4000000004</v>
      </c>
      <c r="F81">
        <f>F65</f>
        <v>-5490835.8479999993</v>
      </c>
      <c r="G81">
        <f>AVERAGE(E65:F65)</f>
        <v>-5437004.1239999998</v>
      </c>
      <c r="H81">
        <f>AVERAGE(E65:G65)</f>
        <v>-5491553.6043199999</v>
      </c>
      <c r="I81">
        <f>AVERAGE(E65:H65)</f>
        <v>-5546831.6073048003</v>
      </c>
      <c r="J81">
        <f t="shared" ref="J81:AR81" si="40">AVERAGE(E65:I65)</f>
        <v>-5602849.0715607163</v>
      </c>
      <c r="K81">
        <f t="shared" si="40"/>
        <v>-5714906.0529919313</v>
      </c>
      <c r="L81">
        <f t="shared" si="40"/>
        <v>-5829204.1740517691</v>
      </c>
      <c r="M81">
        <f t="shared" si="40"/>
        <v>-5945788.2575328052</v>
      </c>
      <c r="N81">
        <f t="shared" si="40"/>
        <v>-6064704.0226834612</v>
      </c>
      <c r="O81">
        <f t="shared" si="40"/>
        <v>-6185998.1031371299</v>
      </c>
      <c r="P81">
        <f t="shared" si="40"/>
        <v>-6309718.0651998725</v>
      </c>
      <c r="Q81">
        <f t="shared" si="40"/>
        <v>-6435912.4265038697</v>
      </c>
      <c r="R81">
        <f t="shared" si="40"/>
        <v>-6564630.6750339475</v>
      </c>
      <c r="S81">
        <f t="shared" si="40"/>
        <v>-6695923.2885346264</v>
      </c>
      <c r="T81">
        <f t="shared" si="40"/>
        <v>-6829841.754305318</v>
      </c>
      <c r="U81">
        <f t="shared" si="40"/>
        <v>-6966438.5893914253</v>
      </c>
      <c r="V81">
        <f t="shared" si="40"/>
        <v>-7105767.3611792531</v>
      </c>
      <c r="W81">
        <f t="shared" si="40"/>
        <v>-7247882.7084028376</v>
      </c>
      <c r="X81">
        <f t="shared" si="40"/>
        <v>-7392840.362570894</v>
      </c>
      <c r="Y81">
        <f t="shared" si="40"/>
        <v>-7540697.1698223129</v>
      </c>
      <c r="Z81">
        <f t="shared" si="40"/>
        <v>-7691511.1132187601</v>
      </c>
      <c r="AA81">
        <f t="shared" si="40"/>
        <v>-7845341.3354831338</v>
      </c>
      <c r="AB81">
        <f t="shared" si="40"/>
        <v>-8002248.1621927973</v>
      </c>
      <c r="AC81">
        <f t="shared" si="40"/>
        <v>-8162293.1254366534</v>
      </c>
      <c r="AD81">
        <f t="shared" si="40"/>
        <v>-8325538.9879453871</v>
      </c>
      <c r="AE81">
        <f t="shared" si="40"/>
        <v>-8492049.7677042931</v>
      </c>
      <c r="AF81">
        <f t="shared" si="40"/>
        <v>-8661890.7630583793</v>
      </c>
      <c r="AG81">
        <f t="shared" si="40"/>
        <v>-8835128.5783195458</v>
      </c>
      <c r="AH81">
        <f t="shared" si="40"/>
        <v>-9011831.1498859376</v>
      </c>
      <c r="AI81">
        <f t="shared" si="40"/>
        <v>-9192067.7728836574</v>
      </c>
      <c r="AJ81">
        <f t="shared" si="40"/>
        <v>-9375909.1283413284</v>
      </c>
      <c r="AK81">
        <f t="shared" si="40"/>
        <v>-9563427.3109081574</v>
      </c>
      <c r="AL81">
        <f t="shared" si="40"/>
        <v>-9754695.8571263198</v>
      </c>
      <c r="AM81">
        <f t="shared" si="40"/>
        <v>-9949789.774268847</v>
      </c>
      <c r="AN81">
        <f t="shared" si="40"/>
        <v>-10148785.569754222</v>
      </c>
      <c r="AO81">
        <f t="shared" si="40"/>
        <v>-10351761.281149307</v>
      </c>
      <c r="AP81">
        <f t="shared" si="40"/>
        <v>-10558796.506772295</v>
      </c>
      <c r="AQ81">
        <f t="shared" si="40"/>
        <v>-10769972.436907738</v>
      </c>
      <c r="AR81">
        <f t="shared" si="40"/>
        <v>-10985371.885645892</v>
      </c>
    </row>
    <row r="82" spans="3:44" x14ac:dyDescent="0.35">
      <c r="C82" t="s">
        <v>53</v>
      </c>
      <c r="F82">
        <f t="shared" ref="F82:AR82" si="41">E70*-1</f>
        <v>0</v>
      </c>
      <c r="G82">
        <f t="shared" si="41"/>
        <v>0</v>
      </c>
      <c r="H82">
        <f t="shared" si="41"/>
        <v>0</v>
      </c>
      <c r="I82">
        <f t="shared" si="41"/>
        <v>0</v>
      </c>
      <c r="J82">
        <f t="shared" si="41"/>
        <v>0</v>
      </c>
      <c r="K82">
        <f t="shared" si="41"/>
        <v>0</v>
      </c>
      <c r="L82">
        <f t="shared" si="41"/>
        <v>0</v>
      </c>
      <c r="M82">
        <f t="shared" si="41"/>
        <v>0</v>
      </c>
      <c r="N82">
        <f t="shared" si="41"/>
        <v>0</v>
      </c>
      <c r="O82">
        <f t="shared" si="41"/>
        <v>0</v>
      </c>
      <c r="P82">
        <f t="shared" si="41"/>
        <v>0</v>
      </c>
      <c r="Q82">
        <f t="shared" si="41"/>
        <v>0</v>
      </c>
      <c r="R82">
        <f t="shared" si="41"/>
        <v>0</v>
      </c>
      <c r="S82">
        <f t="shared" si="41"/>
        <v>0</v>
      </c>
      <c r="T82">
        <f t="shared" si="41"/>
        <v>0</v>
      </c>
      <c r="U82">
        <f t="shared" si="41"/>
        <v>0</v>
      </c>
      <c r="V82">
        <f t="shared" si="41"/>
        <v>0</v>
      </c>
      <c r="W82">
        <f t="shared" si="41"/>
        <v>0</v>
      </c>
      <c r="X82">
        <f t="shared" si="41"/>
        <v>0</v>
      </c>
      <c r="Y82">
        <f t="shared" si="41"/>
        <v>0</v>
      </c>
      <c r="Z82">
        <f t="shared" si="41"/>
        <v>0</v>
      </c>
      <c r="AA82">
        <f t="shared" si="41"/>
        <v>0</v>
      </c>
      <c r="AB82">
        <f t="shared" si="41"/>
        <v>0</v>
      </c>
      <c r="AC82">
        <f t="shared" si="41"/>
        <v>0</v>
      </c>
      <c r="AD82">
        <f t="shared" si="41"/>
        <v>0</v>
      </c>
      <c r="AE82">
        <f t="shared" si="41"/>
        <v>0</v>
      </c>
      <c r="AF82">
        <f t="shared" si="41"/>
        <v>0</v>
      </c>
      <c r="AG82">
        <f t="shared" si="41"/>
        <v>0</v>
      </c>
      <c r="AH82">
        <f t="shared" si="41"/>
        <v>0</v>
      </c>
      <c r="AI82">
        <f t="shared" si="41"/>
        <v>0</v>
      </c>
      <c r="AJ82">
        <f t="shared" si="41"/>
        <v>0</v>
      </c>
      <c r="AK82">
        <f t="shared" si="41"/>
        <v>0</v>
      </c>
      <c r="AL82">
        <f t="shared" si="41"/>
        <v>0</v>
      </c>
      <c r="AM82">
        <f t="shared" si="41"/>
        <v>0</v>
      </c>
      <c r="AN82">
        <f t="shared" si="41"/>
        <v>0</v>
      </c>
      <c r="AO82">
        <f t="shared" si="41"/>
        <v>0</v>
      </c>
      <c r="AP82">
        <f t="shared" si="41"/>
        <v>0</v>
      </c>
      <c r="AQ82">
        <f t="shared" si="41"/>
        <v>0</v>
      </c>
      <c r="AR82">
        <f t="shared" si="41"/>
        <v>0</v>
      </c>
    </row>
    <row r="83" spans="3:44" x14ac:dyDescent="0.35">
      <c r="C83" t="s">
        <v>77</v>
      </c>
      <c r="E83">
        <f>SUM(E80:E82)</f>
        <v>17021859.600000001</v>
      </c>
      <c r="F83">
        <f>SUM(F80:F82)</f>
        <v>14616244.152000001</v>
      </c>
      <c r="G83">
        <f t="shared" ref="G83:M83" si="42">SUM(G80:G82)</f>
        <v>15819051.876</v>
      </c>
      <c r="H83">
        <f t="shared" si="42"/>
        <v>15347998.595679998</v>
      </c>
      <c r="I83">
        <f>SUM(I80:I82)</f>
        <v>15294515.867695197</v>
      </c>
      <c r="J83">
        <f>SUM(J80:J82)</f>
        <v>15249629.108439283</v>
      </c>
      <c r="K83">
        <f t="shared" si="42"/>
        <v>14828784.827008069</v>
      </c>
      <c r="L83">
        <f t="shared" si="42"/>
        <v>14937100.805948231</v>
      </c>
      <c r="M83">
        <f t="shared" si="42"/>
        <v>15249946.502467193</v>
      </c>
      <c r="N83">
        <f>SUM(N80:N82)</f>
        <v>15449871.577316541</v>
      </c>
      <c r="O83">
        <f>SUM(O80:O82)</f>
        <v>15612949.05686287</v>
      </c>
      <c r="P83">
        <f>SUM(P80:P82)</f>
        <v>15870057.190000126</v>
      </c>
      <c r="Q83">
        <f t="shared" ref="Q83:AR83" si="43">SUM(Q80:Q82)</f>
        <v>16143940.867800128</v>
      </c>
      <c r="R83">
        <f t="shared" si="43"/>
        <v>16321474.22115613</v>
      </c>
      <c r="S83">
        <f t="shared" si="43"/>
        <v>16533724.21557926</v>
      </c>
      <c r="T83">
        <f t="shared" si="43"/>
        <v>16864398.699890845</v>
      </c>
      <c r="U83">
        <f t="shared" si="43"/>
        <v>17201686.673888657</v>
      </c>
      <c r="V83">
        <f t="shared" si="43"/>
        <v>17545720.407366432</v>
      </c>
      <c r="W83">
        <f t="shared" si="43"/>
        <v>17896634.81551376</v>
      </c>
      <c r="X83">
        <f t="shared" si="43"/>
        <v>18254567.511824038</v>
      </c>
      <c r="Y83">
        <f t="shared" si="43"/>
        <v>18619658.862060517</v>
      </c>
      <c r="Z83">
        <f t="shared" si="43"/>
        <v>18992052.039301723</v>
      </c>
      <c r="AA83">
        <f t="shared" si="43"/>
        <v>19371893.080087759</v>
      </c>
      <c r="AB83">
        <f t="shared" si="43"/>
        <v>19759330.941689514</v>
      </c>
      <c r="AC83">
        <f t="shared" si="43"/>
        <v>20154517.560523305</v>
      </c>
      <c r="AD83">
        <f t="shared" si="43"/>
        <v>20557607.911733769</v>
      </c>
      <c r="AE83">
        <f t="shared" si="43"/>
        <v>20968760.069968447</v>
      </c>
      <c r="AF83">
        <f t="shared" si="43"/>
        <v>21388135.271367822</v>
      </c>
      <c r="AG83">
        <f t="shared" si="43"/>
        <v>21815897.976795178</v>
      </c>
      <c r="AH83">
        <f t="shared" si="43"/>
        <v>22252215.936331086</v>
      </c>
      <c r="AI83">
        <f t="shared" si="43"/>
        <v>22697260.2550577</v>
      </c>
      <c r="AJ83">
        <f t="shared" si="43"/>
        <v>23151205.460158855</v>
      </c>
      <c r="AK83">
        <f t="shared" si="43"/>
        <v>23614229.569362037</v>
      </c>
      <c r="AL83">
        <f t="shared" si="43"/>
        <v>24086514.160749279</v>
      </c>
      <c r="AM83">
        <f t="shared" si="43"/>
        <v>24568244.443964262</v>
      </c>
      <c r="AN83">
        <f t="shared" si="43"/>
        <v>25059609.332843557</v>
      </c>
      <c r="AO83">
        <f t="shared" si="43"/>
        <v>25560801.519500427</v>
      </c>
      <c r="AP83">
        <f t="shared" si="43"/>
        <v>26072017.549890436</v>
      </c>
      <c r="AQ83">
        <f t="shared" si="43"/>
        <v>26593457.900888249</v>
      </c>
      <c r="AR83">
        <f t="shared" si="43"/>
        <v>27125327.058906015</v>
      </c>
    </row>
    <row r="84" spans="3:44" x14ac:dyDescent="0.35">
      <c r="C84" t="s">
        <v>138</v>
      </c>
      <c r="E84">
        <f>E83/kaprente</f>
        <v>378263546.66666669</v>
      </c>
      <c r="F84">
        <f>F83/kaprente</f>
        <v>324805425.60000002</v>
      </c>
      <c r="G84">
        <f t="shared" ref="G84:AR84" si="44">G83/kaprente</f>
        <v>351534486.13333333</v>
      </c>
      <c r="H84">
        <f t="shared" si="44"/>
        <v>341066635.45955551</v>
      </c>
      <c r="I84">
        <f t="shared" si="44"/>
        <v>339878130.39322662</v>
      </c>
      <c r="J84">
        <f>J83/kaprente</f>
        <v>338880646.85420632</v>
      </c>
      <c r="K84">
        <f t="shared" si="44"/>
        <v>329528551.71129042</v>
      </c>
      <c r="L84">
        <f t="shared" si="44"/>
        <v>331935573.46551627</v>
      </c>
      <c r="M84">
        <f t="shared" si="44"/>
        <v>338887700.0548265</v>
      </c>
      <c r="N84">
        <f t="shared" si="44"/>
        <v>343330479.49592316</v>
      </c>
      <c r="O84">
        <f t="shared" si="44"/>
        <v>346954423.48584157</v>
      </c>
      <c r="P84">
        <f t="shared" si="44"/>
        <v>352667937.55555838</v>
      </c>
      <c r="Q84">
        <f t="shared" si="44"/>
        <v>358754241.50666952</v>
      </c>
      <c r="R84">
        <f t="shared" si="44"/>
        <v>362699427.13680291</v>
      </c>
      <c r="S84">
        <f t="shared" si="44"/>
        <v>367416093.67953914</v>
      </c>
      <c r="T84">
        <f t="shared" si="44"/>
        <v>374764415.55312991</v>
      </c>
      <c r="U84">
        <f t="shared" si="44"/>
        <v>382259703.86419243</v>
      </c>
      <c r="V84">
        <f t="shared" si="44"/>
        <v>389904897.94147629</v>
      </c>
      <c r="W84">
        <f t="shared" si="44"/>
        <v>397702995.90030581</v>
      </c>
      <c r="X84">
        <f t="shared" si="44"/>
        <v>405657055.81831199</v>
      </c>
      <c r="Y84">
        <f t="shared" si="44"/>
        <v>413770196.9346782</v>
      </c>
      <c r="Z84">
        <f t="shared" si="44"/>
        <v>422045600.87337166</v>
      </c>
      <c r="AA84">
        <f t="shared" si="44"/>
        <v>430486512.8908391</v>
      </c>
      <c r="AB84">
        <f t="shared" si="44"/>
        <v>439096243.14865589</v>
      </c>
      <c r="AC84">
        <f t="shared" si="44"/>
        <v>447878168.01162905</v>
      </c>
      <c r="AD84">
        <f t="shared" si="44"/>
        <v>456835731.37186158</v>
      </c>
      <c r="AE84">
        <f t="shared" si="44"/>
        <v>465972445.99929887</v>
      </c>
      <c r="AF84">
        <f t="shared" si="44"/>
        <v>475291894.91928494</v>
      </c>
      <c r="AG84">
        <f t="shared" si="44"/>
        <v>484797732.81767064</v>
      </c>
      <c r="AH84">
        <f t="shared" si="44"/>
        <v>494493687.47402418</v>
      </c>
      <c r="AI84">
        <f t="shared" si="44"/>
        <v>504383561.22350448</v>
      </c>
      <c r="AJ84">
        <f t="shared" si="44"/>
        <v>514471232.44797456</v>
      </c>
      <c r="AK84">
        <f t="shared" si="44"/>
        <v>524760657.0969342</v>
      </c>
      <c r="AL84">
        <f t="shared" si="44"/>
        <v>535255870.23887289</v>
      </c>
      <c r="AM84">
        <f t="shared" si="44"/>
        <v>545960987.64365029</v>
      </c>
      <c r="AN84">
        <f t="shared" si="44"/>
        <v>556880207.39652348</v>
      </c>
      <c r="AO84">
        <f t="shared" si="44"/>
        <v>568017811.54445398</v>
      </c>
      <c r="AP84">
        <f t="shared" si="44"/>
        <v>579378167.77534306</v>
      </c>
      <c r="AQ84">
        <f t="shared" si="44"/>
        <v>590965731.13084996</v>
      </c>
      <c r="AR84">
        <f t="shared" si="44"/>
        <v>602785045.75346696</v>
      </c>
    </row>
    <row r="85" spans="3:44" x14ac:dyDescent="0.35">
      <c r="C85" t="s">
        <v>139</v>
      </c>
      <c r="E85">
        <f t="shared" ref="E85:AR85" si="45">(E74*((1+kaprente)^(E79))/(((1+kaprente)^(67))-1))</f>
        <v>-107777.52398327847</v>
      </c>
      <c r="F85">
        <f t="shared" si="45"/>
        <v>-112627.51256252598</v>
      </c>
      <c r="G85">
        <f t="shared" si="45"/>
        <v>-117695.75062783965</v>
      </c>
      <c r="H85">
        <f t="shared" si="45"/>
        <v>-122992.05940609242</v>
      </c>
      <c r="I85">
        <f t="shared" si="45"/>
        <v>-128526.70207936657</v>
      </c>
      <c r="J85">
        <f t="shared" si="45"/>
        <v>-134310.40367293803</v>
      </c>
      <c r="K85">
        <f t="shared" si="45"/>
        <v>-140354.37183822025</v>
      </c>
      <c r="L85">
        <f t="shared" si="45"/>
        <v>-146670.31857094012</v>
      </c>
      <c r="M85">
        <f t="shared" si="45"/>
        <v>-153270.48290663242</v>
      </c>
      <c r="N85">
        <f t="shared" si="45"/>
        <v>-160167.65463743082</v>
      </c>
      <c r="O85">
        <f t="shared" si="45"/>
        <v>-167375.19909611522</v>
      </c>
      <c r="P85">
        <f t="shared" si="45"/>
        <v>-174907.08305544037</v>
      </c>
      <c r="Q85">
        <f t="shared" si="45"/>
        <v>-182777.90179293518</v>
      </c>
      <c r="R85">
        <f t="shared" si="45"/>
        <v>-191002.90737361723</v>
      </c>
      <c r="S85">
        <f t="shared" si="45"/>
        <v>-199598.03820543003</v>
      </c>
      <c r="T85">
        <f t="shared" si="45"/>
        <v>-208579.94992467429</v>
      </c>
      <c r="U85">
        <f t="shared" si="45"/>
        <v>-217966.04767128464</v>
      </c>
      <c r="V85">
        <f t="shared" si="45"/>
        <v>-227774.51981649239</v>
      </c>
      <c r="W85">
        <f t="shared" si="45"/>
        <v>-238024.37320823455</v>
      </c>
      <c r="X85">
        <f t="shared" si="45"/>
        <v>-248735.47000260506</v>
      </c>
      <c r="Y85">
        <f t="shared" si="45"/>
        <v>-259928.56615272231</v>
      </c>
      <c r="Z85">
        <f t="shared" si="45"/>
        <v>-271625.35162959469</v>
      </c>
      <c r="AA85">
        <f t="shared" si="45"/>
        <v>-283848.49245292653</v>
      </c>
      <c r="AB85">
        <f t="shared" si="45"/>
        <v>-296621.6746133081</v>
      </c>
      <c r="AC85">
        <f t="shared" si="45"/>
        <v>-309969.64997090696</v>
      </c>
      <c r="AD85">
        <f t="shared" si="45"/>
        <v>-323918.2842195977</v>
      </c>
      <c r="AE85">
        <f t="shared" si="45"/>
        <v>-338494.6070094796</v>
      </c>
      <c r="AF85">
        <f t="shared" si="45"/>
        <v>-353726.86432490608</v>
      </c>
      <c r="AG85">
        <f t="shared" si="45"/>
        <v>-369644.57321952691</v>
      </c>
      <c r="AH85">
        <f t="shared" si="45"/>
        <v>-386278.57901440549</v>
      </c>
      <c r="AI85">
        <f t="shared" si="45"/>
        <v>-403661.11507005384</v>
      </c>
      <c r="AJ85">
        <f t="shared" si="45"/>
        <v>-421825.86524820601</v>
      </c>
      <c r="AK85">
        <f t="shared" si="45"/>
        <v>-440808.02918437519</v>
      </c>
      <c r="AL85">
        <f t="shared" si="45"/>
        <v>-460644.39049767208</v>
      </c>
      <c r="AM85">
        <f t="shared" si="45"/>
        <v>-481373.38807006727</v>
      </c>
      <c r="AN85">
        <f t="shared" si="45"/>
        <v>-503035.19053322024</v>
      </c>
      <c r="AO85">
        <f t="shared" si="45"/>
        <v>-525671.77410721511</v>
      </c>
      <c r="AP85">
        <f t="shared" si="45"/>
        <v>-549327.00394203968</v>
      </c>
      <c r="AQ85">
        <f t="shared" si="45"/>
        <v>-574046.71911943145</v>
      </c>
      <c r="AR85">
        <f t="shared" si="45"/>
        <v>-599878.82147980575</v>
      </c>
    </row>
    <row r="86" spans="3:44" x14ac:dyDescent="0.35">
      <c r="C86" t="s">
        <v>140</v>
      </c>
      <c r="E86">
        <f>SUM(E84:E85)</f>
        <v>378155769.14268339</v>
      </c>
      <c r="F86">
        <f t="shared" ref="F86:AR86" si="46">SUM(F84:F85)</f>
        <v>324692798.08743751</v>
      </c>
      <c r="G86">
        <f t="shared" si="46"/>
        <v>351416790.38270551</v>
      </c>
      <c r="H86">
        <f t="shared" si="46"/>
        <v>340943643.40014941</v>
      </c>
      <c r="I86">
        <f t="shared" si="46"/>
        <v>339749603.69114727</v>
      </c>
      <c r="J86">
        <f t="shared" si="46"/>
        <v>338746336.45053339</v>
      </c>
      <c r="K86">
        <f t="shared" si="46"/>
        <v>329388197.33945221</v>
      </c>
      <c r="L86">
        <f t="shared" si="46"/>
        <v>331788903.14694536</v>
      </c>
      <c r="M86">
        <f t="shared" si="46"/>
        <v>338734429.57191986</v>
      </c>
      <c r="N86">
        <f t="shared" si="46"/>
        <v>343170311.84128571</v>
      </c>
      <c r="O86">
        <f t="shared" si="46"/>
        <v>346787048.28674543</v>
      </c>
      <c r="P86">
        <f t="shared" si="46"/>
        <v>352493030.47250295</v>
      </c>
      <c r="Q86">
        <f t="shared" si="46"/>
        <v>358571463.60487658</v>
      </c>
      <c r="R86">
        <f t="shared" si="46"/>
        <v>362508424.2294293</v>
      </c>
      <c r="S86">
        <f t="shared" si="46"/>
        <v>367216495.6413337</v>
      </c>
      <c r="T86">
        <f t="shared" si="46"/>
        <v>374555835.60320526</v>
      </c>
      <c r="U86">
        <f t="shared" si="46"/>
        <v>382041737.81652117</v>
      </c>
      <c r="V86">
        <f t="shared" si="46"/>
        <v>389677123.42165977</v>
      </c>
      <c r="W86">
        <f t="shared" si="46"/>
        <v>397464971.52709758</v>
      </c>
      <c r="X86">
        <f t="shared" si="46"/>
        <v>405408320.3483094</v>
      </c>
      <c r="Y86">
        <f t="shared" si="46"/>
        <v>413510268.36852545</v>
      </c>
      <c r="Z86">
        <f t="shared" si="46"/>
        <v>421773975.52174205</v>
      </c>
      <c r="AA86">
        <f t="shared" si="46"/>
        <v>430202664.39838618</v>
      </c>
      <c r="AB86">
        <f t="shared" si="46"/>
        <v>438799621.47404259</v>
      </c>
      <c r="AC86">
        <f t="shared" si="46"/>
        <v>447568198.36165816</v>
      </c>
      <c r="AD86">
        <f t="shared" si="46"/>
        <v>456511813.08764195</v>
      </c>
      <c r="AE86">
        <f t="shared" si="46"/>
        <v>465633951.3922894</v>
      </c>
      <c r="AF86">
        <f t="shared" si="46"/>
        <v>474938168.05496001</v>
      </c>
      <c r="AG86">
        <f t="shared" si="46"/>
        <v>484428088.24445111</v>
      </c>
      <c r="AH86">
        <f t="shared" si="46"/>
        <v>494107408.89500976</v>
      </c>
      <c r="AI86">
        <f t="shared" si="46"/>
        <v>503979900.10843444</v>
      </c>
      <c r="AJ86">
        <f t="shared" si="46"/>
        <v>514049406.58272636</v>
      </c>
      <c r="AK86">
        <f t="shared" si="46"/>
        <v>524319849.0677498</v>
      </c>
      <c r="AL86">
        <f t="shared" si="46"/>
        <v>534795225.8483752</v>
      </c>
      <c r="AM86">
        <f t="shared" si="46"/>
        <v>545479614.25558019</v>
      </c>
      <c r="AN86">
        <f t="shared" si="46"/>
        <v>556377172.20599031</v>
      </c>
      <c r="AO86">
        <f t="shared" si="46"/>
        <v>567492139.77034676</v>
      </c>
      <c r="AP86">
        <f t="shared" si="46"/>
        <v>578828840.77140105</v>
      </c>
      <c r="AQ86">
        <f t="shared" si="46"/>
        <v>590391684.41173053</v>
      </c>
      <c r="AR86">
        <f t="shared" si="46"/>
        <v>602185166.93198717</v>
      </c>
    </row>
    <row r="87" spans="3:44" x14ac:dyDescent="0.35">
      <c r="C87" s="106" t="s">
        <v>130</v>
      </c>
      <c r="D87" s="106"/>
      <c r="E87" s="106">
        <f t="shared" ref="E87:AR87" si="47">E86*eiendomssats</f>
        <v>2647090.3839987838</v>
      </c>
      <c r="F87" s="106">
        <f t="shared" si="47"/>
        <v>2272849.5866120625</v>
      </c>
      <c r="G87" s="106">
        <f t="shared" si="47"/>
        <v>2459917.5326789385</v>
      </c>
      <c r="H87" s="106">
        <f t="shared" si="47"/>
        <v>2386605.5038010459</v>
      </c>
      <c r="I87" s="106">
        <f t="shared" si="47"/>
        <v>2378247.2258380312</v>
      </c>
      <c r="J87" s="106">
        <f t="shared" si="47"/>
        <v>2371224.3551537339</v>
      </c>
      <c r="K87" s="106">
        <f t="shared" si="47"/>
        <v>2305717.3813761654</v>
      </c>
      <c r="L87" s="106">
        <f t="shared" si="47"/>
        <v>2322522.3220286174</v>
      </c>
      <c r="M87" s="106">
        <f t="shared" si="47"/>
        <v>2371141.0070034391</v>
      </c>
      <c r="N87" s="106">
        <f t="shared" si="47"/>
        <v>2402192.182889</v>
      </c>
      <c r="O87" s="106">
        <f t="shared" si="47"/>
        <v>2427509.3380072182</v>
      </c>
      <c r="P87" s="106">
        <f t="shared" si="47"/>
        <v>2467451.2133075208</v>
      </c>
      <c r="Q87" s="106">
        <f t="shared" si="47"/>
        <v>2510000.245234136</v>
      </c>
      <c r="R87" s="106">
        <f t="shared" si="47"/>
        <v>2537558.9696060051</v>
      </c>
      <c r="S87" s="106">
        <f t="shared" si="47"/>
        <v>2570515.469489336</v>
      </c>
      <c r="T87" s="106">
        <f t="shared" si="47"/>
        <v>2621890.849222437</v>
      </c>
      <c r="U87" s="106">
        <f t="shared" si="47"/>
        <v>2674292.1647156482</v>
      </c>
      <c r="V87" s="106">
        <f t="shared" si="47"/>
        <v>2727739.8639516183</v>
      </c>
      <c r="W87" s="106">
        <f t="shared" si="47"/>
        <v>2782254.8006896833</v>
      </c>
      <c r="X87" s="106">
        <f t="shared" si="47"/>
        <v>2837858.2424381659</v>
      </c>
      <c r="Y87" s="106">
        <f t="shared" si="47"/>
        <v>2894571.878579678</v>
      </c>
      <c r="Z87" s="106">
        <f t="shared" si="47"/>
        <v>2952417.8286521942</v>
      </c>
      <c r="AA87" s="106">
        <f t="shared" si="47"/>
        <v>3011418.6507887035</v>
      </c>
      <c r="AB87" s="106">
        <f t="shared" si="47"/>
        <v>3071597.3503182982</v>
      </c>
      <c r="AC87" s="106">
        <f t="shared" si="47"/>
        <v>3132977.3885316071</v>
      </c>
      <c r="AD87" s="106">
        <f t="shared" si="47"/>
        <v>3195582.691613494</v>
      </c>
      <c r="AE87" s="106">
        <f t="shared" si="47"/>
        <v>3259437.6597460257</v>
      </c>
      <c r="AF87" s="106">
        <f t="shared" si="47"/>
        <v>3324567.17638472</v>
      </c>
      <c r="AG87" s="106">
        <f t="shared" si="47"/>
        <v>3390996.617711158</v>
      </c>
      <c r="AH87" s="106">
        <f t="shared" si="47"/>
        <v>3458751.8622650686</v>
      </c>
      <c r="AI87" s="106">
        <f t="shared" si="47"/>
        <v>3527859.3007590412</v>
      </c>
      <c r="AJ87" s="106">
        <f t="shared" si="47"/>
        <v>3598345.8460790846</v>
      </c>
      <c r="AK87" s="106">
        <f t="shared" si="47"/>
        <v>3670238.9434742485</v>
      </c>
      <c r="AL87" s="106">
        <f t="shared" si="47"/>
        <v>3743566.5809386265</v>
      </c>
      <c r="AM87" s="106">
        <f t="shared" si="47"/>
        <v>3818357.2997890613</v>
      </c>
      <c r="AN87" s="106">
        <f t="shared" si="47"/>
        <v>3894640.2054419322</v>
      </c>
      <c r="AO87" s="106">
        <f t="shared" si="47"/>
        <v>3972444.9783924273</v>
      </c>
      <c r="AP87" s="106">
        <f t="shared" si="47"/>
        <v>4051801.8853998072</v>
      </c>
      <c r="AQ87" s="106">
        <f t="shared" si="47"/>
        <v>4132741.7908821139</v>
      </c>
      <c r="AR87" s="106">
        <f t="shared" si="47"/>
        <v>4215296.1685239105</v>
      </c>
    </row>
    <row r="90" spans="3:44" x14ac:dyDescent="0.35">
      <c r="C90" t="s">
        <v>54</v>
      </c>
      <c r="D90">
        <v>0</v>
      </c>
      <c r="E90">
        <v>1</v>
      </c>
      <c r="F90">
        <v>2</v>
      </c>
      <c r="G90">
        <v>3</v>
      </c>
      <c r="H90">
        <v>4</v>
      </c>
      <c r="I90">
        <v>5</v>
      </c>
      <c r="J90">
        <v>6</v>
      </c>
      <c r="K90">
        <v>7</v>
      </c>
      <c r="L90">
        <v>8</v>
      </c>
      <c r="M90">
        <v>9</v>
      </c>
      <c r="N90">
        <v>10</v>
      </c>
      <c r="O90">
        <v>11</v>
      </c>
      <c r="P90">
        <v>12</v>
      </c>
      <c r="Q90">
        <v>13</v>
      </c>
      <c r="R90">
        <v>14</v>
      </c>
      <c r="S90">
        <v>15</v>
      </c>
      <c r="T90">
        <v>16</v>
      </c>
      <c r="U90">
        <v>17</v>
      </c>
      <c r="V90">
        <v>18</v>
      </c>
      <c r="W90">
        <v>19</v>
      </c>
      <c r="X90">
        <v>20</v>
      </c>
      <c r="Y90">
        <v>21</v>
      </c>
      <c r="Z90">
        <v>22</v>
      </c>
      <c r="AA90">
        <v>23</v>
      </c>
      <c r="AB90">
        <v>24</v>
      </c>
      <c r="AC90">
        <v>25</v>
      </c>
      <c r="AD90">
        <v>26</v>
      </c>
      <c r="AE90">
        <v>27</v>
      </c>
      <c r="AF90">
        <v>28</v>
      </c>
      <c r="AG90">
        <v>29</v>
      </c>
      <c r="AH90">
        <v>30</v>
      </c>
      <c r="AI90">
        <v>31</v>
      </c>
      <c r="AJ90">
        <v>32</v>
      </c>
      <c r="AK90">
        <v>33</v>
      </c>
      <c r="AL90">
        <v>34</v>
      </c>
      <c r="AM90">
        <v>35</v>
      </c>
      <c r="AN90">
        <v>36</v>
      </c>
      <c r="AO90">
        <v>37</v>
      </c>
      <c r="AP90">
        <v>38</v>
      </c>
      <c r="AQ90">
        <v>39</v>
      </c>
      <c r="AR90">
        <v>40</v>
      </c>
    </row>
    <row r="91" spans="3:44" x14ac:dyDescent="0.35">
      <c r="C91" t="s">
        <v>84</v>
      </c>
      <c r="E91">
        <f t="shared" ref="E91:AR91" si="48">voluma*1000*1000</f>
        <v>103000000</v>
      </c>
      <c r="F91">
        <f t="shared" si="48"/>
        <v>103000000</v>
      </c>
      <c r="G91">
        <f t="shared" si="48"/>
        <v>103000000</v>
      </c>
      <c r="H91">
        <f t="shared" si="48"/>
        <v>103000000</v>
      </c>
      <c r="I91">
        <f t="shared" si="48"/>
        <v>103000000</v>
      </c>
      <c r="J91">
        <f t="shared" si="48"/>
        <v>103000000</v>
      </c>
      <c r="K91">
        <f t="shared" si="48"/>
        <v>103000000</v>
      </c>
      <c r="L91">
        <f t="shared" si="48"/>
        <v>103000000</v>
      </c>
      <c r="M91">
        <f t="shared" si="48"/>
        <v>103000000</v>
      </c>
      <c r="N91">
        <f t="shared" si="48"/>
        <v>103000000</v>
      </c>
      <c r="O91">
        <f t="shared" si="48"/>
        <v>103000000</v>
      </c>
      <c r="P91">
        <f t="shared" si="48"/>
        <v>103000000</v>
      </c>
      <c r="Q91">
        <f t="shared" si="48"/>
        <v>103000000</v>
      </c>
      <c r="R91">
        <f t="shared" si="48"/>
        <v>103000000</v>
      </c>
      <c r="S91">
        <f t="shared" si="48"/>
        <v>103000000</v>
      </c>
      <c r="T91">
        <f t="shared" si="48"/>
        <v>103000000</v>
      </c>
      <c r="U91">
        <f t="shared" si="48"/>
        <v>103000000</v>
      </c>
      <c r="V91">
        <f t="shared" si="48"/>
        <v>103000000</v>
      </c>
      <c r="W91">
        <f t="shared" si="48"/>
        <v>103000000</v>
      </c>
      <c r="X91">
        <f t="shared" si="48"/>
        <v>103000000</v>
      </c>
      <c r="Y91">
        <f t="shared" si="48"/>
        <v>103000000</v>
      </c>
      <c r="Z91">
        <f t="shared" si="48"/>
        <v>103000000</v>
      </c>
      <c r="AA91">
        <f t="shared" si="48"/>
        <v>103000000</v>
      </c>
      <c r="AB91">
        <f t="shared" si="48"/>
        <v>103000000</v>
      </c>
      <c r="AC91">
        <f t="shared" si="48"/>
        <v>103000000</v>
      </c>
      <c r="AD91">
        <f t="shared" si="48"/>
        <v>103000000</v>
      </c>
      <c r="AE91">
        <f t="shared" si="48"/>
        <v>103000000</v>
      </c>
      <c r="AF91">
        <f t="shared" si="48"/>
        <v>103000000</v>
      </c>
      <c r="AG91">
        <f t="shared" si="48"/>
        <v>103000000</v>
      </c>
      <c r="AH91">
        <f t="shared" si="48"/>
        <v>103000000</v>
      </c>
      <c r="AI91">
        <f t="shared" si="48"/>
        <v>103000000</v>
      </c>
      <c r="AJ91">
        <f t="shared" si="48"/>
        <v>103000000</v>
      </c>
      <c r="AK91">
        <f t="shared" si="48"/>
        <v>103000000</v>
      </c>
      <c r="AL91">
        <f t="shared" si="48"/>
        <v>103000000</v>
      </c>
      <c r="AM91">
        <f t="shared" si="48"/>
        <v>103000000</v>
      </c>
      <c r="AN91">
        <f t="shared" si="48"/>
        <v>103000000</v>
      </c>
      <c r="AO91">
        <f t="shared" si="48"/>
        <v>103000000</v>
      </c>
      <c r="AP91">
        <f t="shared" si="48"/>
        <v>103000000</v>
      </c>
      <c r="AQ91">
        <f t="shared" si="48"/>
        <v>103000000</v>
      </c>
      <c r="AR91">
        <f t="shared" si="48"/>
        <v>103000000</v>
      </c>
    </row>
    <row r="92" spans="3:44" x14ac:dyDescent="0.35">
      <c r="C92" t="s">
        <v>85</v>
      </c>
      <c r="E92">
        <v>1.2999999999999999E-2</v>
      </c>
      <c r="F92">
        <v>1.2999999999999999E-2</v>
      </c>
      <c r="G92">
        <v>1.2999999999999999E-2</v>
      </c>
      <c r="H92">
        <v>1.2999999999999999E-2</v>
      </c>
      <c r="I92">
        <v>1.2999999999999999E-2</v>
      </c>
      <c r="J92">
        <v>1.2999999999999999E-2</v>
      </c>
      <c r="K92">
        <v>1.2999999999999999E-2</v>
      </c>
      <c r="L92">
        <v>1.2999999999999999E-2</v>
      </c>
      <c r="M92">
        <v>1.2999999999999999E-2</v>
      </c>
      <c r="N92">
        <v>1.2999999999999999E-2</v>
      </c>
      <c r="O92">
        <v>1.0129999999999999</v>
      </c>
      <c r="P92">
        <v>2.0129999999999999</v>
      </c>
      <c r="Q92">
        <v>3.0129999999999999</v>
      </c>
      <c r="R92">
        <v>4.0129999999999999</v>
      </c>
      <c r="S92">
        <v>5.0129999999999999</v>
      </c>
      <c r="T92">
        <v>6.0129999999999999</v>
      </c>
      <c r="U92">
        <v>7.0129999999999999</v>
      </c>
      <c r="V92">
        <v>8.0129999999999999</v>
      </c>
      <c r="W92">
        <v>9.0129999999999999</v>
      </c>
      <c r="X92">
        <v>10.013</v>
      </c>
      <c r="Y92">
        <v>11.013</v>
      </c>
      <c r="Z92">
        <v>12.013</v>
      </c>
      <c r="AA92">
        <v>13.013</v>
      </c>
      <c r="AB92">
        <v>14.013</v>
      </c>
      <c r="AC92">
        <v>15.013</v>
      </c>
      <c r="AD92">
        <v>16.013000000000002</v>
      </c>
      <c r="AE92">
        <v>17.013000000000002</v>
      </c>
      <c r="AF92">
        <v>18.013000000000002</v>
      </c>
      <c r="AG92">
        <v>19.013000000000002</v>
      </c>
      <c r="AH92">
        <v>20.013000000000002</v>
      </c>
      <c r="AI92">
        <v>21.013000000000002</v>
      </c>
      <c r="AJ92">
        <v>22.013000000000002</v>
      </c>
      <c r="AK92">
        <v>23.013000000000002</v>
      </c>
      <c r="AL92">
        <v>24.013000000000002</v>
      </c>
      <c r="AM92">
        <v>25.013000000000002</v>
      </c>
      <c r="AN92">
        <v>26.013000000000002</v>
      </c>
      <c r="AO92">
        <v>27.013000000000002</v>
      </c>
      <c r="AP92">
        <v>28.013000000000002</v>
      </c>
      <c r="AQ92">
        <v>29.013000000000002</v>
      </c>
      <c r="AR92">
        <v>30.013000000000002</v>
      </c>
    </row>
    <row r="93" spans="3:44" x14ac:dyDescent="0.35">
      <c r="C93" s="106" t="s">
        <v>86</v>
      </c>
      <c r="D93" s="106"/>
      <c r="E93" s="106">
        <f t="shared" ref="E93:AR93" si="49">E91*naturskatt</f>
        <v>0</v>
      </c>
      <c r="F93" s="106">
        <f t="shared" si="49"/>
        <v>0</v>
      </c>
      <c r="G93" s="106">
        <f t="shared" si="49"/>
        <v>0</v>
      </c>
      <c r="H93" s="106">
        <f t="shared" si="49"/>
        <v>0</v>
      </c>
      <c r="I93" s="106">
        <f t="shared" si="49"/>
        <v>0</v>
      </c>
      <c r="J93" s="106">
        <f t="shared" si="49"/>
        <v>0</v>
      </c>
      <c r="K93" s="106">
        <f t="shared" si="49"/>
        <v>0</v>
      </c>
      <c r="L93" s="106">
        <f t="shared" si="49"/>
        <v>0</v>
      </c>
      <c r="M93" s="106">
        <f t="shared" si="49"/>
        <v>0</v>
      </c>
      <c r="N93" s="106">
        <f t="shared" si="49"/>
        <v>0</v>
      </c>
      <c r="O93" s="106">
        <f t="shared" si="49"/>
        <v>0</v>
      </c>
      <c r="P93" s="106">
        <f t="shared" si="49"/>
        <v>0</v>
      </c>
      <c r="Q93" s="106">
        <f t="shared" si="49"/>
        <v>0</v>
      </c>
      <c r="R93" s="106">
        <f t="shared" si="49"/>
        <v>0</v>
      </c>
      <c r="S93" s="106">
        <f t="shared" si="49"/>
        <v>0</v>
      </c>
      <c r="T93" s="106">
        <f t="shared" si="49"/>
        <v>0</v>
      </c>
      <c r="U93" s="106">
        <f t="shared" si="49"/>
        <v>0</v>
      </c>
      <c r="V93" s="106">
        <f t="shared" si="49"/>
        <v>0</v>
      </c>
      <c r="W93" s="106">
        <f t="shared" si="49"/>
        <v>0</v>
      </c>
      <c r="X93" s="106">
        <f t="shared" si="49"/>
        <v>0</v>
      </c>
      <c r="Y93" s="106">
        <f t="shared" si="49"/>
        <v>0</v>
      </c>
      <c r="Z93" s="106">
        <f t="shared" si="49"/>
        <v>0</v>
      </c>
      <c r="AA93" s="106">
        <f t="shared" si="49"/>
        <v>0</v>
      </c>
      <c r="AB93" s="106">
        <f t="shared" si="49"/>
        <v>0</v>
      </c>
      <c r="AC93" s="106">
        <f t="shared" si="49"/>
        <v>0</v>
      </c>
      <c r="AD93" s="106">
        <f t="shared" si="49"/>
        <v>0</v>
      </c>
      <c r="AE93" s="106">
        <f t="shared" si="49"/>
        <v>0</v>
      </c>
      <c r="AF93" s="106">
        <f t="shared" si="49"/>
        <v>0</v>
      </c>
      <c r="AG93" s="106">
        <f t="shared" si="49"/>
        <v>0</v>
      </c>
      <c r="AH93" s="106">
        <f t="shared" si="49"/>
        <v>0</v>
      </c>
      <c r="AI93" s="106">
        <f t="shared" si="49"/>
        <v>0</v>
      </c>
      <c r="AJ93" s="106">
        <f t="shared" si="49"/>
        <v>0</v>
      </c>
      <c r="AK93" s="106">
        <f t="shared" si="49"/>
        <v>0</v>
      </c>
      <c r="AL93" s="106">
        <f t="shared" si="49"/>
        <v>0</v>
      </c>
      <c r="AM93" s="106">
        <f t="shared" si="49"/>
        <v>0</v>
      </c>
      <c r="AN93" s="106">
        <f t="shared" si="49"/>
        <v>0</v>
      </c>
      <c r="AO93" s="106">
        <f t="shared" si="49"/>
        <v>0</v>
      </c>
      <c r="AP93" s="106">
        <f t="shared" si="49"/>
        <v>0</v>
      </c>
      <c r="AQ93" s="106">
        <f t="shared" si="49"/>
        <v>0</v>
      </c>
      <c r="AR93" s="106">
        <f t="shared" si="49"/>
        <v>0</v>
      </c>
    </row>
    <row r="97" spans="3:44" x14ac:dyDescent="0.35">
      <c r="C97" t="s">
        <v>87</v>
      </c>
    </row>
    <row r="98" spans="3:44" x14ac:dyDescent="0.35">
      <c r="C98" t="s">
        <v>88</v>
      </c>
      <c r="D98">
        <v>2011</v>
      </c>
      <c r="E98">
        <v>2012</v>
      </c>
      <c r="F98">
        <v>2013</v>
      </c>
      <c r="G98">
        <v>2014</v>
      </c>
      <c r="H98">
        <v>2015</v>
      </c>
      <c r="I98">
        <v>2016</v>
      </c>
      <c r="J98">
        <v>2017</v>
      </c>
      <c r="K98" t="s">
        <v>94</v>
      </c>
    </row>
    <row r="99" spans="3:44" x14ac:dyDescent="0.35">
      <c r="C99" t="s">
        <v>89</v>
      </c>
      <c r="D99">
        <v>346575</v>
      </c>
      <c r="E99">
        <v>330152</v>
      </c>
      <c r="F99">
        <v>307641</v>
      </c>
      <c r="G99">
        <v>180757</v>
      </c>
      <c r="H99">
        <v>619942</v>
      </c>
      <c r="I99">
        <v>458132</v>
      </c>
      <c r="J99">
        <v>0</v>
      </c>
    </row>
    <row r="100" spans="3:44" x14ac:dyDescent="0.35">
      <c r="C100" t="s">
        <v>90</v>
      </c>
      <c r="D100">
        <f>1503732*(-1)</f>
        <v>-1503732</v>
      </c>
      <c r="E100">
        <f>1481001*(-1)</f>
        <v>-1481001</v>
      </c>
      <c r="F100">
        <f>-1*(1701481)</f>
        <v>-1701481</v>
      </c>
      <c r="G100">
        <f>-1*(1281025)</f>
        <v>-1281025</v>
      </c>
      <c r="H100">
        <f>-1*(1215406)</f>
        <v>-1215406</v>
      </c>
      <c r="I100">
        <f>-1*(1514224)</f>
        <v>-1514224</v>
      </c>
      <c r="J100">
        <v>0</v>
      </c>
    </row>
    <row r="101" spans="3:44" x14ac:dyDescent="0.35">
      <c r="C101" t="s">
        <v>34</v>
      </c>
      <c r="D101">
        <f>SUM(D99:D100)</f>
        <v>-1157157</v>
      </c>
      <c r="E101">
        <f t="shared" ref="E101:I101" si="50">SUM(E99:E100)</f>
        <v>-1150849</v>
      </c>
      <c r="F101">
        <f t="shared" si="50"/>
        <v>-1393840</v>
      </c>
      <c r="G101">
        <f t="shared" si="50"/>
        <v>-1100268</v>
      </c>
      <c r="H101">
        <f t="shared" si="50"/>
        <v>-595464</v>
      </c>
      <c r="I101">
        <f t="shared" si="50"/>
        <v>-1056092</v>
      </c>
      <c r="J101">
        <v>0</v>
      </c>
    </row>
    <row r="102" spans="3:44" x14ac:dyDescent="0.35">
      <c r="C102" t="s">
        <v>91</v>
      </c>
      <c r="D102">
        <v>1769589</v>
      </c>
      <c r="E102">
        <v>2036436</v>
      </c>
      <c r="F102">
        <v>2123610</v>
      </c>
      <c r="G102">
        <v>1867384</v>
      </c>
      <c r="H102">
        <v>1728691</v>
      </c>
      <c r="I102">
        <v>1984365</v>
      </c>
      <c r="J102">
        <v>0</v>
      </c>
    </row>
    <row r="103" spans="3:44" x14ac:dyDescent="0.35">
      <c r="C103" t="s">
        <v>92</v>
      </c>
      <c r="D103">
        <f>D101/D102</f>
        <v>-0.65391285773137153</v>
      </c>
      <c r="E103">
        <f t="shared" ref="E103:I103" si="51">E101/E102</f>
        <v>-0.56512898023802371</v>
      </c>
      <c r="F103">
        <f t="shared" si="51"/>
        <v>-0.6563540386417468</v>
      </c>
      <c r="G103">
        <f t="shared" si="51"/>
        <v>-0.58920286347103756</v>
      </c>
      <c r="H103">
        <f t="shared" si="51"/>
        <v>-0.34445947829889784</v>
      </c>
      <c r="I103">
        <f t="shared" si="51"/>
        <v>-0.53220652450532036</v>
      </c>
      <c r="J103">
        <v>0</v>
      </c>
      <c r="K103">
        <f>AVERAGE(D103:I103)</f>
        <v>-0.55687745714773296</v>
      </c>
    </row>
    <row r="105" spans="3:44" x14ac:dyDescent="0.35">
      <c r="D105">
        <v>0</v>
      </c>
      <c r="E105">
        <v>1</v>
      </c>
      <c r="F105">
        <v>2</v>
      </c>
      <c r="G105">
        <v>3</v>
      </c>
      <c r="H105">
        <v>4</v>
      </c>
      <c r="I105">
        <v>5</v>
      </c>
      <c r="J105">
        <v>6</v>
      </c>
      <c r="K105">
        <v>7</v>
      </c>
      <c r="L105">
        <v>8</v>
      </c>
      <c r="M105">
        <v>9</v>
      </c>
      <c r="N105">
        <v>10</v>
      </c>
      <c r="O105">
        <v>11</v>
      </c>
      <c r="P105">
        <v>12</v>
      </c>
      <c r="Q105">
        <v>13</v>
      </c>
      <c r="R105">
        <v>14</v>
      </c>
      <c r="S105">
        <v>15</v>
      </c>
      <c r="T105">
        <v>16</v>
      </c>
      <c r="U105">
        <v>17</v>
      </c>
      <c r="V105">
        <v>18</v>
      </c>
      <c r="W105">
        <v>19</v>
      </c>
      <c r="X105">
        <v>20</v>
      </c>
      <c r="Y105">
        <v>21</v>
      </c>
      <c r="Z105">
        <v>22</v>
      </c>
      <c r="AA105">
        <v>23</v>
      </c>
      <c r="AB105">
        <v>24</v>
      </c>
      <c r="AC105">
        <v>25</v>
      </c>
      <c r="AD105">
        <v>26</v>
      </c>
      <c r="AE105">
        <v>27</v>
      </c>
      <c r="AF105">
        <v>28</v>
      </c>
      <c r="AG105">
        <v>29</v>
      </c>
      <c r="AH105">
        <v>30</v>
      </c>
      <c r="AI105">
        <v>31</v>
      </c>
      <c r="AJ105">
        <v>32</v>
      </c>
      <c r="AK105">
        <v>33</v>
      </c>
      <c r="AL105">
        <v>34</v>
      </c>
      <c r="AM105">
        <v>35</v>
      </c>
      <c r="AN105">
        <v>36</v>
      </c>
      <c r="AO105">
        <v>37</v>
      </c>
      <c r="AP105">
        <v>38</v>
      </c>
      <c r="AQ105">
        <v>39</v>
      </c>
      <c r="AR105">
        <v>40</v>
      </c>
    </row>
    <row r="106" spans="3:44" x14ac:dyDescent="0.35">
      <c r="C106" t="s">
        <v>95</v>
      </c>
      <c r="D106">
        <v>0</v>
      </c>
      <c r="E106">
        <f>D108</f>
        <v>-12476857.247473586</v>
      </c>
      <c r="F106">
        <f>E108</f>
        <v>-11197179.581066038</v>
      </c>
      <c r="G106">
        <f t="shared" ref="G106:N106" si="52">F108</f>
        <v>-11141193.683160707</v>
      </c>
      <c r="H106">
        <f t="shared" si="52"/>
        <v>-11609075.829940967</v>
      </c>
      <c r="I106">
        <f t="shared" si="52"/>
        <v>-11637068.778893633</v>
      </c>
      <c r="J106">
        <f t="shared" si="52"/>
        <v>-11617073.815356014</v>
      </c>
      <c r="K106">
        <f t="shared" si="52"/>
        <v>-11817023.450732194</v>
      </c>
      <c r="L106">
        <f t="shared" si="52"/>
        <v>-12336892.50271026</v>
      </c>
      <c r="M106">
        <f t="shared" si="52"/>
        <v>-12496852.211011203</v>
      </c>
      <c r="N106">
        <f t="shared" si="52"/>
        <v>-12428869.3349833</v>
      </c>
      <c r="O106">
        <f>N108</f>
        <v>-12677446.721682971</v>
      </c>
      <c r="P106">
        <f t="shared" ref="P106:AR106" si="53">O108</f>
        <v>-12930995.656116627</v>
      </c>
      <c r="Q106">
        <f t="shared" si="53"/>
        <v>-13189615.569238961</v>
      </c>
      <c r="R106">
        <f t="shared" si="53"/>
        <v>-13453407.880623741</v>
      </c>
      <c r="S106">
        <f t="shared" si="53"/>
        <v>-13722476.038236212</v>
      </c>
      <c r="T106">
        <f t="shared" si="53"/>
        <v>-13996925.559000941</v>
      </c>
      <c r="U106">
        <f t="shared" si="53"/>
        <v>-14276864.07018096</v>
      </c>
      <c r="V106">
        <f t="shared" si="53"/>
        <v>-14562401.351584576</v>
      </c>
      <c r="W106">
        <f t="shared" si="53"/>
        <v>-14853649.378616266</v>
      </c>
      <c r="X106">
        <f t="shared" si="53"/>
        <v>-15150722.366188593</v>
      </c>
      <c r="Y106">
        <f t="shared" si="53"/>
        <v>-15453736.813512363</v>
      </c>
      <c r="Z106">
        <f t="shared" si="53"/>
        <v>-15762811.549782611</v>
      </c>
      <c r="AA106">
        <f t="shared" si="53"/>
        <v>-16078067.780778265</v>
      </c>
      <c r="AB106">
        <f t="shared" si="53"/>
        <v>-16399629.13639383</v>
      </c>
      <c r="AC106">
        <f t="shared" si="53"/>
        <v>-16727621.719121708</v>
      </c>
      <c r="AD106">
        <f t="shared" si="53"/>
        <v>-17062174.153504144</v>
      </c>
      <c r="AE106">
        <f t="shared" si="53"/>
        <v>-17403417.636574224</v>
      </c>
      <c r="AF106">
        <f t="shared" si="53"/>
        <v>-17751485.989305709</v>
      </c>
      <c r="AG106">
        <f t="shared" si="53"/>
        <v>-18106515.709091827</v>
      </c>
      <c r="AH106">
        <f t="shared" si="53"/>
        <v>-18468646.023273662</v>
      </c>
      <c r="AI106">
        <f t="shared" si="53"/>
        <v>-18838018.943739135</v>
      </c>
      <c r="AJ106">
        <f t="shared" si="53"/>
        <v>-19214779.322613921</v>
      </c>
      <c r="AK106">
        <f t="shared" si="53"/>
        <v>-19599074.9090662</v>
      </c>
      <c r="AL106">
        <f t="shared" si="53"/>
        <v>-19991056.407247525</v>
      </c>
      <c r="AM106">
        <f t="shared" si="53"/>
        <v>-20390877.535392478</v>
      </c>
      <c r="AN106">
        <f t="shared" si="53"/>
        <v>-20798695.086100329</v>
      </c>
      <c r="AO106">
        <f t="shared" si="53"/>
        <v>-21214668.987822331</v>
      </c>
      <c r="AP106">
        <f t="shared" si="53"/>
        <v>-21638962.367578782</v>
      </c>
      <c r="AQ106">
        <f t="shared" si="53"/>
        <v>-22071741.614930354</v>
      </c>
      <c r="AR106">
        <f t="shared" si="53"/>
        <v>-22513176.447228964</v>
      </c>
    </row>
    <row r="107" spans="3:44" x14ac:dyDescent="0.35">
      <c r="C107" t="s">
        <v>91</v>
      </c>
      <c r="E107">
        <f t="shared" ref="E107:AR107" si="54">E63</f>
        <v>22405032</v>
      </c>
      <c r="F107">
        <f t="shared" si="54"/>
        <v>20107080</v>
      </c>
      <c r="G107">
        <f t="shared" si="54"/>
        <v>20006544.599999998</v>
      </c>
      <c r="H107">
        <f t="shared" si="54"/>
        <v>20846733.300000001</v>
      </c>
      <c r="I107">
        <f t="shared" si="54"/>
        <v>20897001</v>
      </c>
      <c r="J107">
        <f t="shared" si="54"/>
        <v>20861095.5</v>
      </c>
      <c r="K107">
        <f t="shared" si="54"/>
        <v>21220150.5</v>
      </c>
      <c r="L107">
        <f t="shared" si="54"/>
        <v>22153693.5</v>
      </c>
      <c r="M107">
        <f t="shared" si="54"/>
        <v>22440937.5</v>
      </c>
      <c r="N107">
        <f t="shared" si="54"/>
        <v>22318858.799999997</v>
      </c>
      <c r="O107">
        <f t="shared" si="54"/>
        <v>22765235.976000004</v>
      </c>
      <c r="P107">
        <f t="shared" si="54"/>
        <v>23220540.695519999</v>
      </c>
      <c r="Q107">
        <f t="shared" si="54"/>
        <v>23684951.509430401</v>
      </c>
      <c r="R107">
        <f t="shared" si="54"/>
        <v>24158650.53961901</v>
      </c>
      <c r="S107">
        <f t="shared" si="54"/>
        <v>24641823.550411385</v>
      </c>
      <c r="T107">
        <f t="shared" si="54"/>
        <v>25134660.021419618</v>
      </c>
      <c r="U107">
        <f t="shared" si="54"/>
        <v>25637353.221848011</v>
      </c>
      <c r="V107">
        <f t="shared" si="54"/>
        <v>26150100.286284968</v>
      </c>
      <c r="W107">
        <f t="shared" si="54"/>
        <v>26673102.292010665</v>
      </c>
      <c r="X107">
        <f t="shared" si="54"/>
        <v>27206564.33785088</v>
      </c>
      <c r="Y107">
        <f t="shared" si="54"/>
        <v>27750695.624607895</v>
      </c>
      <c r="Z107">
        <f t="shared" si="54"/>
        <v>28305709.537100054</v>
      </c>
      <c r="AA107">
        <f t="shared" si="54"/>
        <v>28871823.727842055</v>
      </c>
      <c r="AB107">
        <f t="shared" si="54"/>
        <v>29449260.2023989</v>
      </c>
      <c r="AC107">
        <f t="shared" si="54"/>
        <v>30038245.406446878</v>
      </c>
      <c r="AD107">
        <f t="shared" si="54"/>
        <v>30639010.314575817</v>
      </c>
      <c r="AE107">
        <f t="shared" si="54"/>
        <v>31251790.520867333</v>
      </c>
      <c r="AF107">
        <f t="shared" si="54"/>
        <v>31876826.331284679</v>
      </c>
      <c r="AG107">
        <f t="shared" si="54"/>
        <v>32514362.85791038</v>
      </c>
      <c r="AH107">
        <f t="shared" si="54"/>
        <v>33164650.115068585</v>
      </c>
      <c r="AI107">
        <f t="shared" si="54"/>
        <v>33827943.117369957</v>
      </c>
      <c r="AJ107">
        <f t="shared" si="54"/>
        <v>34504501.979717359</v>
      </c>
      <c r="AK107">
        <f t="shared" si="54"/>
        <v>35194592.019311711</v>
      </c>
      <c r="AL107">
        <f t="shared" si="54"/>
        <v>35898483.859697945</v>
      </c>
      <c r="AM107">
        <f t="shared" si="54"/>
        <v>36616453.536891907</v>
      </c>
      <c r="AN107">
        <f t="shared" si="54"/>
        <v>37348782.607629746</v>
      </c>
      <c r="AO107">
        <f t="shared" si="54"/>
        <v>38095758.259782337</v>
      </c>
      <c r="AP107">
        <f t="shared" si="54"/>
        <v>38857673.424977988</v>
      </c>
      <c r="AQ107">
        <f t="shared" si="54"/>
        <v>39634826.893477544</v>
      </c>
      <c r="AR107">
        <f t="shared" si="54"/>
        <v>40427523.431347102</v>
      </c>
    </row>
    <row r="108" spans="3:44" x14ac:dyDescent="0.35">
      <c r="C108" t="s">
        <v>96</v>
      </c>
      <c r="D108">
        <f>E107*$K$103</f>
        <v>-12476857.247473586</v>
      </c>
      <c r="E108">
        <f t="shared" ref="E108:AR108" si="55">F107*$K$103</f>
        <v>-11197179.581066038</v>
      </c>
      <c r="F108">
        <f t="shared" si="55"/>
        <v>-11141193.683160707</v>
      </c>
      <c r="G108">
        <f t="shared" si="55"/>
        <v>-11609075.829940967</v>
      </c>
      <c r="H108">
        <f t="shared" si="55"/>
        <v>-11637068.778893633</v>
      </c>
      <c r="I108">
        <f t="shared" si="55"/>
        <v>-11617073.815356014</v>
      </c>
      <c r="J108">
        <f t="shared" si="55"/>
        <v>-11817023.450732194</v>
      </c>
      <c r="K108">
        <f t="shared" si="55"/>
        <v>-12336892.50271026</v>
      </c>
      <c r="L108">
        <f t="shared" si="55"/>
        <v>-12496852.211011203</v>
      </c>
      <c r="M108">
        <f t="shared" si="55"/>
        <v>-12428869.3349833</v>
      </c>
      <c r="N108">
        <f t="shared" si="55"/>
        <v>-12677446.721682971</v>
      </c>
      <c r="O108">
        <f t="shared" si="55"/>
        <v>-12930995.656116627</v>
      </c>
      <c r="P108">
        <f t="shared" si="55"/>
        <v>-13189615.569238961</v>
      </c>
      <c r="Q108">
        <f t="shared" si="55"/>
        <v>-13453407.880623741</v>
      </c>
      <c r="R108">
        <f t="shared" si="55"/>
        <v>-13722476.038236212</v>
      </c>
      <c r="S108">
        <f t="shared" si="55"/>
        <v>-13996925.559000941</v>
      </c>
      <c r="T108">
        <f t="shared" si="55"/>
        <v>-14276864.07018096</v>
      </c>
      <c r="U108">
        <f t="shared" si="55"/>
        <v>-14562401.351584576</v>
      </c>
      <c r="V108">
        <f t="shared" si="55"/>
        <v>-14853649.378616266</v>
      </c>
      <c r="W108">
        <f t="shared" si="55"/>
        <v>-15150722.366188593</v>
      </c>
      <c r="X108">
        <f t="shared" si="55"/>
        <v>-15453736.813512363</v>
      </c>
      <c r="Y108">
        <f t="shared" si="55"/>
        <v>-15762811.549782611</v>
      </c>
      <c r="Z108">
        <f t="shared" si="55"/>
        <v>-16078067.780778265</v>
      </c>
      <c r="AA108">
        <f t="shared" si="55"/>
        <v>-16399629.13639383</v>
      </c>
      <c r="AB108">
        <f t="shared" si="55"/>
        <v>-16727621.719121708</v>
      </c>
      <c r="AC108">
        <f t="shared" si="55"/>
        <v>-17062174.153504144</v>
      </c>
      <c r="AD108">
        <f t="shared" si="55"/>
        <v>-17403417.636574224</v>
      </c>
      <c r="AE108">
        <f t="shared" si="55"/>
        <v>-17751485.989305709</v>
      </c>
      <c r="AF108">
        <f t="shared" si="55"/>
        <v>-18106515.709091827</v>
      </c>
      <c r="AG108">
        <f t="shared" si="55"/>
        <v>-18468646.023273662</v>
      </c>
      <c r="AH108">
        <f t="shared" si="55"/>
        <v>-18838018.943739135</v>
      </c>
      <c r="AI108">
        <f t="shared" si="55"/>
        <v>-19214779.322613921</v>
      </c>
      <c r="AJ108">
        <f t="shared" si="55"/>
        <v>-19599074.9090662</v>
      </c>
      <c r="AK108">
        <f t="shared" si="55"/>
        <v>-19991056.407247525</v>
      </c>
      <c r="AL108">
        <f t="shared" si="55"/>
        <v>-20390877.535392478</v>
      </c>
      <c r="AM108">
        <f t="shared" si="55"/>
        <v>-20798695.086100329</v>
      </c>
      <c r="AN108">
        <f t="shared" si="55"/>
        <v>-21214668.987822331</v>
      </c>
      <c r="AO108">
        <f t="shared" si="55"/>
        <v>-21638962.367578782</v>
      </c>
      <c r="AP108">
        <f t="shared" si="55"/>
        <v>-22071741.614930354</v>
      </c>
      <c r="AQ108">
        <f t="shared" si="55"/>
        <v>-22513176.447228964</v>
      </c>
      <c r="AR108">
        <f t="shared" si="55"/>
        <v>0</v>
      </c>
    </row>
    <row r="109" spans="3:44" x14ac:dyDescent="0.35">
      <c r="C109" s="106" t="s">
        <v>33</v>
      </c>
      <c r="D109" s="106">
        <f>D106-D108</f>
        <v>12476857.247473586</v>
      </c>
      <c r="E109" s="106">
        <f>E106-E108</f>
        <v>-1279677.6664075479</v>
      </c>
      <c r="F109" s="106">
        <f>F106-F108</f>
        <v>-55985.897905331105</v>
      </c>
      <c r="G109" s="106">
        <f t="shared" ref="G109:AR109" si="56">G106-G108</f>
        <v>467882.14678025991</v>
      </c>
      <c r="H109" s="106">
        <f t="shared" si="56"/>
        <v>27992.948952665552</v>
      </c>
      <c r="I109" s="106">
        <f t="shared" si="56"/>
        <v>-19994.963537618518</v>
      </c>
      <c r="J109" s="106">
        <f t="shared" si="56"/>
        <v>199949.63537617959</v>
      </c>
      <c r="K109" s="106">
        <f t="shared" si="56"/>
        <v>519869.05197806656</v>
      </c>
      <c r="L109" s="106">
        <f t="shared" si="56"/>
        <v>159959.70830094256</v>
      </c>
      <c r="M109" s="106">
        <f t="shared" si="56"/>
        <v>-67982.876027902588</v>
      </c>
      <c r="N109" s="106">
        <f t="shared" si="56"/>
        <v>248577.38669967093</v>
      </c>
      <c r="O109" s="106">
        <f t="shared" si="56"/>
        <v>253548.93443365581</v>
      </c>
      <c r="P109" s="106">
        <f t="shared" si="56"/>
        <v>258619.91312233359</v>
      </c>
      <c r="Q109" s="106">
        <f t="shared" si="56"/>
        <v>263792.31138478033</v>
      </c>
      <c r="R109" s="106">
        <f t="shared" si="56"/>
        <v>269068.15761247091</v>
      </c>
      <c r="S109" s="106">
        <f t="shared" si="56"/>
        <v>274449.52076472901</v>
      </c>
      <c r="T109" s="106">
        <f t="shared" si="56"/>
        <v>279938.51118001901</v>
      </c>
      <c r="U109" s="106">
        <f t="shared" si="56"/>
        <v>285537.28140361607</v>
      </c>
      <c r="V109" s="106">
        <f t="shared" si="56"/>
        <v>291248.02703168988</v>
      </c>
      <c r="W109" s="106">
        <f t="shared" si="56"/>
        <v>297072.98757232726</v>
      </c>
      <c r="X109" s="106">
        <f t="shared" si="56"/>
        <v>303014.44732376933</v>
      </c>
      <c r="Y109" s="106">
        <f t="shared" si="56"/>
        <v>309074.73627024889</v>
      </c>
      <c r="Z109" s="106">
        <f t="shared" si="56"/>
        <v>315256.2309956532</v>
      </c>
      <c r="AA109" s="106">
        <f t="shared" si="56"/>
        <v>321561.35561556555</v>
      </c>
      <c r="AB109" s="106">
        <f t="shared" si="56"/>
        <v>327992.58272787742</v>
      </c>
      <c r="AC109" s="106">
        <f t="shared" si="56"/>
        <v>334552.4343824368</v>
      </c>
      <c r="AD109" s="106">
        <f t="shared" si="56"/>
        <v>341243.48307007924</v>
      </c>
      <c r="AE109" s="106">
        <f t="shared" si="56"/>
        <v>348068.35273148492</v>
      </c>
      <c r="AF109" s="106">
        <f t="shared" si="56"/>
        <v>355029.71978611872</v>
      </c>
      <c r="AG109" s="106">
        <f t="shared" si="56"/>
        <v>362130.31418183446</v>
      </c>
      <c r="AH109" s="106">
        <f t="shared" si="56"/>
        <v>369372.92046547309</v>
      </c>
      <c r="AI109" s="106">
        <f t="shared" si="56"/>
        <v>376760.3788747862</v>
      </c>
      <c r="AJ109" s="106">
        <f t="shared" si="56"/>
        <v>384295.58645227924</v>
      </c>
      <c r="AK109" s="106">
        <f t="shared" si="56"/>
        <v>391981.49818132445</v>
      </c>
      <c r="AL109" s="106">
        <f t="shared" si="56"/>
        <v>399821.1281449534</v>
      </c>
      <c r="AM109" s="106">
        <f t="shared" si="56"/>
        <v>407817.55070785061</v>
      </c>
      <c r="AN109" s="106">
        <f t="shared" si="56"/>
        <v>415973.90172200277</v>
      </c>
      <c r="AO109" s="106">
        <f t="shared" si="56"/>
        <v>424293.37975645065</v>
      </c>
      <c r="AP109" s="106">
        <f t="shared" si="56"/>
        <v>432779.24735157192</v>
      </c>
      <c r="AQ109" s="106">
        <f t="shared" si="56"/>
        <v>441434.83229861036</v>
      </c>
      <c r="AR109" s="106">
        <f t="shared" si="56"/>
        <v>-22513176.447228964</v>
      </c>
    </row>
    <row r="112" spans="3:44" x14ac:dyDescent="0.35">
      <c r="C112" t="s">
        <v>99</v>
      </c>
    </row>
    <row r="113" spans="3:5" x14ac:dyDescent="0.35">
      <c r="C113" t="s">
        <v>134</v>
      </c>
      <c r="D113">
        <v>1.6400000000000001E-2</v>
      </c>
    </row>
    <row r="114" spans="3:5" x14ac:dyDescent="0.35">
      <c r="C114" t="s">
        <v>135</v>
      </c>
      <c r="D114">
        <v>6.6400000000000001E-2</v>
      </c>
    </row>
    <row r="115" spans="3:5" x14ac:dyDescent="0.35">
      <c r="C115" t="s">
        <v>136</v>
      </c>
      <c r="D115">
        <v>0.05</v>
      </c>
    </row>
    <row r="116" spans="3:5" x14ac:dyDescent="0.35">
      <c r="C116" t="s">
        <v>101</v>
      </c>
      <c r="D116">
        <v>0.63</v>
      </c>
    </row>
    <row r="118" spans="3:5" x14ac:dyDescent="0.35">
      <c r="C118" t="s">
        <v>133</v>
      </c>
    </row>
    <row r="120" spans="3:5" x14ac:dyDescent="0.35">
      <c r="C120" t="s">
        <v>107</v>
      </c>
      <c r="D120">
        <f>(rf*(1-selskatt))+(((rm-(rf*(1-selskatt)))*beta))</f>
        <v>5.5836339999999998E-2</v>
      </c>
    </row>
    <row r="122" spans="3:5" x14ac:dyDescent="0.35">
      <c r="C122" t="s">
        <v>102</v>
      </c>
    </row>
    <row r="123" spans="3:5" x14ac:dyDescent="0.35">
      <c r="C123" t="s">
        <v>103</v>
      </c>
      <c r="D123">
        <v>0.3</v>
      </c>
    </row>
    <row r="124" spans="3:5" x14ac:dyDescent="0.35">
      <c r="C124" t="s">
        <v>104</v>
      </c>
      <c r="D124">
        <v>0.7</v>
      </c>
    </row>
    <row r="125" spans="3:5" x14ac:dyDescent="0.35">
      <c r="C125" t="s">
        <v>105</v>
      </c>
      <c r="D125">
        <f>lånerente</f>
        <v>0.03</v>
      </c>
    </row>
    <row r="127" spans="3:5" x14ac:dyDescent="0.35">
      <c r="C127" t="s">
        <v>108</v>
      </c>
    </row>
    <row r="128" spans="3:5" x14ac:dyDescent="0.35">
      <c r="C128" t="s">
        <v>109</v>
      </c>
      <c r="D128">
        <f>0.03*0.77</f>
        <v>2.3099999999999999E-2</v>
      </c>
      <c r="E128">
        <f>D128*0.7/0.3</f>
        <v>5.389999999999999E-2</v>
      </c>
    </row>
    <row r="129" spans="3:44" x14ac:dyDescent="0.35">
      <c r="C129" t="s">
        <v>110</v>
      </c>
      <c r="D129">
        <f>E129-E128</f>
        <v>0.10110000000000001</v>
      </c>
      <c r="E129">
        <f>0.0465/0.3</f>
        <v>0.155</v>
      </c>
    </row>
    <row r="131" spans="3:44" x14ac:dyDescent="0.35">
      <c r="C131" t="s">
        <v>111</v>
      </c>
      <c r="D131">
        <f>D129</f>
        <v>0.10110000000000001</v>
      </c>
    </row>
    <row r="134" spans="3:44" x14ac:dyDescent="0.35">
      <c r="C134" t="s">
        <v>55</v>
      </c>
      <c r="D134">
        <v>0</v>
      </c>
      <c r="E134">
        <v>1</v>
      </c>
      <c r="F134">
        <v>2</v>
      </c>
      <c r="G134">
        <v>3</v>
      </c>
      <c r="H134">
        <v>4</v>
      </c>
      <c r="I134">
        <v>5</v>
      </c>
      <c r="J134">
        <v>6</v>
      </c>
      <c r="K134">
        <v>7</v>
      </c>
      <c r="L134">
        <v>8</v>
      </c>
      <c r="M134">
        <v>9</v>
      </c>
      <c r="N134">
        <v>10</v>
      </c>
      <c r="O134">
        <v>11</v>
      </c>
      <c r="P134">
        <v>12</v>
      </c>
      <c r="Q134">
        <v>13</v>
      </c>
      <c r="R134">
        <v>14</v>
      </c>
      <c r="S134">
        <v>15</v>
      </c>
      <c r="T134">
        <v>16</v>
      </c>
      <c r="U134">
        <v>17</v>
      </c>
      <c r="V134">
        <v>18</v>
      </c>
      <c r="W134">
        <v>19</v>
      </c>
      <c r="X134">
        <v>20</v>
      </c>
      <c r="Y134">
        <v>21</v>
      </c>
      <c r="Z134">
        <v>22</v>
      </c>
      <c r="AA134">
        <v>23</v>
      </c>
      <c r="AB134">
        <v>24</v>
      </c>
      <c r="AC134">
        <v>25</v>
      </c>
      <c r="AD134">
        <v>26</v>
      </c>
      <c r="AE134">
        <v>27</v>
      </c>
      <c r="AF134">
        <v>28</v>
      </c>
      <c r="AG134">
        <v>29</v>
      </c>
      <c r="AH134">
        <v>30</v>
      </c>
      <c r="AI134">
        <v>31</v>
      </c>
      <c r="AJ134">
        <v>32</v>
      </c>
      <c r="AK134">
        <v>33</v>
      </c>
      <c r="AL134">
        <v>34</v>
      </c>
      <c r="AM134">
        <v>35</v>
      </c>
      <c r="AN134">
        <v>36</v>
      </c>
      <c r="AO134">
        <v>37</v>
      </c>
      <c r="AP134">
        <v>38</v>
      </c>
      <c r="AQ134">
        <v>39</v>
      </c>
      <c r="AR134">
        <v>40</v>
      </c>
    </row>
    <row r="135" spans="3:44" x14ac:dyDescent="0.35">
      <c r="C135" t="s">
        <v>118</v>
      </c>
      <c r="E135">
        <f>inv*-1</f>
        <v>45000000</v>
      </c>
      <c r="F135">
        <f>E135-E136</f>
        <v>43875000</v>
      </c>
      <c r="G135">
        <f>F135-F136</f>
        <v>42750000</v>
      </c>
      <c r="H135">
        <f>G135-G136</f>
        <v>41625000</v>
      </c>
      <c r="I135">
        <f t="shared" ref="I135:AR135" si="57">H135-H136</f>
        <v>40500000</v>
      </c>
      <c r="J135">
        <f t="shared" si="57"/>
        <v>39375000</v>
      </c>
      <c r="K135">
        <f t="shared" si="57"/>
        <v>38250000</v>
      </c>
      <c r="L135">
        <f t="shared" si="57"/>
        <v>37125000</v>
      </c>
      <c r="M135">
        <f t="shared" si="57"/>
        <v>36000000</v>
      </c>
      <c r="N135">
        <f t="shared" si="57"/>
        <v>34875000</v>
      </c>
      <c r="O135">
        <f t="shared" si="57"/>
        <v>33750000</v>
      </c>
      <c r="P135">
        <f t="shared" si="57"/>
        <v>32625000</v>
      </c>
      <c r="Q135">
        <f t="shared" si="57"/>
        <v>31500000</v>
      </c>
      <c r="R135">
        <f t="shared" si="57"/>
        <v>30375000</v>
      </c>
      <c r="S135">
        <f t="shared" si="57"/>
        <v>29250000</v>
      </c>
      <c r="T135">
        <f t="shared" si="57"/>
        <v>28125000</v>
      </c>
      <c r="U135">
        <f t="shared" si="57"/>
        <v>27000000</v>
      </c>
      <c r="V135">
        <f t="shared" si="57"/>
        <v>25875000</v>
      </c>
      <c r="W135">
        <f t="shared" si="57"/>
        <v>24750000</v>
      </c>
      <c r="X135">
        <f t="shared" si="57"/>
        <v>23625000</v>
      </c>
      <c r="Y135">
        <f t="shared" si="57"/>
        <v>22500000</v>
      </c>
      <c r="Z135">
        <f t="shared" si="57"/>
        <v>21375000</v>
      </c>
      <c r="AA135">
        <f t="shared" si="57"/>
        <v>20250000</v>
      </c>
      <c r="AB135">
        <f t="shared" si="57"/>
        <v>19125000</v>
      </c>
      <c r="AC135">
        <f t="shared" si="57"/>
        <v>18000000</v>
      </c>
      <c r="AD135">
        <f t="shared" si="57"/>
        <v>16875000</v>
      </c>
      <c r="AE135">
        <f t="shared" si="57"/>
        <v>15750000</v>
      </c>
      <c r="AF135">
        <f t="shared" si="57"/>
        <v>14625000</v>
      </c>
      <c r="AG135">
        <f t="shared" si="57"/>
        <v>13500000</v>
      </c>
      <c r="AH135">
        <f t="shared" si="57"/>
        <v>12375000</v>
      </c>
      <c r="AI135">
        <f t="shared" si="57"/>
        <v>11250000</v>
      </c>
      <c r="AJ135">
        <f t="shared" si="57"/>
        <v>10125000</v>
      </c>
      <c r="AK135">
        <f t="shared" si="57"/>
        <v>9000000</v>
      </c>
      <c r="AL135">
        <f t="shared" si="57"/>
        <v>7875000</v>
      </c>
      <c r="AM135">
        <f t="shared" si="57"/>
        <v>6750000</v>
      </c>
      <c r="AN135">
        <f t="shared" si="57"/>
        <v>5625000</v>
      </c>
      <c r="AO135">
        <f t="shared" si="57"/>
        <v>4500000</v>
      </c>
      <c r="AP135">
        <f t="shared" si="57"/>
        <v>3375000</v>
      </c>
      <c r="AQ135">
        <f t="shared" si="57"/>
        <v>2250000</v>
      </c>
      <c r="AR135">
        <f t="shared" si="57"/>
        <v>1125000</v>
      </c>
    </row>
    <row r="136" spans="3:44" x14ac:dyDescent="0.35">
      <c r="C136" t="s">
        <v>10</v>
      </c>
      <c r="E136">
        <f>$C$141</f>
        <v>1125000</v>
      </c>
      <c r="F136">
        <f t="shared" ref="F136:AR136" si="58">$C$141</f>
        <v>1125000</v>
      </c>
      <c r="G136">
        <f t="shared" si="58"/>
        <v>1125000</v>
      </c>
      <c r="H136">
        <f t="shared" si="58"/>
        <v>1125000</v>
      </c>
      <c r="I136">
        <f t="shared" si="58"/>
        <v>1125000</v>
      </c>
      <c r="J136">
        <f t="shared" si="58"/>
        <v>1125000</v>
      </c>
      <c r="K136">
        <f t="shared" si="58"/>
        <v>1125000</v>
      </c>
      <c r="L136">
        <f t="shared" si="58"/>
        <v>1125000</v>
      </c>
      <c r="M136">
        <f t="shared" si="58"/>
        <v>1125000</v>
      </c>
      <c r="N136">
        <f t="shared" si="58"/>
        <v>1125000</v>
      </c>
      <c r="O136">
        <f t="shared" si="58"/>
        <v>1125000</v>
      </c>
      <c r="P136">
        <f t="shared" si="58"/>
        <v>1125000</v>
      </c>
      <c r="Q136">
        <f t="shared" si="58"/>
        <v>1125000</v>
      </c>
      <c r="R136">
        <f t="shared" si="58"/>
        <v>1125000</v>
      </c>
      <c r="S136">
        <f t="shared" si="58"/>
        <v>1125000</v>
      </c>
      <c r="T136">
        <f t="shared" si="58"/>
        <v>1125000</v>
      </c>
      <c r="U136">
        <f t="shared" si="58"/>
        <v>1125000</v>
      </c>
      <c r="V136">
        <f t="shared" si="58"/>
        <v>1125000</v>
      </c>
      <c r="W136">
        <f t="shared" si="58"/>
        <v>1125000</v>
      </c>
      <c r="X136">
        <f t="shared" si="58"/>
        <v>1125000</v>
      </c>
      <c r="Y136">
        <f t="shared" si="58"/>
        <v>1125000</v>
      </c>
      <c r="Z136">
        <f t="shared" si="58"/>
        <v>1125000</v>
      </c>
      <c r="AA136">
        <f t="shared" si="58"/>
        <v>1125000</v>
      </c>
      <c r="AB136">
        <f t="shared" si="58"/>
        <v>1125000</v>
      </c>
      <c r="AC136">
        <f t="shared" si="58"/>
        <v>1125000</v>
      </c>
      <c r="AD136">
        <f t="shared" si="58"/>
        <v>1125000</v>
      </c>
      <c r="AE136">
        <f t="shared" si="58"/>
        <v>1125000</v>
      </c>
      <c r="AF136">
        <f t="shared" si="58"/>
        <v>1125000</v>
      </c>
      <c r="AG136">
        <f t="shared" si="58"/>
        <v>1125000</v>
      </c>
      <c r="AH136">
        <f t="shared" si="58"/>
        <v>1125000</v>
      </c>
      <c r="AI136">
        <f t="shared" si="58"/>
        <v>1125000</v>
      </c>
      <c r="AJ136">
        <f t="shared" si="58"/>
        <v>1125000</v>
      </c>
      <c r="AK136">
        <f t="shared" si="58"/>
        <v>1125000</v>
      </c>
      <c r="AL136">
        <f t="shared" si="58"/>
        <v>1125000</v>
      </c>
      <c r="AM136">
        <f t="shared" si="58"/>
        <v>1125000</v>
      </c>
      <c r="AN136">
        <f t="shared" si="58"/>
        <v>1125000</v>
      </c>
      <c r="AO136">
        <f t="shared" si="58"/>
        <v>1125000</v>
      </c>
      <c r="AP136">
        <f t="shared" si="58"/>
        <v>1125000</v>
      </c>
      <c r="AQ136">
        <f t="shared" si="58"/>
        <v>1125000</v>
      </c>
      <c r="AR136">
        <f t="shared" si="58"/>
        <v>1125000</v>
      </c>
    </row>
    <row r="137" spans="3:44" x14ac:dyDescent="0.35">
      <c r="C137" t="s">
        <v>119</v>
      </c>
      <c r="E137">
        <f>E135-E136</f>
        <v>43875000</v>
      </c>
      <c r="F137">
        <f>F135-F136</f>
        <v>42750000</v>
      </c>
      <c r="G137">
        <f t="shared" ref="G137:AR137" si="59">G135-G136</f>
        <v>41625000</v>
      </c>
      <c r="H137">
        <f t="shared" si="59"/>
        <v>40500000</v>
      </c>
      <c r="I137">
        <f t="shared" si="59"/>
        <v>39375000</v>
      </c>
      <c r="J137">
        <f t="shared" si="59"/>
        <v>38250000</v>
      </c>
      <c r="K137">
        <f t="shared" si="59"/>
        <v>37125000</v>
      </c>
      <c r="L137">
        <f t="shared" si="59"/>
        <v>36000000</v>
      </c>
      <c r="M137">
        <f t="shared" si="59"/>
        <v>34875000</v>
      </c>
      <c r="N137">
        <f t="shared" si="59"/>
        <v>33750000</v>
      </c>
      <c r="O137">
        <f t="shared" si="59"/>
        <v>32625000</v>
      </c>
      <c r="P137">
        <f t="shared" si="59"/>
        <v>31500000</v>
      </c>
      <c r="Q137">
        <f t="shared" si="59"/>
        <v>30375000</v>
      </c>
      <c r="R137">
        <f t="shared" si="59"/>
        <v>29250000</v>
      </c>
      <c r="S137">
        <f t="shared" si="59"/>
        <v>28125000</v>
      </c>
      <c r="T137">
        <f t="shared" si="59"/>
        <v>27000000</v>
      </c>
      <c r="U137">
        <f t="shared" si="59"/>
        <v>25875000</v>
      </c>
      <c r="V137">
        <f t="shared" si="59"/>
        <v>24750000</v>
      </c>
      <c r="W137">
        <f t="shared" si="59"/>
        <v>23625000</v>
      </c>
      <c r="X137">
        <f t="shared" si="59"/>
        <v>22500000</v>
      </c>
      <c r="Y137">
        <f t="shared" si="59"/>
        <v>21375000</v>
      </c>
      <c r="Z137">
        <f t="shared" si="59"/>
        <v>20250000</v>
      </c>
      <c r="AA137">
        <f t="shared" si="59"/>
        <v>19125000</v>
      </c>
      <c r="AB137">
        <f t="shared" si="59"/>
        <v>18000000</v>
      </c>
      <c r="AC137">
        <f t="shared" si="59"/>
        <v>16875000</v>
      </c>
      <c r="AD137">
        <f t="shared" si="59"/>
        <v>15750000</v>
      </c>
      <c r="AE137">
        <f t="shared" si="59"/>
        <v>14625000</v>
      </c>
      <c r="AF137">
        <f t="shared" si="59"/>
        <v>13500000</v>
      </c>
      <c r="AG137">
        <f t="shared" si="59"/>
        <v>12375000</v>
      </c>
      <c r="AH137">
        <f t="shared" si="59"/>
        <v>11250000</v>
      </c>
      <c r="AI137">
        <f t="shared" si="59"/>
        <v>10125000</v>
      </c>
      <c r="AJ137">
        <f t="shared" si="59"/>
        <v>9000000</v>
      </c>
      <c r="AK137">
        <f t="shared" si="59"/>
        <v>7875000</v>
      </c>
      <c r="AL137">
        <f t="shared" si="59"/>
        <v>6750000</v>
      </c>
      <c r="AM137">
        <f t="shared" si="59"/>
        <v>5625000</v>
      </c>
      <c r="AN137">
        <f t="shared" si="59"/>
        <v>4500000</v>
      </c>
      <c r="AO137">
        <f t="shared" si="59"/>
        <v>3375000</v>
      </c>
      <c r="AP137">
        <f t="shared" si="59"/>
        <v>2250000</v>
      </c>
      <c r="AQ137">
        <f t="shared" si="59"/>
        <v>1125000</v>
      </c>
      <c r="AR137">
        <f t="shared" si="59"/>
        <v>0</v>
      </c>
    </row>
    <row r="138" spans="3:44" x14ac:dyDescent="0.35">
      <c r="C138" s="106" t="s">
        <v>55</v>
      </c>
      <c r="D138" s="106"/>
      <c r="E138" s="106">
        <f t="shared" ref="E138:AR138" si="60">((E135+E137)/2)*eiendomssats</f>
        <v>311062.5</v>
      </c>
      <c r="F138" s="106">
        <f t="shared" si="60"/>
        <v>303187.5</v>
      </c>
      <c r="G138" s="106">
        <f t="shared" si="60"/>
        <v>295312.5</v>
      </c>
      <c r="H138" s="106">
        <f t="shared" si="60"/>
        <v>287437.5</v>
      </c>
      <c r="I138" s="106">
        <f t="shared" si="60"/>
        <v>279562.5</v>
      </c>
      <c r="J138" s="106">
        <f t="shared" si="60"/>
        <v>271687.5</v>
      </c>
      <c r="K138" s="106">
        <f t="shared" si="60"/>
        <v>263812.5</v>
      </c>
      <c r="L138" s="106">
        <f t="shared" si="60"/>
        <v>255937.5</v>
      </c>
      <c r="M138" s="106">
        <f t="shared" si="60"/>
        <v>248062.5</v>
      </c>
      <c r="N138" s="106">
        <f t="shared" si="60"/>
        <v>240187.5</v>
      </c>
      <c r="O138" s="106">
        <f t="shared" si="60"/>
        <v>232312.5</v>
      </c>
      <c r="P138" s="106">
        <f t="shared" si="60"/>
        <v>224437.5</v>
      </c>
      <c r="Q138" s="106">
        <f t="shared" si="60"/>
        <v>216562.5</v>
      </c>
      <c r="R138" s="106">
        <f t="shared" si="60"/>
        <v>208687.5</v>
      </c>
      <c r="S138" s="106">
        <f t="shared" si="60"/>
        <v>200812.5</v>
      </c>
      <c r="T138" s="106">
        <f t="shared" si="60"/>
        <v>192937.5</v>
      </c>
      <c r="U138" s="106">
        <f t="shared" si="60"/>
        <v>185062.5</v>
      </c>
      <c r="V138" s="106">
        <f t="shared" si="60"/>
        <v>177187.5</v>
      </c>
      <c r="W138" s="106">
        <f t="shared" si="60"/>
        <v>169312.5</v>
      </c>
      <c r="X138" s="106">
        <f t="shared" si="60"/>
        <v>161437.5</v>
      </c>
      <c r="Y138" s="106">
        <f t="shared" si="60"/>
        <v>153562.5</v>
      </c>
      <c r="Z138" s="106">
        <f t="shared" si="60"/>
        <v>145687.5</v>
      </c>
      <c r="AA138" s="106">
        <f t="shared" si="60"/>
        <v>137812.5</v>
      </c>
      <c r="AB138" s="106">
        <f t="shared" si="60"/>
        <v>129937.5</v>
      </c>
      <c r="AC138" s="106">
        <f t="shared" si="60"/>
        <v>122062.5</v>
      </c>
      <c r="AD138" s="106">
        <f t="shared" si="60"/>
        <v>114187.5</v>
      </c>
      <c r="AE138" s="106">
        <f t="shared" si="60"/>
        <v>106312.5</v>
      </c>
      <c r="AF138" s="106">
        <f t="shared" si="60"/>
        <v>98437.5</v>
      </c>
      <c r="AG138" s="106">
        <f t="shared" si="60"/>
        <v>90562.5</v>
      </c>
      <c r="AH138" s="106">
        <f t="shared" si="60"/>
        <v>82687.5</v>
      </c>
      <c r="AI138" s="106">
        <f t="shared" si="60"/>
        <v>74812.5</v>
      </c>
      <c r="AJ138" s="106">
        <f t="shared" si="60"/>
        <v>66937.5</v>
      </c>
      <c r="AK138" s="106">
        <f t="shared" si="60"/>
        <v>59062.5</v>
      </c>
      <c r="AL138" s="106">
        <f t="shared" si="60"/>
        <v>51187.5</v>
      </c>
      <c r="AM138" s="106">
        <f t="shared" si="60"/>
        <v>43312.5</v>
      </c>
      <c r="AN138" s="106">
        <f t="shared" si="60"/>
        <v>35437.5</v>
      </c>
      <c r="AO138" s="106">
        <f t="shared" si="60"/>
        <v>27562.5</v>
      </c>
      <c r="AP138" s="106">
        <f t="shared" si="60"/>
        <v>19687.5</v>
      </c>
      <c r="AQ138" s="106">
        <f t="shared" si="60"/>
        <v>11812.5</v>
      </c>
      <c r="AR138" s="106">
        <f t="shared" si="60"/>
        <v>3937.5</v>
      </c>
    </row>
    <row r="139" spans="3:44" x14ac:dyDescent="0.35">
      <c r="C139" t="s">
        <v>120</v>
      </c>
    </row>
    <row r="141" spans="3:44" x14ac:dyDescent="0.35">
      <c r="C141">
        <f>E135/lt</f>
        <v>1125000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4D8B-CF98-49AD-B40D-1CAB1FA23983}">
  <dimension ref="C2:BC140"/>
  <sheetViews>
    <sheetView zoomScale="67" workbookViewId="0">
      <selection activeCell="G23" sqref="G17:G23"/>
    </sheetView>
  </sheetViews>
  <sheetFormatPr defaultRowHeight="14.5" x14ac:dyDescent="0.35"/>
  <cols>
    <col min="3" max="3" width="53.1796875" bestFit="1" customWidth="1"/>
    <col min="4" max="6" width="13.90625" bestFit="1" customWidth="1"/>
    <col min="7" max="7" width="24.6328125" bestFit="1" customWidth="1"/>
    <col min="8" max="9" width="13.90625" bestFit="1" customWidth="1"/>
    <col min="10" max="10" width="18.6328125" bestFit="1" customWidth="1"/>
    <col min="11" max="54" width="13.90625" bestFit="1" customWidth="1"/>
    <col min="55" max="55" width="11.7265625" bestFit="1" customWidth="1"/>
  </cols>
  <sheetData>
    <row r="2" spans="3:15" x14ac:dyDescent="0.35">
      <c r="E2" t="s">
        <v>35</v>
      </c>
      <c r="F2" t="s">
        <v>36</v>
      </c>
      <c r="G2" t="s">
        <v>37</v>
      </c>
      <c r="J2" t="s">
        <v>125</v>
      </c>
      <c r="K2" t="s">
        <v>50</v>
      </c>
      <c r="L2" t="s">
        <v>123</v>
      </c>
      <c r="M2" t="s">
        <v>51</v>
      </c>
      <c r="N2" t="s">
        <v>124</v>
      </c>
      <c r="O2" t="s">
        <v>126</v>
      </c>
    </row>
    <row r="3" spans="3:15" x14ac:dyDescent="0.35">
      <c r="C3" t="s">
        <v>1</v>
      </c>
      <c r="D3" s="119">
        <v>79</v>
      </c>
      <c r="E3" s="118">
        <v>103</v>
      </c>
      <c r="F3" s="118">
        <v>104</v>
      </c>
      <c r="G3" s="118">
        <v>79</v>
      </c>
      <c r="I3" t="s">
        <v>35</v>
      </c>
      <c r="J3">
        <v>103</v>
      </c>
      <c r="K3">
        <v>47.6</v>
      </c>
      <c r="L3">
        <f>K3/J3</f>
        <v>0.46213592233009709</v>
      </c>
      <c r="M3">
        <v>19.600000000000001</v>
      </c>
      <c r="N3">
        <f>M3/J3</f>
        <v>0.19029126213592235</v>
      </c>
      <c r="O3">
        <f>N3+L3</f>
        <v>0.65242718446601944</v>
      </c>
    </row>
    <row r="4" spans="3:15" x14ac:dyDescent="0.35">
      <c r="C4" t="s">
        <v>40</v>
      </c>
      <c r="D4">
        <v>0.02</v>
      </c>
      <c r="E4">
        <f>E3*1.1</f>
        <v>113.30000000000001</v>
      </c>
      <c r="I4" t="s">
        <v>36</v>
      </c>
      <c r="J4">
        <v>104</v>
      </c>
      <c r="K4">
        <v>36.5</v>
      </c>
      <c r="L4">
        <f>K4/J4</f>
        <v>0.35096153846153844</v>
      </c>
      <c r="M4">
        <v>15.1</v>
      </c>
      <c r="N4">
        <f>M4/J4</f>
        <v>0.14519230769230768</v>
      </c>
      <c r="O4">
        <f>N4+L4</f>
        <v>0.49615384615384611</v>
      </c>
    </row>
    <row r="5" spans="3:15" x14ac:dyDescent="0.35">
      <c r="C5" t="s">
        <v>12</v>
      </c>
      <c r="D5">
        <v>6.6</v>
      </c>
      <c r="E5">
        <f>E3*0.9</f>
        <v>92.7</v>
      </c>
      <c r="I5" t="s">
        <v>37</v>
      </c>
      <c r="J5">
        <v>79</v>
      </c>
      <c r="K5">
        <v>23.4</v>
      </c>
      <c r="L5">
        <f>K5/J5</f>
        <v>0.29620253164556959</v>
      </c>
      <c r="M5">
        <v>10.7</v>
      </c>
      <c r="N5">
        <f>M5/J5</f>
        <v>0.13544303797468354</v>
      </c>
      <c r="O5">
        <f>N5+L5</f>
        <v>0.43164556962025313</v>
      </c>
    </row>
    <row r="7" spans="3:15" x14ac:dyDescent="0.35">
      <c r="C7" t="s">
        <v>14</v>
      </c>
      <c r="D7">
        <v>13</v>
      </c>
    </row>
    <row r="8" spans="3:15" x14ac:dyDescent="0.35">
      <c r="C8" t="s">
        <v>47</v>
      </c>
      <c r="D8">
        <v>106600</v>
      </c>
    </row>
    <row r="9" spans="3:15" x14ac:dyDescent="0.35">
      <c r="C9" t="s">
        <v>50</v>
      </c>
      <c r="D9" s="119">
        <f>G9</f>
        <v>23.4</v>
      </c>
      <c r="E9" s="118">
        <v>47.6</v>
      </c>
      <c r="F9" s="118">
        <v>36.5</v>
      </c>
      <c r="G9" s="118">
        <v>23.4</v>
      </c>
    </row>
    <row r="10" spans="3:15" x14ac:dyDescent="0.35">
      <c r="C10" t="s">
        <v>48</v>
      </c>
      <c r="D10">
        <v>115400</v>
      </c>
    </row>
    <row r="11" spans="3:15" x14ac:dyDescent="0.35">
      <c r="C11" t="s">
        <v>51</v>
      </c>
      <c r="D11" s="119">
        <f>G11</f>
        <v>10.7</v>
      </c>
      <c r="E11" s="118">
        <v>19.600000000000001</v>
      </c>
      <c r="F11" s="118">
        <v>15.1</v>
      </c>
      <c r="G11" s="118">
        <v>10.7</v>
      </c>
    </row>
    <row r="13" spans="3:15" x14ac:dyDescent="0.35">
      <c r="C13" t="s">
        <v>5</v>
      </c>
      <c r="D13" s="119">
        <f>G13</f>
        <v>-45000000</v>
      </c>
      <c r="E13" s="118">
        <v>-125000000</v>
      </c>
      <c r="F13" s="118">
        <v>-86000000</v>
      </c>
      <c r="G13" s="118">
        <v>-45000000</v>
      </c>
    </row>
    <row r="14" spans="3:15" x14ac:dyDescent="0.35">
      <c r="C14" t="s">
        <v>56</v>
      </c>
      <c r="D14">
        <v>9</v>
      </c>
    </row>
    <row r="15" spans="3:15" x14ac:dyDescent="0.35">
      <c r="C15" t="s">
        <v>57</v>
      </c>
      <c r="D15" s="119">
        <f>G15</f>
        <v>1.01</v>
      </c>
      <c r="E15" s="118">
        <v>1.1599999999999999</v>
      </c>
      <c r="F15" s="118">
        <v>1.1100000000000001</v>
      </c>
      <c r="G15" s="118">
        <v>1.01</v>
      </c>
    </row>
    <row r="16" spans="3:15" x14ac:dyDescent="0.35">
      <c r="C16" t="s">
        <v>60</v>
      </c>
      <c r="D16" s="50">
        <v>0.23</v>
      </c>
    </row>
    <row r="17" spans="3:54" x14ac:dyDescent="0.35">
      <c r="C17" t="s">
        <v>132</v>
      </c>
      <c r="D17" s="50">
        <v>7.0000000000000001E-3</v>
      </c>
    </row>
    <row r="18" spans="3:54" x14ac:dyDescent="0.35">
      <c r="C18" t="s">
        <v>72</v>
      </c>
      <c r="D18" s="50">
        <v>1.4999999999999999E-2</v>
      </c>
    </row>
    <row r="19" spans="3:54" x14ac:dyDescent="0.35">
      <c r="C19" t="s">
        <v>73</v>
      </c>
      <c r="D19" s="50">
        <v>2.1999999999999999E-2</v>
      </c>
    </row>
    <row r="20" spans="3:54" x14ac:dyDescent="0.35">
      <c r="C20" t="s">
        <v>74</v>
      </c>
      <c r="D20" s="50">
        <f>IF(E20=1,1.3%,0)</f>
        <v>0</v>
      </c>
      <c r="E20">
        <v>0</v>
      </c>
    </row>
    <row r="21" spans="3:54" x14ac:dyDescent="0.35">
      <c r="C21" t="s">
        <v>80</v>
      </c>
      <c r="D21" s="50">
        <f>IF(E21=1,35.7%,0)</f>
        <v>0</v>
      </c>
      <c r="E21">
        <v>0</v>
      </c>
    </row>
    <row r="22" spans="3:54" x14ac:dyDescent="0.35">
      <c r="C22" t="s">
        <v>81</v>
      </c>
      <c r="D22" s="50">
        <v>4.4999999999999998E-2</v>
      </c>
    </row>
    <row r="23" spans="3:54" x14ac:dyDescent="0.35">
      <c r="C23" t="s">
        <v>83</v>
      </c>
      <c r="D23" s="50">
        <v>7.0000000000000001E-3</v>
      </c>
    </row>
    <row r="24" spans="3:54" x14ac:dyDescent="0.35">
      <c r="C24" t="s">
        <v>106</v>
      </c>
      <c r="D24" s="50">
        <v>0.03</v>
      </c>
    </row>
    <row r="25" spans="3:54" x14ac:dyDescent="0.35">
      <c r="C25" t="s">
        <v>112</v>
      </c>
      <c r="D25">
        <v>50</v>
      </c>
    </row>
    <row r="29" spans="3:54" x14ac:dyDescent="0.35">
      <c r="C29" t="s">
        <v>2</v>
      </c>
    </row>
    <row r="30" spans="3:54" x14ac:dyDescent="0.35">
      <c r="D30">
        <v>0</v>
      </c>
      <c r="E30">
        <v>1</v>
      </c>
      <c r="F30">
        <v>2</v>
      </c>
      <c r="G30">
        <v>3</v>
      </c>
      <c r="H30">
        <v>4</v>
      </c>
      <c r="I30">
        <v>5</v>
      </c>
      <c r="J30">
        <v>6</v>
      </c>
      <c r="K30">
        <v>7</v>
      </c>
      <c r="L30">
        <v>8</v>
      </c>
      <c r="M30">
        <v>9</v>
      </c>
      <c r="N30">
        <v>10</v>
      </c>
      <c r="O30">
        <v>11</v>
      </c>
      <c r="P30">
        <v>12</v>
      </c>
      <c r="Q30">
        <v>13</v>
      </c>
      <c r="R30">
        <v>14</v>
      </c>
      <c r="S30">
        <v>15</v>
      </c>
      <c r="T30">
        <v>16</v>
      </c>
      <c r="U30">
        <v>17</v>
      </c>
      <c r="V30">
        <v>18</v>
      </c>
      <c r="W30">
        <v>19</v>
      </c>
      <c r="X30">
        <v>20</v>
      </c>
      <c r="Y30">
        <v>21</v>
      </c>
      <c r="Z30">
        <v>22</v>
      </c>
      <c r="AA30">
        <v>23</v>
      </c>
      <c r="AB30">
        <v>24</v>
      </c>
      <c r="AC30">
        <v>25</v>
      </c>
      <c r="AD30">
        <v>26</v>
      </c>
      <c r="AE30">
        <v>27</v>
      </c>
      <c r="AF30">
        <v>28</v>
      </c>
      <c r="AG30">
        <v>29</v>
      </c>
      <c r="AH30">
        <v>30</v>
      </c>
      <c r="AI30">
        <v>31</v>
      </c>
      <c r="AJ30">
        <v>32</v>
      </c>
      <c r="AK30">
        <v>33</v>
      </c>
      <c r="AL30">
        <v>34</v>
      </c>
      <c r="AM30">
        <v>35</v>
      </c>
      <c r="AN30">
        <v>36</v>
      </c>
      <c r="AO30">
        <v>37</v>
      </c>
      <c r="AP30">
        <v>38</v>
      </c>
      <c r="AQ30">
        <v>39</v>
      </c>
      <c r="AR30">
        <v>40</v>
      </c>
      <c r="AS30">
        <v>41</v>
      </c>
      <c r="AT30">
        <v>42</v>
      </c>
      <c r="AU30">
        <v>43</v>
      </c>
      <c r="AV30">
        <v>44</v>
      </c>
      <c r="AW30">
        <v>45</v>
      </c>
      <c r="AX30">
        <v>46</v>
      </c>
      <c r="AY30">
        <v>47</v>
      </c>
      <c r="AZ30">
        <v>48</v>
      </c>
      <c r="BA30">
        <v>49</v>
      </c>
      <c r="BB30">
        <v>50</v>
      </c>
    </row>
    <row r="31" spans="3:54" x14ac:dyDescent="0.35">
      <c r="C31" t="s">
        <v>0</v>
      </c>
      <c r="D31" s="11"/>
      <c r="E31" s="11">
        <f>31.2*prpr</f>
        <v>31.512</v>
      </c>
      <c r="F31" s="11">
        <f>28*prpr</f>
        <v>28.28</v>
      </c>
      <c r="G31" s="11">
        <f>27.86*prpr</f>
        <v>28.1386</v>
      </c>
      <c r="H31" s="11">
        <f>29.03*prpr</f>
        <v>29.320300000000003</v>
      </c>
      <c r="I31" s="11">
        <f>29.1*prpr</f>
        <v>29.391000000000002</v>
      </c>
      <c r="J31" s="11">
        <f>29.05*prpr</f>
        <v>29.340500000000002</v>
      </c>
      <c r="K31" s="11">
        <f>29.55*prpr</f>
        <v>29.845500000000001</v>
      </c>
      <c r="L31" s="11">
        <f>30.85*prpr</f>
        <v>31.1585</v>
      </c>
      <c r="M31" s="11">
        <f>31.25*prpr</f>
        <v>31.5625</v>
      </c>
      <c r="N31" s="11">
        <f>31.08*prpr</f>
        <v>31.390799999999999</v>
      </c>
      <c r="O31" s="11">
        <f>N31*((1+infl))</f>
        <v>32.018616000000002</v>
      </c>
      <c r="P31" s="11">
        <f>O31*((1+infl))</f>
        <v>32.658988319999999</v>
      </c>
      <c r="Q31" s="11">
        <f t="shared" ref="Q31:BB31" si="0">P31*((1+infl))</f>
        <v>33.3121680864</v>
      </c>
      <c r="R31" s="11">
        <f t="shared" si="0"/>
        <v>33.978411448128</v>
      </c>
      <c r="S31" s="11">
        <f t="shared" si="0"/>
        <v>34.657979677090559</v>
      </c>
      <c r="T31" s="11">
        <f t="shared" si="0"/>
        <v>35.351139270632373</v>
      </c>
      <c r="U31" s="11">
        <f t="shared" si="0"/>
        <v>36.05816205604502</v>
      </c>
      <c r="V31" s="11">
        <f t="shared" si="0"/>
        <v>36.779325297165919</v>
      </c>
      <c r="W31" s="11">
        <f t="shared" si="0"/>
        <v>37.514911803109236</v>
      </c>
      <c r="X31" s="11">
        <f t="shared" si="0"/>
        <v>38.265210039171421</v>
      </c>
      <c r="Y31" s="11">
        <f t="shared" si="0"/>
        <v>39.030514239954847</v>
      </c>
      <c r="Z31" s="11">
        <f t="shared" si="0"/>
        <v>39.811124524753943</v>
      </c>
      <c r="AA31" s="11">
        <f t="shared" si="0"/>
        <v>40.607347015249026</v>
      </c>
      <c r="AB31" s="11">
        <f t="shared" si="0"/>
        <v>41.41949395555401</v>
      </c>
      <c r="AC31" s="11">
        <f t="shared" si="0"/>
        <v>42.247883834665089</v>
      </c>
      <c r="AD31" s="11">
        <f t="shared" si="0"/>
        <v>43.092841511358394</v>
      </c>
      <c r="AE31" s="11">
        <f t="shared" si="0"/>
        <v>43.954698341585562</v>
      </c>
      <c r="AF31" s="11">
        <f t="shared" si="0"/>
        <v>44.833792308417273</v>
      </c>
      <c r="AG31" s="11">
        <f t="shared" si="0"/>
        <v>45.730468154585623</v>
      </c>
      <c r="AH31" s="11">
        <f t="shared" si="0"/>
        <v>46.645077517677336</v>
      </c>
      <c r="AI31" s="11">
        <f t="shared" si="0"/>
        <v>47.577979068030885</v>
      </c>
      <c r="AJ31" s="11">
        <f t="shared" si="0"/>
        <v>48.529538649391505</v>
      </c>
      <c r="AK31" s="11">
        <f t="shared" si="0"/>
        <v>49.500129422379338</v>
      </c>
      <c r="AL31" s="11">
        <f t="shared" si="0"/>
        <v>50.490132010826926</v>
      </c>
      <c r="AM31" s="11">
        <f t="shared" si="0"/>
        <v>51.499934651043468</v>
      </c>
      <c r="AN31" s="11">
        <f t="shared" si="0"/>
        <v>52.529933344064339</v>
      </c>
      <c r="AO31" s="11">
        <f t="shared" si="0"/>
        <v>53.580532010945625</v>
      </c>
      <c r="AP31" s="11">
        <f t="shared" si="0"/>
        <v>54.652142651164539</v>
      </c>
      <c r="AQ31" s="11">
        <f t="shared" si="0"/>
        <v>55.74518550418783</v>
      </c>
      <c r="AR31" s="11">
        <f t="shared" si="0"/>
        <v>56.860089214271589</v>
      </c>
      <c r="AS31" s="11">
        <f t="shared" si="0"/>
        <v>57.99729099855702</v>
      </c>
      <c r="AT31" s="11">
        <f t="shared" si="0"/>
        <v>59.157236818528162</v>
      </c>
      <c r="AU31" s="11">
        <f t="shared" si="0"/>
        <v>60.340381554898727</v>
      </c>
      <c r="AV31" s="11">
        <f t="shared" si="0"/>
        <v>61.5471891859967</v>
      </c>
      <c r="AW31" s="11">
        <f t="shared" si="0"/>
        <v>62.778132969716637</v>
      </c>
      <c r="AX31" s="11">
        <f t="shared" si="0"/>
        <v>64.033695629110966</v>
      </c>
      <c r="AY31" s="11">
        <f t="shared" si="0"/>
        <v>65.314369541693182</v>
      </c>
      <c r="AZ31" s="11">
        <f t="shared" si="0"/>
        <v>66.620656932527041</v>
      </c>
      <c r="BA31" s="11">
        <f t="shared" si="0"/>
        <v>67.953070071177578</v>
      </c>
      <c r="BB31" s="11">
        <f t="shared" si="0"/>
        <v>69.312131472601138</v>
      </c>
    </row>
    <row r="32" spans="3:54" x14ac:dyDescent="0.35">
      <c r="C32" t="s">
        <v>58</v>
      </c>
      <c r="D32" s="11"/>
      <c r="E32" s="11">
        <f t="shared" ref="E32:AJ32" si="1">volumc*1000</f>
        <v>79000</v>
      </c>
      <c r="F32" s="11">
        <f t="shared" si="1"/>
        <v>79000</v>
      </c>
      <c r="G32" s="11">
        <f t="shared" si="1"/>
        <v>79000</v>
      </c>
      <c r="H32" s="11">
        <f t="shared" si="1"/>
        <v>79000</v>
      </c>
      <c r="I32" s="11">
        <f t="shared" si="1"/>
        <v>79000</v>
      </c>
      <c r="J32" s="11">
        <f t="shared" si="1"/>
        <v>79000</v>
      </c>
      <c r="K32" s="11">
        <f t="shared" si="1"/>
        <v>79000</v>
      </c>
      <c r="L32" s="11">
        <f t="shared" si="1"/>
        <v>79000</v>
      </c>
      <c r="M32" s="11">
        <f t="shared" si="1"/>
        <v>79000</v>
      </c>
      <c r="N32" s="11">
        <f t="shared" si="1"/>
        <v>79000</v>
      </c>
      <c r="O32" s="11">
        <f t="shared" si="1"/>
        <v>79000</v>
      </c>
      <c r="P32" s="11">
        <f t="shared" si="1"/>
        <v>79000</v>
      </c>
      <c r="Q32" s="11">
        <f t="shared" si="1"/>
        <v>79000</v>
      </c>
      <c r="R32" s="11">
        <f t="shared" si="1"/>
        <v>79000</v>
      </c>
      <c r="S32" s="11">
        <f t="shared" si="1"/>
        <v>79000</v>
      </c>
      <c r="T32" s="11">
        <f t="shared" si="1"/>
        <v>79000</v>
      </c>
      <c r="U32" s="11">
        <f t="shared" si="1"/>
        <v>79000</v>
      </c>
      <c r="V32" s="11">
        <f t="shared" si="1"/>
        <v>79000</v>
      </c>
      <c r="W32" s="11">
        <f t="shared" si="1"/>
        <v>79000</v>
      </c>
      <c r="X32" s="11">
        <f t="shared" si="1"/>
        <v>79000</v>
      </c>
      <c r="Y32" s="11">
        <f t="shared" si="1"/>
        <v>79000</v>
      </c>
      <c r="Z32" s="11">
        <f t="shared" si="1"/>
        <v>79000</v>
      </c>
      <c r="AA32" s="11">
        <f t="shared" si="1"/>
        <v>79000</v>
      </c>
      <c r="AB32" s="11">
        <f t="shared" si="1"/>
        <v>79000</v>
      </c>
      <c r="AC32" s="11">
        <f t="shared" si="1"/>
        <v>79000</v>
      </c>
      <c r="AD32" s="11">
        <f t="shared" si="1"/>
        <v>79000</v>
      </c>
      <c r="AE32" s="11">
        <f t="shared" si="1"/>
        <v>79000</v>
      </c>
      <c r="AF32" s="11">
        <f t="shared" si="1"/>
        <v>79000</v>
      </c>
      <c r="AG32" s="11">
        <f t="shared" si="1"/>
        <v>79000</v>
      </c>
      <c r="AH32" s="11">
        <f t="shared" si="1"/>
        <v>79000</v>
      </c>
      <c r="AI32" s="11">
        <f t="shared" si="1"/>
        <v>79000</v>
      </c>
      <c r="AJ32" s="11">
        <f t="shared" si="1"/>
        <v>79000</v>
      </c>
      <c r="AK32" s="11">
        <f t="shared" ref="AK32:BB32" si="2">volumc*1000</f>
        <v>79000</v>
      </c>
      <c r="AL32" s="11">
        <f t="shared" si="2"/>
        <v>79000</v>
      </c>
      <c r="AM32" s="11">
        <f t="shared" si="2"/>
        <v>79000</v>
      </c>
      <c r="AN32" s="11">
        <f t="shared" si="2"/>
        <v>79000</v>
      </c>
      <c r="AO32" s="11">
        <f t="shared" si="2"/>
        <v>79000</v>
      </c>
      <c r="AP32" s="11">
        <f t="shared" si="2"/>
        <v>79000</v>
      </c>
      <c r="AQ32" s="11">
        <f t="shared" si="2"/>
        <v>79000</v>
      </c>
      <c r="AR32" s="11">
        <f t="shared" si="2"/>
        <v>79000</v>
      </c>
      <c r="AS32" s="11">
        <f t="shared" si="2"/>
        <v>79000</v>
      </c>
      <c r="AT32" s="11">
        <f t="shared" si="2"/>
        <v>79000</v>
      </c>
      <c r="AU32" s="11">
        <f t="shared" si="2"/>
        <v>79000</v>
      </c>
      <c r="AV32" s="11">
        <f t="shared" si="2"/>
        <v>79000</v>
      </c>
      <c r="AW32" s="11">
        <f t="shared" si="2"/>
        <v>79000</v>
      </c>
      <c r="AX32" s="11">
        <f t="shared" si="2"/>
        <v>79000</v>
      </c>
      <c r="AY32" s="11">
        <f t="shared" si="2"/>
        <v>79000</v>
      </c>
      <c r="AZ32" s="11">
        <f t="shared" si="2"/>
        <v>79000</v>
      </c>
      <c r="BA32" s="11">
        <f t="shared" si="2"/>
        <v>79000</v>
      </c>
      <c r="BB32" s="11">
        <f t="shared" si="2"/>
        <v>79000</v>
      </c>
    </row>
    <row r="33" spans="3:55" x14ac:dyDescent="0.35">
      <c r="C33" t="s">
        <v>9</v>
      </c>
      <c r="D33" s="11"/>
      <c r="E33" s="11">
        <f t="shared" ref="E33:BB33" si="3">E31*E32*valuta</f>
        <v>22405032</v>
      </c>
      <c r="F33" s="11">
        <f t="shared" si="3"/>
        <v>20107080</v>
      </c>
      <c r="G33" s="11">
        <f t="shared" si="3"/>
        <v>20006544.599999998</v>
      </c>
      <c r="H33" s="11">
        <f t="shared" si="3"/>
        <v>20846733.300000001</v>
      </c>
      <c r="I33" s="11">
        <f t="shared" si="3"/>
        <v>20897001</v>
      </c>
      <c r="J33" s="11">
        <f t="shared" si="3"/>
        <v>20861095.5</v>
      </c>
      <c r="K33" s="11">
        <f t="shared" si="3"/>
        <v>21220150.5</v>
      </c>
      <c r="L33" s="11">
        <f t="shared" si="3"/>
        <v>22153693.5</v>
      </c>
      <c r="M33" s="11">
        <f t="shared" si="3"/>
        <v>22440937.5</v>
      </c>
      <c r="N33" s="11">
        <f t="shared" si="3"/>
        <v>22318858.799999997</v>
      </c>
      <c r="O33" s="11">
        <f t="shared" si="3"/>
        <v>22765235.976000004</v>
      </c>
      <c r="P33" s="11">
        <f t="shared" si="3"/>
        <v>23220540.695519999</v>
      </c>
      <c r="Q33" s="11">
        <f t="shared" si="3"/>
        <v>23684951.509430401</v>
      </c>
      <c r="R33" s="11">
        <f t="shared" si="3"/>
        <v>24158650.53961901</v>
      </c>
      <c r="S33" s="11">
        <f t="shared" si="3"/>
        <v>24641823.550411385</v>
      </c>
      <c r="T33" s="11">
        <f t="shared" si="3"/>
        <v>25134660.021419618</v>
      </c>
      <c r="U33" s="11">
        <f t="shared" si="3"/>
        <v>25637353.221848011</v>
      </c>
      <c r="V33" s="11">
        <f t="shared" si="3"/>
        <v>26150100.286284968</v>
      </c>
      <c r="W33" s="11">
        <f t="shared" si="3"/>
        <v>26673102.292010665</v>
      </c>
      <c r="X33" s="11">
        <f t="shared" si="3"/>
        <v>27206564.33785088</v>
      </c>
      <c r="Y33" s="11">
        <f t="shared" si="3"/>
        <v>27750695.624607895</v>
      </c>
      <c r="Z33" s="11">
        <f t="shared" si="3"/>
        <v>28305709.537100054</v>
      </c>
      <c r="AA33" s="11">
        <f t="shared" si="3"/>
        <v>28871823.727842055</v>
      </c>
      <c r="AB33" s="11">
        <f t="shared" si="3"/>
        <v>29449260.2023989</v>
      </c>
      <c r="AC33" s="11">
        <f t="shared" si="3"/>
        <v>30038245.406446878</v>
      </c>
      <c r="AD33" s="11">
        <f t="shared" si="3"/>
        <v>30639010.314575817</v>
      </c>
      <c r="AE33" s="11">
        <f t="shared" si="3"/>
        <v>31251790.520867333</v>
      </c>
      <c r="AF33" s="11">
        <f t="shared" si="3"/>
        <v>31876826.331284679</v>
      </c>
      <c r="AG33" s="11">
        <f t="shared" si="3"/>
        <v>32514362.85791038</v>
      </c>
      <c r="AH33" s="11">
        <f t="shared" si="3"/>
        <v>33164650.115068585</v>
      </c>
      <c r="AI33" s="11">
        <f t="shared" si="3"/>
        <v>33827943.117369957</v>
      </c>
      <c r="AJ33" s="11">
        <f t="shared" si="3"/>
        <v>34504501.979717359</v>
      </c>
      <c r="AK33" s="11">
        <f t="shared" si="3"/>
        <v>35194592.019311711</v>
      </c>
      <c r="AL33" s="11">
        <f t="shared" si="3"/>
        <v>35898483.859697945</v>
      </c>
      <c r="AM33" s="11">
        <f t="shared" si="3"/>
        <v>36616453.536891907</v>
      </c>
      <c r="AN33" s="11">
        <f t="shared" si="3"/>
        <v>37348782.607629746</v>
      </c>
      <c r="AO33" s="11">
        <f t="shared" si="3"/>
        <v>38095758.259782337</v>
      </c>
      <c r="AP33" s="11">
        <f t="shared" si="3"/>
        <v>38857673.424977988</v>
      </c>
      <c r="AQ33" s="11">
        <f t="shared" si="3"/>
        <v>39634826.893477544</v>
      </c>
      <c r="AR33" s="11">
        <f t="shared" si="3"/>
        <v>40427523.431347102</v>
      </c>
      <c r="AS33" s="11">
        <f t="shared" si="3"/>
        <v>41236073.899974041</v>
      </c>
      <c r="AT33" s="11">
        <f t="shared" si="3"/>
        <v>42060795.377973519</v>
      </c>
      <c r="AU33" s="11">
        <f t="shared" si="3"/>
        <v>42902011.285532996</v>
      </c>
      <c r="AV33" s="11">
        <f t="shared" si="3"/>
        <v>43760051.511243656</v>
      </c>
      <c r="AW33" s="11">
        <f t="shared" si="3"/>
        <v>44635252.541468531</v>
      </c>
      <c r="AX33" s="11">
        <f t="shared" si="3"/>
        <v>45527957.592297897</v>
      </c>
      <c r="AY33" s="11">
        <f t="shared" si="3"/>
        <v>46438516.744143851</v>
      </c>
      <c r="AZ33" s="11">
        <f t="shared" si="3"/>
        <v>47367287.079026729</v>
      </c>
      <c r="BA33" s="11">
        <f t="shared" si="3"/>
        <v>48314632.82060726</v>
      </c>
      <c r="BB33" s="11">
        <f t="shared" si="3"/>
        <v>49280925.477019414</v>
      </c>
    </row>
    <row r="34" spans="3:55" x14ac:dyDescent="0.35">
      <c r="C34" t="s">
        <v>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3:55" x14ac:dyDescent="0.35">
      <c r="C35" t="s">
        <v>38</v>
      </c>
      <c r="D35" s="11"/>
      <c r="E35" s="11">
        <f t="shared" ref="E35:AJ35" si="4">(-1)*(DVkost*DVc)*(1+infl)^E30</f>
        <v>-2544328.7999999998</v>
      </c>
      <c r="F35" s="11">
        <f t="shared" si="4"/>
        <v>-2595215.3760000002</v>
      </c>
      <c r="G35" s="11">
        <f t="shared" si="4"/>
        <v>-2647119.68352</v>
      </c>
      <c r="H35" s="11">
        <f t="shared" si="4"/>
        <v>-2700062.0771904001</v>
      </c>
      <c r="I35" s="11">
        <f t="shared" si="4"/>
        <v>-2754063.3187342081</v>
      </c>
      <c r="J35" s="11">
        <f t="shared" si="4"/>
        <v>-2809144.5851088925</v>
      </c>
      <c r="K35" s="11">
        <f t="shared" si="4"/>
        <v>-2865327.4768110695</v>
      </c>
      <c r="L35" s="11">
        <f t="shared" si="4"/>
        <v>-2922634.0263472912</v>
      </c>
      <c r="M35" s="11">
        <f t="shared" si="4"/>
        <v>-2981086.7068742369</v>
      </c>
      <c r="N35" s="11">
        <f t="shared" si="4"/>
        <v>-3040708.4410117217</v>
      </c>
      <c r="O35" s="11">
        <f t="shared" si="4"/>
        <v>-3101522.6098319557</v>
      </c>
      <c r="P35" s="11">
        <f t="shared" si="4"/>
        <v>-3163553.0620285952</v>
      </c>
      <c r="Q35" s="11">
        <f t="shared" si="4"/>
        <v>-3226824.1232691673</v>
      </c>
      <c r="R35" s="11">
        <f t="shared" si="4"/>
        <v>-3291360.6057345509</v>
      </c>
      <c r="S35" s="11">
        <f t="shared" si="4"/>
        <v>-3357187.8178492407</v>
      </c>
      <c r="T35" s="11">
        <f t="shared" si="4"/>
        <v>-3424331.5742062265</v>
      </c>
      <c r="U35" s="11">
        <f t="shared" si="4"/>
        <v>-3492818.2056903513</v>
      </c>
      <c r="V35" s="11">
        <f t="shared" si="4"/>
        <v>-3562674.5698041576</v>
      </c>
      <c r="W35" s="11">
        <f t="shared" si="4"/>
        <v>-3633928.0612002406</v>
      </c>
      <c r="X35" s="11">
        <f t="shared" si="4"/>
        <v>-3706606.6224242458</v>
      </c>
      <c r="Y35" s="11">
        <f t="shared" si="4"/>
        <v>-3780738.7548727305</v>
      </c>
      <c r="Z35" s="11">
        <f t="shared" si="4"/>
        <v>-3856353.5299701854</v>
      </c>
      <c r="AA35" s="11">
        <f t="shared" si="4"/>
        <v>-3933480.6005695886</v>
      </c>
      <c r="AB35" s="11">
        <f t="shared" si="4"/>
        <v>-4012150.2125809803</v>
      </c>
      <c r="AC35" s="11">
        <f t="shared" si="4"/>
        <v>-4092393.2168326001</v>
      </c>
      <c r="AD35" s="11">
        <f t="shared" si="4"/>
        <v>-4174241.0811692523</v>
      </c>
      <c r="AE35" s="11">
        <f t="shared" si="4"/>
        <v>-4257725.9027926363</v>
      </c>
      <c r="AF35" s="11">
        <f t="shared" si="4"/>
        <v>-4342880.4208484907</v>
      </c>
      <c r="AG35" s="11">
        <f t="shared" si="4"/>
        <v>-4429738.0292654596</v>
      </c>
      <c r="AH35" s="11">
        <f t="shared" si="4"/>
        <v>-4518332.7898507686</v>
      </c>
      <c r="AI35" s="11">
        <f t="shared" si="4"/>
        <v>-4608699.4456477836</v>
      </c>
      <c r="AJ35" s="11">
        <f t="shared" si="4"/>
        <v>-4700873.4345607404</v>
      </c>
      <c r="AK35" s="11">
        <f t="shared" ref="AK35:BB35" si="5">(-1)*(DVkost*DVc)*(1+infl)^AK30</f>
        <v>-4794890.9032519553</v>
      </c>
      <c r="AL35" s="11">
        <f t="shared" si="5"/>
        <v>-4890788.7213169942</v>
      </c>
      <c r="AM35" s="11">
        <f t="shared" si="5"/>
        <v>-4988604.4957433334</v>
      </c>
      <c r="AN35" s="11">
        <f t="shared" si="5"/>
        <v>-5088376.5856582001</v>
      </c>
      <c r="AO35" s="11">
        <f t="shared" si="5"/>
        <v>-5190144.1173713645</v>
      </c>
      <c r="AP35" s="11">
        <f t="shared" si="5"/>
        <v>-5293946.9997187927</v>
      </c>
      <c r="AQ35" s="11">
        <f t="shared" si="5"/>
        <v>-5399825.9397131661</v>
      </c>
      <c r="AR35" s="11">
        <f t="shared" si="5"/>
        <v>-5507822.4585074307</v>
      </c>
      <c r="AS35" s="11">
        <f t="shared" si="5"/>
        <v>-5617978.9076775797</v>
      </c>
      <c r="AT35" s="11">
        <f t="shared" si="5"/>
        <v>-5730338.4858311303</v>
      </c>
      <c r="AU35" s="11">
        <f t="shared" si="5"/>
        <v>-5844945.2555477526</v>
      </c>
      <c r="AV35" s="11">
        <f t="shared" si="5"/>
        <v>-5961844.1606587088</v>
      </c>
      <c r="AW35" s="11">
        <f t="shared" si="5"/>
        <v>-6081081.0438718824</v>
      </c>
      <c r="AX35" s="11">
        <f t="shared" si="5"/>
        <v>-6202702.6647493215</v>
      </c>
      <c r="AY35" s="11">
        <f t="shared" si="5"/>
        <v>-6326756.7180443052</v>
      </c>
      <c r="AZ35" s="11">
        <f t="shared" si="5"/>
        <v>-6453291.8524051923</v>
      </c>
      <c r="BA35" s="11">
        <f t="shared" si="5"/>
        <v>-6582357.6894532964</v>
      </c>
      <c r="BB35" s="11">
        <f t="shared" si="5"/>
        <v>-6714004.8432423621</v>
      </c>
    </row>
    <row r="36" spans="3:55" x14ac:dyDescent="0.35">
      <c r="C36" t="s">
        <v>39</v>
      </c>
      <c r="D36" s="11"/>
      <c r="E36" s="11">
        <f t="shared" ref="E36:AJ36" si="6">(-1)*(Rehabkost*RBc)*(1+infl)^E30</f>
        <v>-1259475.6000000001</v>
      </c>
      <c r="F36" s="11">
        <f t="shared" si="6"/>
        <v>-1284665.112</v>
      </c>
      <c r="G36" s="11">
        <f t="shared" si="6"/>
        <v>-1310358.4142399998</v>
      </c>
      <c r="H36" s="11">
        <f t="shared" si="6"/>
        <v>-1336565.5825248</v>
      </c>
      <c r="I36" s="11">
        <f t="shared" si="6"/>
        <v>-1363296.894175296</v>
      </c>
      <c r="J36" s="11">
        <f t="shared" si="6"/>
        <v>-1390562.832058802</v>
      </c>
      <c r="K36" s="11">
        <f t="shared" si="6"/>
        <v>-1418374.0886999778</v>
      </c>
      <c r="L36" s="11">
        <f t="shared" si="6"/>
        <v>-1446741.5704739774</v>
      </c>
      <c r="M36" s="11">
        <f t="shared" si="6"/>
        <v>-1475676.4018834571</v>
      </c>
      <c r="N36" s="11">
        <f t="shared" si="6"/>
        <v>-1505189.9299211262</v>
      </c>
      <c r="O36" s="11">
        <f t="shared" si="6"/>
        <v>-1535293.7285195484</v>
      </c>
      <c r="P36" s="11">
        <f t="shared" si="6"/>
        <v>-1565999.6030899396</v>
      </c>
      <c r="Q36" s="11">
        <f t="shared" si="6"/>
        <v>-1597319.5951517383</v>
      </c>
      <c r="R36" s="11">
        <f t="shared" si="6"/>
        <v>-1629265.9870547734</v>
      </c>
      <c r="S36" s="11">
        <f t="shared" si="6"/>
        <v>-1661851.3067958683</v>
      </c>
      <c r="T36" s="11">
        <f t="shared" si="6"/>
        <v>-1695088.3329317858</v>
      </c>
      <c r="U36" s="11">
        <f t="shared" si="6"/>
        <v>-1728990.0995904219</v>
      </c>
      <c r="V36" s="11">
        <f t="shared" si="6"/>
        <v>-1763569.9015822301</v>
      </c>
      <c r="W36" s="11">
        <f t="shared" si="6"/>
        <v>-1798841.2996138746</v>
      </c>
      <c r="X36" s="11">
        <f t="shared" si="6"/>
        <v>-1834818.1256061522</v>
      </c>
      <c r="Y36" s="11">
        <f t="shared" si="6"/>
        <v>-1871514.4881182751</v>
      </c>
      <c r="Z36" s="11">
        <f t="shared" si="6"/>
        <v>-1908944.7778806407</v>
      </c>
      <c r="AA36" s="11">
        <f t="shared" si="6"/>
        <v>-1947123.6734382531</v>
      </c>
      <c r="AB36" s="11">
        <f t="shared" si="6"/>
        <v>-1986066.1469070183</v>
      </c>
      <c r="AC36" s="11">
        <f t="shared" si="6"/>
        <v>-2025787.4698451587</v>
      </c>
      <c r="AD36" s="11">
        <f t="shared" si="6"/>
        <v>-2066303.2192420622</v>
      </c>
      <c r="AE36" s="11">
        <f t="shared" si="6"/>
        <v>-2107629.2836269028</v>
      </c>
      <c r="AF36" s="11">
        <f t="shared" si="6"/>
        <v>-2149781.8692994416</v>
      </c>
      <c r="AG36" s="11">
        <f t="shared" si="6"/>
        <v>-2192777.5066854302</v>
      </c>
      <c r="AH36" s="11">
        <f t="shared" si="6"/>
        <v>-2236633.0568191386</v>
      </c>
      <c r="AI36" s="11">
        <f t="shared" si="6"/>
        <v>-2281365.7179555208</v>
      </c>
      <c r="AJ36" s="11">
        <f t="shared" si="6"/>
        <v>-2326993.0323146321</v>
      </c>
      <c r="AK36" s="11">
        <f t="shared" ref="AK36:BB36" si="7">(-1)*(Rehabkost*RBc)*(1+infl)^AK30</f>
        <v>-2373532.8929609247</v>
      </c>
      <c r="AL36" s="11">
        <f t="shared" si="7"/>
        <v>-2421003.550820143</v>
      </c>
      <c r="AM36" s="11">
        <f t="shared" si="7"/>
        <v>-2469423.6218365459</v>
      </c>
      <c r="AN36" s="11">
        <f t="shared" si="7"/>
        <v>-2518812.0942732766</v>
      </c>
      <c r="AO36" s="11">
        <f t="shared" si="7"/>
        <v>-2569188.3361587427</v>
      </c>
      <c r="AP36" s="11">
        <f t="shared" si="7"/>
        <v>-2620572.1028819177</v>
      </c>
      <c r="AQ36" s="11">
        <f t="shared" si="7"/>
        <v>-2672983.5449395548</v>
      </c>
      <c r="AR36" s="11">
        <f t="shared" si="7"/>
        <v>-2726443.2158383466</v>
      </c>
      <c r="AS36" s="11">
        <f t="shared" si="7"/>
        <v>-2780972.0801551137</v>
      </c>
      <c r="AT36" s="11">
        <f t="shared" si="7"/>
        <v>-2836591.5217582155</v>
      </c>
      <c r="AU36" s="11">
        <f t="shared" si="7"/>
        <v>-2893323.3521933798</v>
      </c>
      <c r="AV36" s="11">
        <f t="shared" si="7"/>
        <v>-2951189.819237248</v>
      </c>
      <c r="AW36" s="11">
        <f t="shared" si="7"/>
        <v>-3010213.6156219924</v>
      </c>
      <c r="AX36" s="11">
        <f t="shared" si="7"/>
        <v>-3070417.8879344328</v>
      </c>
      <c r="AY36" s="11">
        <f t="shared" si="7"/>
        <v>-3131826.2456931202</v>
      </c>
      <c r="AZ36" s="11">
        <f t="shared" si="7"/>
        <v>-3194462.7706069835</v>
      </c>
      <c r="BA36" s="11">
        <f t="shared" si="7"/>
        <v>-3258352.0260191234</v>
      </c>
      <c r="BB36" s="11">
        <f t="shared" si="7"/>
        <v>-3323519.0665395055</v>
      </c>
    </row>
    <row r="37" spans="3:55" x14ac:dyDescent="0.35">
      <c r="C37" t="s">
        <v>41</v>
      </c>
      <c r="D37" s="11"/>
      <c r="E37" s="11">
        <f t="shared" ref="E37:AJ37" si="8">(-1)*(konsensjonsats*volumc*1000)*(1+infl)^E30</f>
        <v>-531828</v>
      </c>
      <c r="F37" s="11">
        <f t="shared" si="8"/>
        <v>-542464.55999999994</v>
      </c>
      <c r="G37" s="11">
        <f t="shared" si="8"/>
        <v>-553313.85119999992</v>
      </c>
      <c r="H37" s="11">
        <f t="shared" si="8"/>
        <v>-564380.12822399999</v>
      </c>
      <c r="I37" s="11">
        <f t="shared" si="8"/>
        <v>-575667.73078848002</v>
      </c>
      <c r="J37" s="11">
        <f t="shared" si="8"/>
        <v>-587181.08540424961</v>
      </c>
      <c r="K37" s="11">
        <f t="shared" si="8"/>
        <v>-598924.70711233455</v>
      </c>
      <c r="L37" s="11">
        <f t="shared" si="8"/>
        <v>-610903.20125458122</v>
      </c>
      <c r="M37" s="11">
        <f t="shared" si="8"/>
        <v>-623121.26527967292</v>
      </c>
      <c r="N37" s="11">
        <f t="shared" si="8"/>
        <v>-635583.69058526633</v>
      </c>
      <c r="O37" s="11">
        <f t="shared" si="8"/>
        <v>-648295.36439697153</v>
      </c>
      <c r="P37" s="11">
        <f t="shared" si="8"/>
        <v>-661261.2716849111</v>
      </c>
      <c r="Q37" s="11">
        <f t="shared" si="8"/>
        <v>-674486.49711860926</v>
      </c>
      <c r="R37" s="11">
        <f t="shared" si="8"/>
        <v>-687976.22706098156</v>
      </c>
      <c r="S37" s="11">
        <f t="shared" si="8"/>
        <v>-701735.75160220102</v>
      </c>
      <c r="T37" s="11">
        <f t="shared" si="8"/>
        <v>-715770.46663424512</v>
      </c>
      <c r="U37" s="11">
        <f t="shared" si="8"/>
        <v>-730085.87596693006</v>
      </c>
      <c r="V37" s="11">
        <f t="shared" si="8"/>
        <v>-744687.59348626854</v>
      </c>
      <c r="W37" s="11">
        <f t="shared" si="8"/>
        <v>-759581.34535599395</v>
      </c>
      <c r="X37" s="11">
        <f t="shared" si="8"/>
        <v>-774772.97226311394</v>
      </c>
      <c r="Y37" s="11">
        <f t="shared" si="8"/>
        <v>-790268.43170837616</v>
      </c>
      <c r="Z37" s="11">
        <f t="shared" si="8"/>
        <v>-806073.80034254363</v>
      </c>
      <c r="AA37" s="11">
        <f t="shared" si="8"/>
        <v>-822195.27634939447</v>
      </c>
      <c r="AB37" s="11">
        <f t="shared" si="8"/>
        <v>-838639.18187638232</v>
      </c>
      <c r="AC37" s="11">
        <f t="shared" si="8"/>
        <v>-855411.96551390993</v>
      </c>
      <c r="AD37" s="11">
        <f t="shared" si="8"/>
        <v>-872520.20482418826</v>
      </c>
      <c r="AE37" s="11">
        <f t="shared" si="8"/>
        <v>-889970.60892067186</v>
      </c>
      <c r="AF37" s="11">
        <f t="shared" si="8"/>
        <v>-907770.02109908545</v>
      </c>
      <c r="AG37" s="11">
        <f t="shared" si="8"/>
        <v>-925925.42152106704</v>
      </c>
      <c r="AH37" s="11">
        <f t="shared" si="8"/>
        <v>-944443.92995148851</v>
      </c>
      <c r="AI37" s="11">
        <f t="shared" si="8"/>
        <v>-963332.80855051801</v>
      </c>
      <c r="AJ37" s="11">
        <f t="shared" si="8"/>
        <v>-982599.46472152858</v>
      </c>
      <c r="AK37" s="11">
        <f t="shared" ref="AK37:BB37" si="9">(-1)*(konsensjonsats*volumc*1000)*(1+infl)^AK30</f>
        <v>-1002251.4540159593</v>
      </c>
      <c r="AL37" s="11">
        <f t="shared" si="9"/>
        <v>-1022296.4830962784</v>
      </c>
      <c r="AM37" s="11">
        <f t="shared" si="9"/>
        <v>-1042742.4127582039</v>
      </c>
      <c r="AN37" s="11">
        <f t="shared" si="9"/>
        <v>-1063597.2610133679</v>
      </c>
      <c r="AO37" s="11">
        <f t="shared" si="9"/>
        <v>-1084869.2062336353</v>
      </c>
      <c r="AP37" s="11">
        <f t="shared" si="9"/>
        <v>-1106566.5903583083</v>
      </c>
      <c r="AQ37" s="11">
        <f t="shared" si="9"/>
        <v>-1128697.9221654739</v>
      </c>
      <c r="AR37" s="11">
        <f t="shared" si="9"/>
        <v>-1151271.8806087838</v>
      </c>
      <c r="AS37" s="11">
        <f t="shared" si="9"/>
        <v>-1174297.3182209593</v>
      </c>
      <c r="AT37" s="11">
        <f t="shared" si="9"/>
        <v>-1197783.2645853786</v>
      </c>
      <c r="AU37" s="11">
        <f t="shared" si="9"/>
        <v>-1221738.9298770861</v>
      </c>
      <c r="AV37" s="11">
        <f t="shared" si="9"/>
        <v>-1246173.7084746279</v>
      </c>
      <c r="AW37" s="11">
        <f t="shared" si="9"/>
        <v>-1271097.1826441204</v>
      </c>
      <c r="AX37" s="11">
        <f t="shared" si="9"/>
        <v>-1296519.1262970029</v>
      </c>
      <c r="AY37" s="11">
        <f t="shared" si="9"/>
        <v>-1322449.5088229426</v>
      </c>
      <c r="AZ37" s="11">
        <f t="shared" si="9"/>
        <v>-1348898.4989994017</v>
      </c>
      <c r="BA37" s="11">
        <f t="shared" si="9"/>
        <v>-1375876.4689793896</v>
      </c>
      <c r="BB37" s="11">
        <f t="shared" si="9"/>
        <v>-1403393.9983589775</v>
      </c>
    </row>
    <row r="38" spans="3:55" x14ac:dyDescent="0.35">
      <c r="C38" t="s">
        <v>46</v>
      </c>
      <c r="D38" s="11"/>
      <c r="E38" s="11">
        <f t="shared" ref="E38:AJ38" si="10">(-1)*(innmatingssats*volumc*1000)*(1+infl)^E30</f>
        <v>-1047540</v>
      </c>
      <c r="F38" s="11">
        <f t="shared" si="10"/>
        <v>-1068490.8</v>
      </c>
      <c r="G38" s="11">
        <f t="shared" si="10"/>
        <v>-1089860.6159999999</v>
      </c>
      <c r="H38" s="11">
        <f t="shared" si="10"/>
        <v>-1111657.8283200001</v>
      </c>
      <c r="I38" s="11">
        <f t="shared" si="10"/>
        <v>-1133890.9848863999</v>
      </c>
      <c r="J38" s="11">
        <f t="shared" si="10"/>
        <v>-1156568.8045841281</v>
      </c>
      <c r="K38" s="11">
        <f t="shared" si="10"/>
        <v>-1179700.1806758104</v>
      </c>
      <c r="L38" s="11">
        <f t="shared" si="10"/>
        <v>-1203294.1842893267</v>
      </c>
      <c r="M38" s="11">
        <f t="shared" si="10"/>
        <v>-1227360.0679751132</v>
      </c>
      <c r="N38" s="11">
        <f t="shared" si="10"/>
        <v>-1251907.2693346154</v>
      </c>
      <c r="O38" s="11">
        <f t="shared" si="10"/>
        <v>-1276945.4147213076</v>
      </c>
      <c r="P38" s="11">
        <f t="shared" si="10"/>
        <v>-1302484.3230157341</v>
      </c>
      <c r="Q38" s="11">
        <f t="shared" si="10"/>
        <v>-1328534.0094760486</v>
      </c>
      <c r="R38" s="11">
        <f t="shared" si="10"/>
        <v>-1355104.6896655697</v>
      </c>
      <c r="S38" s="11">
        <f t="shared" si="10"/>
        <v>-1382206.7834588806</v>
      </c>
      <c r="T38" s="11">
        <f t="shared" si="10"/>
        <v>-1409850.9191280585</v>
      </c>
      <c r="U38" s="11">
        <f t="shared" si="10"/>
        <v>-1438047.9375106199</v>
      </c>
      <c r="V38" s="11">
        <f t="shared" si="10"/>
        <v>-1466808.896260832</v>
      </c>
      <c r="W38" s="11">
        <f t="shared" si="10"/>
        <v>-1496145.0741860487</v>
      </c>
      <c r="X38" s="11">
        <f t="shared" si="10"/>
        <v>-1526067.9756697698</v>
      </c>
      <c r="Y38" s="11">
        <f t="shared" si="10"/>
        <v>-1556589.335183165</v>
      </c>
      <c r="Z38" s="11">
        <f t="shared" si="10"/>
        <v>-1587721.1218868284</v>
      </c>
      <c r="AA38" s="11">
        <f t="shared" si="10"/>
        <v>-1619475.5443245647</v>
      </c>
      <c r="AB38" s="11">
        <f t="shared" si="10"/>
        <v>-1651865.055211056</v>
      </c>
      <c r="AC38" s="11">
        <f t="shared" si="10"/>
        <v>-1684902.3563152773</v>
      </c>
      <c r="AD38" s="11">
        <f t="shared" si="10"/>
        <v>-1718600.403441583</v>
      </c>
      <c r="AE38" s="11">
        <f t="shared" si="10"/>
        <v>-1752972.4115104142</v>
      </c>
      <c r="AF38" s="11">
        <f t="shared" si="10"/>
        <v>-1788031.859740623</v>
      </c>
      <c r="AG38" s="11">
        <f t="shared" si="10"/>
        <v>-1823792.4969354351</v>
      </c>
      <c r="AH38" s="11">
        <f t="shared" si="10"/>
        <v>-1860268.3468741439</v>
      </c>
      <c r="AI38" s="11">
        <f t="shared" si="10"/>
        <v>-1897473.7138116264</v>
      </c>
      <c r="AJ38" s="11">
        <f t="shared" si="10"/>
        <v>-1935423.1880878594</v>
      </c>
      <c r="AK38" s="11">
        <f t="shared" ref="AK38:BB38" si="11">(-1)*(innmatingssats*volumc*1000)*(1+infl)^AK30</f>
        <v>-1974131.6518496168</v>
      </c>
      <c r="AL38" s="11">
        <f t="shared" si="11"/>
        <v>-2013614.2848866088</v>
      </c>
      <c r="AM38" s="11">
        <f t="shared" si="11"/>
        <v>-2053886.570584341</v>
      </c>
      <c r="AN38" s="11">
        <f t="shared" si="11"/>
        <v>-2094964.3019960276</v>
      </c>
      <c r="AO38" s="11">
        <f t="shared" si="11"/>
        <v>-2136863.5880359486</v>
      </c>
      <c r="AP38" s="11">
        <f t="shared" si="11"/>
        <v>-2179600.8597966679</v>
      </c>
      <c r="AQ38" s="11">
        <f t="shared" si="11"/>
        <v>-2223192.8769926</v>
      </c>
      <c r="AR38" s="11">
        <f t="shared" si="11"/>
        <v>-2267656.7345324527</v>
      </c>
      <c r="AS38" s="11">
        <f t="shared" si="11"/>
        <v>-2313009.869223102</v>
      </c>
      <c r="AT38" s="11">
        <f t="shared" si="11"/>
        <v>-2359270.0666075638</v>
      </c>
      <c r="AU38" s="11">
        <f t="shared" si="11"/>
        <v>-2406455.4679397149</v>
      </c>
      <c r="AV38" s="11">
        <f t="shared" si="11"/>
        <v>-2454584.5772985094</v>
      </c>
      <c r="AW38" s="11">
        <f t="shared" si="11"/>
        <v>-2503676.2688444797</v>
      </c>
      <c r="AX38" s="11">
        <f t="shared" si="11"/>
        <v>-2553749.7942213695</v>
      </c>
      <c r="AY38" s="11">
        <f t="shared" si="11"/>
        <v>-2604824.790105796</v>
      </c>
      <c r="AZ38" s="11">
        <f t="shared" si="11"/>
        <v>-2656921.2859079121</v>
      </c>
      <c r="BA38" s="11">
        <f t="shared" si="11"/>
        <v>-2710059.7116260706</v>
      </c>
      <c r="BB38" s="11">
        <f t="shared" si="11"/>
        <v>-2764260.9058585921</v>
      </c>
    </row>
    <row r="39" spans="3:55" x14ac:dyDescent="0.35">
      <c r="C39" t="s">
        <v>52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3:55" x14ac:dyDescent="0.35">
      <c r="C40" t="s">
        <v>61</v>
      </c>
      <c r="D40" s="11"/>
      <c r="E40" s="11">
        <f>E70*(-1)</f>
        <v>0</v>
      </c>
      <c r="F40" s="11">
        <f t="shared" ref="F40:M40" si="12">F70*(-1)</f>
        <v>0</v>
      </c>
      <c r="G40" s="11">
        <f t="shared" si="12"/>
        <v>0</v>
      </c>
      <c r="H40" s="11">
        <f t="shared" si="12"/>
        <v>0</v>
      </c>
      <c r="I40" s="11">
        <f t="shared" si="12"/>
        <v>0</v>
      </c>
      <c r="J40" s="11">
        <f t="shared" si="12"/>
        <v>0</v>
      </c>
      <c r="K40" s="11">
        <f t="shared" si="12"/>
        <v>0</v>
      </c>
      <c r="L40" s="11">
        <f t="shared" si="12"/>
        <v>0</v>
      </c>
      <c r="M40" s="11">
        <f t="shared" si="12"/>
        <v>0</v>
      </c>
      <c r="N40" s="11">
        <f>N70*(-1)</f>
        <v>0</v>
      </c>
      <c r="O40" s="11">
        <f t="shared" ref="O40:BB40" si="13">O70*(-1)</f>
        <v>0</v>
      </c>
      <c r="P40" s="11">
        <f t="shared" si="13"/>
        <v>0</v>
      </c>
      <c r="Q40" s="11">
        <f t="shared" si="13"/>
        <v>0</v>
      </c>
      <c r="R40" s="11">
        <f t="shared" si="13"/>
        <v>0</v>
      </c>
      <c r="S40" s="11">
        <f t="shared" si="13"/>
        <v>0</v>
      </c>
      <c r="T40" s="11">
        <f t="shared" si="13"/>
        <v>0</v>
      </c>
      <c r="U40" s="11">
        <f t="shared" si="13"/>
        <v>0</v>
      </c>
      <c r="V40" s="11">
        <f t="shared" si="13"/>
        <v>0</v>
      </c>
      <c r="W40" s="11">
        <f t="shared" si="13"/>
        <v>0</v>
      </c>
      <c r="X40" s="11">
        <f t="shared" si="13"/>
        <v>0</v>
      </c>
      <c r="Y40" s="11">
        <f t="shared" si="13"/>
        <v>0</v>
      </c>
      <c r="Z40" s="11">
        <f t="shared" si="13"/>
        <v>0</v>
      </c>
      <c r="AA40" s="11">
        <f t="shared" si="13"/>
        <v>0</v>
      </c>
      <c r="AB40" s="11">
        <f t="shared" si="13"/>
        <v>0</v>
      </c>
      <c r="AC40" s="11">
        <f t="shared" si="13"/>
        <v>0</v>
      </c>
      <c r="AD40" s="11">
        <f t="shared" si="13"/>
        <v>0</v>
      </c>
      <c r="AE40" s="11">
        <f t="shared" si="13"/>
        <v>0</v>
      </c>
      <c r="AF40" s="11">
        <f t="shared" si="13"/>
        <v>0</v>
      </c>
      <c r="AG40" s="11">
        <f t="shared" si="13"/>
        <v>0</v>
      </c>
      <c r="AH40" s="11">
        <f t="shared" si="13"/>
        <v>0</v>
      </c>
      <c r="AI40" s="11">
        <f t="shared" si="13"/>
        <v>0</v>
      </c>
      <c r="AJ40" s="11">
        <f t="shared" si="13"/>
        <v>0</v>
      </c>
      <c r="AK40" s="11">
        <f t="shared" si="13"/>
        <v>0</v>
      </c>
      <c r="AL40" s="11">
        <f t="shared" si="13"/>
        <v>0</v>
      </c>
      <c r="AM40" s="11">
        <f t="shared" si="13"/>
        <v>0</v>
      </c>
      <c r="AN40" s="11">
        <f t="shared" si="13"/>
        <v>0</v>
      </c>
      <c r="AO40" s="11">
        <f t="shared" si="13"/>
        <v>0</v>
      </c>
      <c r="AP40" s="11">
        <f t="shared" si="13"/>
        <v>0</v>
      </c>
      <c r="AQ40" s="11">
        <f t="shared" si="13"/>
        <v>0</v>
      </c>
      <c r="AR40" s="11">
        <f t="shared" si="13"/>
        <v>0</v>
      </c>
      <c r="AS40" s="11">
        <f t="shared" si="13"/>
        <v>0</v>
      </c>
      <c r="AT40" s="11">
        <f t="shared" si="13"/>
        <v>0</v>
      </c>
      <c r="AU40" s="11">
        <f t="shared" si="13"/>
        <v>0</v>
      </c>
      <c r="AV40" s="11">
        <f t="shared" si="13"/>
        <v>0</v>
      </c>
      <c r="AW40" s="11">
        <f t="shared" si="13"/>
        <v>0</v>
      </c>
      <c r="AX40" s="11">
        <f t="shared" si="13"/>
        <v>0</v>
      </c>
      <c r="AY40" s="11">
        <f t="shared" si="13"/>
        <v>0</v>
      </c>
      <c r="AZ40" s="11">
        <f t="shared" si="13"/>
        <v>0</v>
      </c>
      <c r="BA40" s="11">
        <f t="shared" si="13"/>
        <v>0</v>
      </c>
      <c r="BB40" s="11">
        <f t="shared" si="13"/>
        <v>0</v>
      </c>
    </row>
    <row r="41" spans="3:55" x14ac:dyDescent="0.35">
      <c r="C41" t="s">
        <v>55</v>
      </c>
      <c r="D41" s="11"/>
      <c r="E41" s="11">
        <f>E138*-1</f>
        <v>-311850</v>
      </c>
      <c r="F41" s="11">
        <f t="shared" ref="F41:BB41" si="14">F138*-1</f>
        <v>-305550</v>
      </c>
      <c r="G41" s="11">
        <f t="shared" si="14"/>
        <v>-299250</v>
      </c>
      <c r="H41" s="11">
        <f t="shared" si="14"/>
        <v>-292950</v>
      </c>
      <c r="I41" s="11">
        <f t="shared" si="14"/>
        <v>-286650</v>
      </c>
      <c r="J41" s="11">
        <f t="shared" si="14"/>
        <v>-280350</v>
      </c>
      <c r="K41" s="11">
        <f t="shared" si="14"/>
        <v>-274050</v>
      </c>
      <c r="L41" s="11">
        <f t="shared" si="14"/>
        <v>-267750</v>
      </c>
      <c r="M41" s="11">
        <f t="shared" si="14"/>
        <v>-261450</v>
      </c>
      <c r="N41" s="11">
        <f t="shared" si="14"/>
        <v>-255150</v>
      </c>
      <c r="O41" s="11">
        <f t="shared" si="14"/>
        <v>-248850</v>
      </c>
      <c r="P41" s="11">
        <f t="shared" si="14"/>
        <v>-242550</v>
      </c>
      <c r="Q41" s="11">
        <f t="shared" si="14"/>
        <v>-236250</v>
      </c>
      <c r="R41" s="11">
        <f t="shared" si="14"/>
        <v>-229950</v>
      </c>
      <c r="S41" s="11">
        <f t="shared" si="14"/>
        <v>-223650</v>
      </c>
      <c r="T41" s="11">
        <f t="shared" si="14"/>
        <v>-217350</v>
      </c>
      <c r="U41" s="11">
        <f t="shared" si="14"/>
        <v>-211050</v>
      </c>
      <c r="V41" s="11">
        <f t="shared" si="14"/>
        <v>-204750</v>
      </c>
      <c r="W41" s="11">
        <f t="shared" si="14"/>
        <v>-198450</v>
      </c>
      <c r="X41" s="11">
        <f t="shared" si="14"/>
        <v>-192150</v>
      </c>
      <c r="Y41" s="11">
        <f t="shared" si="14"/>
        <v>-185850</v>
      </c>
      <c r="Z41" s="11">
        <f t="shared" si="14"/>
        <v>-179550</v>
      </c>
      <c r="AA41" s="11">
        <f t="shared" si="14"/>
        <v>-173250</v>
      </c>
      <c r="AB41" s="11">
        <f t="shared" si="14"/>
        <v>-166950</v>
      </c>
      <c r="AC41" s="11">
        <f t="shared" si="14"/>
        <v>-160650</v>
      </c>
      <c r="AD41" s="11">
        <f t="shared" si="14"/>
        <v>-154350</v>
      </c>
      <c r="AE41" s="11">
        <f t="shared" si="14"/>
        <v>-148050</v>
      </c>
      <c r="AF41" s="11">
        <f t="shared" si="14"/>
        <v>-141750</v>
      </c>
      <c r="AG41" s="11">
        <f t="shared" si="14"/>
        <v>-135450</v>
      </c>
      <c r="AH41" s="11">
        <f t="shared" si="14"/>
        <v>-129150</v>
      </c>
      <c r="AI41" s="11">
        <f t="shared" si="14"/>
        <v>-122850</v>
      </c>
      <c r="AJ41" s="11">
        <f t="shared" si="14"/>
        <v>-116550</v>
      </c>
      <c r="AK41" s="11">
        <f t="shared" si="14"/>
        <v>-110250</v>
      </c>
      <c r="AL41" s="11">
        <f t="shared" si="14"/>
        <v>-103950</v>
      </c>
      <c r="AM41" s="11">
        <f t="shared" si="14"/>
        <v>-97650</v>
      </c>
      <c r="AN41" s="11">
        <f t="shared" si="14"/>
        <v>-91350</v>
      </c>
      <c r="AO41" s="11">
        <f t="shared" si="14"/>
        <v>-85050</v>
      </c>
      <c r="AP41" s="11">
        <f t="shared" si="14"/>
        <v>-78750</v>
      </c>
      <c r="AQ41" s="11">
        <f t="shared" si="14"/>
        <v>-72450</v>
      </c>
      <c r="AR41" s="11">
        <f t="shared" si="14"/>
        <v>-66150</v>
      </c>
      <c r="AS41" s="11">
        <f t="shared" si="14"/>
        <v>-59850</v>
      </c>
      <c r="AT41" s="11">
        <f t="shared" si="14"/>
        <v>-53550</v>
      </c>
      <c r="AU41" s="11">
        <f t="shared" si="14"/>
        <v>-47250</v>
      </c>
      <c r="AV41" s="11">
        <f t="shared" si="14"/>
        <v>-40950</v>
      </c>
      <c r="AW41" s="11">
        <f t="shared" si="14"/>
        <v>-34650</v>
      </c>
      <c r="AX41" s="11">
        <f t="shared" si="14"/>
        <v>-28350</v>
      </c>
      <c r="AY41" s="11">
        <f t="shared" si="14"/>
        <v>-22050</v>
      </c>
      <c r="AZ41" s="11">
        <f t="shared" si="14"/>
        <v>-15750</v>
      </c>
      <c r="BA41" s="11">
        <f t="shared" si="14"/>
        <v>-9450</v>
      </c>
      <c r="BB41" s="11">
        <f t="shared" si="14"/>
        <v>-3150</v>
      </c>
    </row>
    <row r="42" spans="3:55" x14ac:dyDescent="0.35">
      <c r="C42" t="s">
        <v>54</v>
      </c>
      <c r="D42" s="11"/>
      <c r="E42" s="11">
        <f>E93*(-1)</f>
        <v>0</v>
      </c>
      <c r="F42" s="11">
        <f t="shared" ref="F42:BB42" si="15">F93*(-1)</f>
        <v>0</v>
      </c>
      <c r="G42" s="11">
        <f t="shared" si="15"/>
        <v>0</v>
      </c>
      <c r="H42" s="11">
        <f t="shared" si="15"/>
        <v>0</v>
      </c>
      <c r="I42" s="11">
        <f t="shared" si="15"/>
        <v>0</v>
      </c>
      <c r="J42" s="11">
        <f t="shared" si="15"/>
        <v>0</v>
      </c>
      <c r="K42" s="11">
        <f t="shared" si="15"/>
        <v>0</v>
      </c>
      <c r="L42" s="11">
        <f t="shared" si="15"/>
        <v>0</v>
      </c>
      <c r="M42" s="11">
        <f t="shared" si="15"/>
        <v>0</v>
      </c>
      <c r="N42" s="11">
        <f t="shared" si="15"/>
        <v>0</v>
      </c>
      <c r="O42" s="11">
        <f t="shared" si="15"/>
        <v>0</v>
      </c>
      <c r="P42" s="11">
        <f t="shared" si="15"/>
        <v>0</v>
      </c>
      <c r="Q42" s="11">
        <f t="shared" si="15"/>
        <v>0</v>
      </c>
      <c r="R42" s="11">
        <f t="shared" si="15"/>
        <v>0</v>
      </c>
      <c r="S42" s="11">
        <f t="shared" si="15"/>
        <v>0</v>
      </c>
      <c r="T42" s="11">
        <f t="shared" si="15"/>
        <v>0</v>
      </c>
      <c r="U42" s="11">
        <f t="shared" si="15"/>
        <v>0</v>
      </c>
      <c r="V42" s="11">
        <f t="shared" si="15"/>
        <v>0</v>
      </c>
      <c r="W42" s="11">
        <f t="shared" si="15"/>
        <v>0</v>
      </c>
      <c r="X42" s="11">
        <f t="shared" si="15"/>
        <v>0</v>
      </c>
      <c r="Y42" s="11">
        <f t="shared" si="15"/>
        <v>0</v>
      </c>
      <c r="Z42" s="11">
        <f t="shared" si="15"/>
        <v>0</v>
      </c>
      <c r="AA42" s="11">
        <f t="shared" si="15"/>
        <v>0</v>
      </c>
      <c r="AB42" s="11">
        <f t="shared" si="15"/>
        <v>0</v>
      </c>
      <c r="AC42" s="11">
        <f t="shared" si="15"/>
        <v>0</v>
      </c>
      <c r="AD42" s="11">
        <f t="shared" si="15"/>
        <v>0</v>
      </c>
      <c r="AE42" s="11">
        <f t="shared" si="15"/>
        <v>0</v>
      </c>
      <c r="AF42" s="11">
        <f t="shared" si="15"/>
        <v>0</v>
      </c>
      <c r="AG42" s="11">
        <f t="shared" si="15"/>
        <v>0</v>
      </c>
      <c r="AH42" s="11">
        <f t="shared" si="15"/>
        <v>0</v>
      </c>
      <c r="AI42" s="11">
        <f t="shared" si="15"/>
        <v>0</v>
      </c>
      <c r="AJ42" s="11">
        <f t="shared" si="15"/>
        <v>0</v>
      </c>
      <c r="AK42" s="11">
        <f t="shared" si="15"/>
        <v>0</v>
      </c>
      <c r="AL42" s="11">
        <f t="shared" si="15"/>
        <v>0</v>
      </c>
      <c r="AM42" s="11">
        <f t="shared" si="15"/>
        <v>0</v>
      </c>
      <c r="AN42" s="11">
        <f t="shared" si="15"/>
        <v>0</v>
      </c>
      <c r="AO42" s="11">
        <f t="shared" si="15"/>
        <v>0</v>
      </c>
      <c r="AP42" s="11">
        <f t="shared" si="15"/>
        <v>0</v>
      </c>
      <c r="AQ42" s="11">
        <f t="shared" si="15"/>
        <v>0</v>
      </c>
      <c r="AR42" s="11">
        <f t="shared" si="15"/>
        <v>0</v>
      </c>
      <c r="AS42" s="11">
        <f t="shared" si="15"/>
        <v>0</v>
      </c>
      <c r="AT42" s="11">
        <f t="shared" si="15"/>
        <v>0</v>
      </c>
      <c r="AU42" s="11">
        <f t="shared" si="15"/>
        <v>0</v>
      </c>
      <c r="AV42" s="11">
        <f t="shared" si="15"/>
        <v>0</v>
      </c>
      <c r="AW42" s="11">
        <f t="shared" si="15"/>
        <v>0</v>
      </c>
      <c r="AX42" s="11">
        <f t="shared" si="15"/>
        <v>0</v>
      </c>
      <c r="AY42" s="11">
        <f t="shared" si="15"/>
        <v>0</v>
      </c>
      <c r="AZ42" s="11">
        <f t="shared" si="15"/>
        <v>0</v>
      </c>
      <c r="BA42" s="11">
        <f t="shared" si="15"/>
        <v>0</v>
      </c>
      <c r="BB42" s="11">
        <f t="shared" si="15"/>
        <v>0</v>
      </c>
    </row>
    <row r="43" spans="3:55" x14ac:dyDescent="0.35">
      <c r="C43" t="s">
        <v>10</v>
      </c>
      <c r="D43" s="11"/>
      <c r="E43" s="11">
        <f>E136*-1</f>
        <v>-900000</v>
      </c>
      <c r="F43" s="11">
        <f t="shared" ref="F43:BB43" si="16">F136*-1</f>
        <v>-900000</v>
      </c>
      <c r="G43" s="11">
        <f t="shared" si="16"/>
        <v>-900000</v>
      </c>
      <c r="H43" s="11">
        <f t="shared" si="16"/>
        <v>-900000</v>
      </c>
      <c r="I43" s="11">
        <f t="shared" si="16"/>
        <v>-900000</v>
      </c>
      <c r="J43" s="11">
        <f t="shared" si="16"/>
        <v>-900000</v>
      </c>
      <c r="K43" s="11">
        <f t="shared" si="16"/>
        <v>-900000</v>
      </c>
      <c r="L43" s="11">
        <f t="shared" si="16"/>
        <v>-900000</v>
      </c>
      <c r="M43" s="11">
        <f t="shared" si="16"/>
        <v>-900000</v>
      </c>
      <c r="N43" s="11">
        <f t="shared" si="16"/>
        <v>-900000</v>
      </c>
      <c r="O43" s="11">
        <f t="shared" si="16"/>
        <v>-900000</v>
      </c>
      <c r="P43" s="11">
        <f t="shared" si="16"/>
        <v>-900000</v>
      </c>
      <c r="Q43" s="11">
        <f t="shared" si="16"/>
        <v>-900000</v>
      </c>
      <c r="R43" s="11">
        <f t="shared" si="16"/>
        <v>-900000</v>
      </c>
      <c r="S43" s="11">
        <f t="shared" si="16"/>
        <v>-900000</v>
      </c>
      <c r="T43" s="11">
        <f t="shared" si="16"/>
        <v>-900000</v>
      </c>
      <c r="U43" s="11">
        <f t="shared" si="16"/>
        <v>-900000</v>
      </c>
      <c r="V43" s="11">
        <f t="shared" si="16"/>
        <v>-900000</v>
      </c>
      <c r="W43" s="11">
        <f t="shared" si="16"/>
        <v>-900000</v>
      </c>
      <c r="X43" s="11">
        <f t="shared" si="16"/>
        <v>-900000</v>
      </c>
      <c r="Y43" s="11">
        <f t="shared" si="16"/>
        <v>-900000</v>
      </c>
      <c r="Z43" s="11">
        <f t="shared" si="16"/>
        <v>-900000</v>
      </c>
      <c r="AA43" s="11">
        <f t="shared" si="16"/>
        <v>-900000</v>
      </c>
      <c r="AB43" s="11">
        <f t="shared" si="16"/>
        <v>-900000</v>
      </c>
      <c r="AC43" s="11">
        <f t="shared" si="16"/>
        <v>-900000</v>
      </c>
      <c r="AD43" s="11">
        <f t="shared" si="16"/>
        <v>-900000</v>
      </c>
      <c r="AE43" s="11">
        <f t="shared" si="16"/>
        <v>-900000</v>
      </c>
      <c r="AF43" s="11">
        <f t="shared" si="16"/>
        <v>-900000</v>
      </c>
      <c r="AG43" s="11">
        <f t="shared" si="16"/>
        <v>-900000</v>
      </c>
      <c r="AH43" s="11">
        <f t="shared" si="16"/>
        <v>-900000</v>
      </c>
      <c r="AI43" s="11">
        <f t="shared" si="16"/>
        <v>-900000</v>
      </c>
      <c r="AJ43" s="11">
        <f t="shared" si="16"/>
        <v>-900000</v>
      </c>
      <c r="AK43" s="11">
        <f t="shared" si="16"/>
        <v>-900000</v>
      </c>
      <c r="AL43" s="11">
        <f t="shared" si="16"/>
        <v>-900000</v>
      </c>
      <c r="AM43" s="11">
        <f t="shared" si="16"/>
        <v>-900000</v>
      </c>
      <c r="AN43" s="11">
        <f t="shared" si="16"/>
        <v>-900000</v>
      </c>
      <c r="AO43" s="11">
        <f t="shared" si="16"/>
        <v>-900000</v>
      </c>
      <c r="AP43" s="11">
        <f t="shared" si="16"/>
        <v>-900000</v>
      </c>
      <c r="AQ43" s="11">
        <f t="shared" si="16"/>
        <v>-900000</v>
      </c>
      <c r="AR43" s="11">
        <f t="shared" si="16"/>
        <v>-900000</v>
      </c>
      <c r="AS43" s="11">
        <f t="shared" si="16"/>
        <v>-900000</v>
      </c>
      <c r="AT43" s="11">
        <f t="shared" si="16"/>
        <v>-900000</v>
      </c>
      <c r="AU43" s="11">
        <f t="shared" si="16"/>
        <v>-900000</v>
      </c>
      <c r="AV43" s="11">
        <f t="shared" si="16"/>
        <v>-900000</v>
      </c>
      <c r="AW43" s="11">
        <f t="shared" si="16"/>
        <v>-900000</v>
      </c>
      <c r="AX43" s="11">
        <f t="shared" si="16"/>
        <v>-900000</v>
      </c>
      <c r="AY43" s="11">
        <f t="shared" si="16"/>
        <v>-900000</v>
      </c>
      <c r="AZ43" s="11">
        <f t="shared" si="16"/>
        <v>-900000</v>
      </c>
      <c r="BA43" s="11">
        <f t="shared" si="16"/>
        <v>-900000</v>
      </c>
      <c r="BB43" s="11">
        <f t="shared" si="16"/>
        <v>-900000</v>
      </c>
    </row>
    <row r="44" spans="3:55" x14ac:dyDescent="0.35">
      <c r="C44" s="28" t="s">
        <v>7</v>
      </c>
      <c r="D44" s="22"/>
      <c r="E44" s="22">
        <f t="shared" ref="E44:AJ44" si="17">SUM(E33:E43)</f>
        <v>15810009.599999998</v>
      </c>
      <c r="F44" s="22">
        <f t="shared" si="17"/>
        <v>13410694.151999997</v>
      </c>
      <c r="G44" s="22">
        <f t="shared" si="17"/>
        <v>13206642.035039999</v>
      </c>
      <c r="H44" s="22">
        <f t="shared" si="17"/>
        <v>13941117.683740802</v>
      </c>
      <c r="I44" s="22">
        <f t="shared" si="17"/>
        <v>13883432.071415618</v>
      </c>
      <c r="J44" s="22">
        <f t="shared" si="17"/>
        <v>13737288.192843929</v>
      </c>
      <c r="K44" s="22">
        <f t="shared" si="17"/>
        <v>13983774.046700807</v>
      </c>
      <c r="L44" s="22">
        <f t="shared" si="17"/>
        <v>14802370.517634826</v>
      </c>
      <c r="M44" s="22">
        <f t="shared" si="17"/>
        <v>14972243.05798752</v>
      </c>
      <c r="N44" s="22">
        <f t="shared" si="17"/>
        <v>14730319.469147263</v>
      </c>
      <c r="O44" s="22">
        <f t="shared" si="17"/>
        <v>15054328.858530222</v>
      </c>
      <c r="P44" s="22">
        <f t="shared" si="17"/>
        <v>15384692.435700819</v>
      </c>
      <c r="Q44" s="22">
        <f t="shared" si="17"/>
        <v>15721537.284414839</v>
      </c>
      <c r="R44" s="22">
        <f t="shared" si="17"/>
        <v>16064993.030103136</v>
      </c>
      <c r="S44" s="22">
        <f t="shared" si="17"/>
        <v>16415191.890705191</v>
      </c>
      <c r="T44" s="22">
        <f t="shared" si="17"/>
        <v>16772268.728519306</v>
      </c>
      <c r="U44" s="22">
        <f t="shared" si="17"/>
        <v>17136361.10308969</v>
      </c>
      <c r="V44" s="22">
        <f t="shared" si="17"/>
        <v>17507609.325151481</v>
      </c>
      <c r="W44" s="22">
        <f t="shared" si="17"/>
        <v>17886156.511654507</v>
      </c>
      <c r="X44" s="22">
        <f t="shared" si="17"/>
        <v>18272148.641887598</v>
      </c>
      <c r="Y44" s="22">
        <f t="shared" si="17"/>
        <v>18665734.614725344</v>
      </c>
      <c r="Z44" s="22">
        <f t="shared" si="17"/>
        <v>19067066.30701986</v>
      </c>
      <c r="AA44" s="22">
        <f t="shared" si="17"/>
        <v>19476298.633160252</v>
      </c>
      <c r="AB44" s="22">
        <f t="shared" si="17"/>
        <v>19893589.605823465</v>
      </c>
      <c r="AC44" s="22">
        <f t="shared" si="17"/>
        <v>20319100.397939932</v>
      </c>
      <c r="AD44" s="22">
        <f t="shared" si="17"/>
        <v>20752995.405898735</v>
      </c>
      <c r="AE44" s="22">
        <f t="shared" si="17"/>
        <v>21195442.314016707</v>
      </c>
      <c r="AF44" s="22">
        <f t="shared" si="17"/>
        <v>21646612.16029704</v>
      </c>
      <c r="AG44" s="22">
        <f t="shared" si="17"/>
        <v>22106679.403502986</v>
      </c>
      <c r="AH44" s="22">
        <f t="shared" si="17"/>
        <v>22575821.991573047</v>
      </c>
      <c r="AI44" s="22">
        <f t="shared" si="17"/>
        <v>23054221.431404509</v>
      </c>
      <c r="AJ44" s="22">
        <f t="shared" si="17"/>
        <v>23542062.860032603</v>
      </c>
      <c r="AK44" s="22">
        <f t="shared" ref="AK44:BB44" si="18">SUM(AK33:AK43)</f>
        <v>24039535.117233258</v>
      </c>
      <c r="AL44" s="22">
        <f t="shared" si="18"/>
        <v>24546830.819577921</v>
      </c>
      <c r="AM44" s="22">
        <f t="shared" si="18"/>
        <v>25064146.435969479</v>
      </c>
      <c r="AN44" s="22">
        <f t="shared" si="18"/>
        <v>25591682.364688877</v>
      </c>
      <c r="AO44" s="22">
        <f t="shared" si="18"/>
        <v>26129643.011982646</v>
      </c>
      <c r="AP44" s="22">
        <f t="shared" si="18"/>
        <v>26678236.872222301</v>
      </c>
      <c r="AQ44" s="22">
        <f t="shared" si="18"/>
        <v>27237676.60966675</v>
      </c>
      <c r="AR44" s="22">
        <f t="shared" si="18"/>
        <v>27808179.141860086</v>
      </c>
      <c r="AS44" s="22">
        <f t="shared" si="18"/>
        <v>28389965.724697284</v>
      </c>
      <c r="AT44" s="22">
        <f t="shared" si="18"/>
        <v>28983262.039191227</v>
      </c>
      <c r="AU44" s="22">
        <f t="shared" si="18"/>
        <v>29588298.27997506</v>
      </c>
      <c r="AV44" s="22">
        <f t="shared" si="18"/>
        <v>30205309.24557456</v>
      </c>
      <c r="AW44" s="22">
        <f t="shared" si="18"/>
        <v>30834534.430486061</v>
      </c>
      <c r="AX44" s="22">
        <f t="shared" si="18"/>
        <v>31476218.119095765</v>
      </c>
      <c r="AY44" s="22">
        <f t="shared" si="18"/>
        <v>32130609.481477693</v>
      </c>
      <c r="AZ44" s="22">
        <f t="shared" si="18"/>
        <v>32797962.671107247</v>
      </c>
      <c r="BA44" s="22">
        <f t="shared" si="18"/>
        <v>33478536.924529381</v>
      </c>
      <c r="BB44" s="22">
        <f t="shared" si="18"/>
        <v>34172596.663019978</v>
      </c>
    </row>
    <row r="45" spans="3:55" x14ac:dyDescent="0.35">
      <c r="C45" t="s">
        <v>59</v>
      </c>
      <c r="D45" s="11"/>
      <c r="E45" s="11">
        <f t="shared" ref="E45:BB45" si="19">selskatt*E44*(-1)</f>
        <v>-3636302.2079999996</v>
      </c>
      <c r="F45" s="11">
        <f t="shared" si="19"/>
        <v>-3084459.6549599995</v>
      </c>
      <c r="G45" s="11">
        <f t="shared" si="19"/>
        <v>-3037527.6680591996</v>
      </c>
      <c r="H45" s="11">
        <f t="shared" si="19"/>
        <v>-3206457.0672603846</v>
      </c>
      <c r="I45" s="11">
        <f t="shared" si="19"/>
        <v>-3193189.3764255922</v>
      </c>
      <c r="J45" s="11">
        <f t="shared" si="19"/>
        <v>-3159576.2843541037</v>
      </c>
      <c r="K45" s="11">
        <f t="shared" si="19"/>
        <v>-3216268.0307411859</v>
      </c>
      <c r="L45" s="11">
        <f t="shared" si="19"/>
        <v>-3404545.2190560102</v>
      </c>
      <c r="M45" s="11">
        <f t="shared" si="19"/>
        <v>-3443615.9033371299</v>
      </c>
      <c r="N45" s="11">
        <f t="shared" si="19"/>
        <v>-3387973.4779038709</v>
      </c>
      <c r="O45" s="11">
        <f t="shared" si="19"/>
        <v>-3462495.637461951</v>
      </c>
      <c r="P45" s="11">
        <f t="shared" si="19"/>
        <v>-3538479.2602111883</v>
      </c>
      <c r="Q45" s="11">
        <f t="shared" si="19"/>
        <v>-3615953.5754154129</v>
      </c>
      <c r="R45" s="11">
        <f t="shared" si="19"/>
        <v>-3694948.3969237213</v>
      </c>
      <c r="S45" s="11">
        <f t="shared" si="19"/>
        <v>-3775494.1348621938</v>
      </c>
      <c r="T45" s="11">
        <f t="shared" si="19"/>
        <v>-3857621.8075594404</v>
      </c>
      <c r="U45" s="11">
        <f t="shared" si="19"/>
        <v>-3941363.0537106288</v>
      </c>
      <c r="V45" s="11">
        <f t="shared" si="19"/>
        <v>-4026750.1447848408</v>
      </c>
      <c r="W45" s="11">
        <f t="shared" si="19"/>
        <v>-4113815.9976805369</v>
      </c>
      <c r="X45" s="11">
        <f t="shared" si="19"/>
        <v>-4202594.1876341477</v>
      </c>
      <c r="Y45" s="11">
        <f t="shared" si="19"/>
        <v>-4293118.9613868296</v>
      </c>
      <c r="Z45" s="11">
        <f t="shared" si="19"/>
        <v>-4385425.2506145677</v>
      </c>
      <c r="AA45" s="11">
        <f t="shared" si="19"/>
        <v>-4479548.6856268579</v>
      </c>
      <c r="AB45" s="11">
        <f t="shared" si="19"/>
        <v>-4575525.6093393974</v>
      </c>
      <c r="AC45" s="11">
        <f t="shared" si="19"/>
        <v>-4673393.0915261842</v>
      </c>
      <c r="AD45" s="11">
        <f t="shared" si="19"/>
        <v>-4773188.9433567096</v>
      </c>
      <c r="AE45" s="11">
        <f t="shared" si="19"/>
        <v>-4874951.7322238432</v>
      </c>
      <c r="AF45" s="11">
        <f t="shared" si="19"/>
        <v>-4978720.7968683196</v>
      </c>
      <c r="AG45" s="11">
        <f t="shared" si="19"/>
        <v>-5084536.2628056873</v>
      </c>
      <c r="AH45" s="11">
        <f t="shared" si="19"/>
        <v>-5192439.0580618009</v>
      </c>
      <c r="AI45" s="11">
        <f t="shared" si="19"/>
        <v>-5302470.9292230373</v>
      </c>
      <c r="AJ45" s="11">
        <f t="shared" si="19"/>
        <v>-5414674.457807499</v>
      </c>
      <c r="AK45" s="11">
        <f t="shared" si="19"/>
        <v>-5529093.0769636491</v>
      </c>
      <c r="AL45" s="11">
        <f t="shared" si="19"/>
        <v>-5645771.0885029221</v>
      </c>
      <c r="AM45" s="11">
        <f t="shared" si="19"/>
        <v>-5764753.6802729806</v>
      </c>
      <c r="AN45" s="11">
        <f t="shared" si="19"/>
        <v>-5886086.943878442</v>
      </c>
      <c r="AO45" s="11">
        <f t="shared" si="19"/>
        <v>-6009817.8927560085</v>
      </c>
      <c r="AP45" s="11">
        <f t="shared" si="19"/>
        <v>-6135994.4806111297</v>
      </c>
      <c r="AQ45" s="11">
        <f t="shared" si="19"/>
        <v>-6264665.6202233527</v>
      </c>
      <c r="AR45" s="11">
        <f t="shared" si="19"/>
        <v>-6395881.20262782</v>
      </c>
      <c r="AS45" s="11">
        <f t="shared" si="19"/>
        <v>-6529692.1166803753</v>
      </c>
      <c r="AT45" s="11">
        <f t="shared" si="19"/>
        <v>-6666150.2690139823</v>
      </c>
      <c r="AU45" s="11">
        <f t="shared" si="19"/>
        <v>-6805308.6043942645</v>
      </c>
      <c r="AV45" s="11">
        <f t="shared" si="19"/>
        <v>-6947221.1264821487</v>
      </c>
      <c r="AW45" s="11">
        <f t="shared" si="19"/>
        <v>-7091942.919011794</v>
      </c>
      <c r="AX45" s="11">
        <f t="shared" si="19"/>
        <v>-7239530.1673920266</v>
      </c>
      <c r="AY45" s="11">
        <f t="shared" si="19"/>
        <v>-7390040.1807398694</v>
      </c>
      <c r="AZ45" s="11">
        <f t="shared" si="19"/>
        <v>-7543531.4143546671</v>
      </c>
      <c r="BA45" s="11">
        <f t="shared" si="19"/>
        <v>-7700063.4926417582</v>
      </c>
      <c r="BB45" s="11">
        <f t="shared" si="19"/>
        <v>-7859697.2324945955</v>
      </c>
    </row>
    <row r="46" spans="3:55" x14ac:dyDescent="0.35">
      <c r="C46" s="28" t="s">
        <v>8</v>
      </c>
      <c r="D46" s="22"/>
      <c r="E46" s="22">
        <f>SUM(E44:E45)</f>
        <v>12173707.391999997</v>
      </c>
      <c r="F46" s="22">
        <f t="shared" ref="F46:BB46" si="20">SUM(F44:F45)</f>
        <v>10326234.497039998</v>
      </c>
      <c r="G46" s="22">
        <f t="shared" si="20"/>
        <v>10169114.366980799</v>
      </c>
      <c r="H46" s="22">
        <f t="shared" si="20"/>
        <v>10734660.616480418</v>
      </c>
      <c r="I46" s="22">
        <f t="shared" si="20"/>
        <v>10690242.694990026</v>
      </c>
      <c r="J46" s="22">
        <f t="shared" si="20"/>
        <v>10577711.908489825</v>
      </c>
      <c r="K46" s="22">
        <f t="shared" si="20"/>
        <v>10767506.01595962</v>
      </c>
      <c r="L46" s="22">
        <f t="shared" si="20"/>
        <v>11397825.298578816</v>
      </c>
      <c r="M46" s="22">
        <f t="shared" si="20"/>
        <v>11528627.15465039</v>
      </c>
      <c r="N46" s="22">
        <f t="shared" si="20"/>
        <v>11342345.991243392</v>
      </c>
      <c r="O46" s="22">
        <f t="shared" si="20"/>
        <v>11591833.221068271</v>
      </c>
      <c r="P46" s="22">
        <f t="shared" si="20"/>
        <v>11846213.175489631</v>
      </c>
      <c r="Q46" s="22">
        <f t="shared" si="20"/>
        <v>12105583.708999425</v>
      </c>
      <c r="R46" s="22">
        <f t="shared" si="20"/>
        <v>12370044.633179415</v>
      </c>
      <c r="S46" s="22">
        <f t="shared" si="20"/>
        <v>12639697.755842997</v>
      </c>
      <c r="T46" s="22">
        <f t="shared" si="20"/>
        <v>12914646.920959866</v>
      </c>
      <c r="U46" s="22">
        <f t="shared" si="20"/>
        <v>13194998.049379062</v>
      </c>
      <c r="V46" s="22">
        <f t="shared" si="20"/>
        <v>13480859.180366639</v>
      </c>
      <c r="W46" s="22">
        <f t="shared" si="20"/>
        <v>13772340.51397397</v>
      </c>
      <c r="X46" s="22">
        <f t="shared" si="20"/>
        <v>14069554.45425345</v>
      </c>
      <c r="Y46" s="22">
        <f t="shared" si="20"/>
        <v>14372615.653338514</v>
      </c>
      <c r="Z46" s="22">
        <f t="shared" si="20"/>
        <v>14681641.056405291</v>
      </c>
      <c r="AA46" s="22">
        <f t="shared" si="20"/>
        <v>14996749.947533395</v>
      </c>
      <c r="AB46" s="22">
        <f t="shared" si="20"/>
        <v>15318063.996484067</v>
      </c>
      <c r="AC46" s="22">
        <f t="shared" si="20"/>
        <v>15645707.306413747</v>
      </c>
      <c r="AD46" s="22">
        <f t="shared" si="20"/>
        <v>15979806.462542025</v>
      </c>
      <c r="AE46" s="22">
        <f t="shared" si="20"/>
        <v>16320490.581792865</v>
      </c>
      <c r="AF46" s="22">
        <f t="shared" si="20"/>
        <v>16667891.363428719</v>
      </c>
      <c r="AG46" s="22">
        <f t="shared" si="20"/>
        <v>17022143.1406973</v>
      </c>
      <c r="AH46" s="22">
        <f t="shared" si="20"/>
        <v>17383382.933511246</v>
      </c>
      <c r="AI46" s="22">
        <f t="shared" si="20"/>
        <v>17751750.50218147</v>
      </c>
      <c r="AJ46" s="22">
        <f t="shared" si="20"/>
        <v>18127388.402225103</v>
      </c>
      <c r="AK46" s="22">
        <f t="shared" si="20"/>
        <v>18510442.04026961</v>
      </c>
      <c r="AL46" s="22">
        <f t="shared" si="20"/>
        <v>18901059.731075</v>
      </c>
      <c r="AM46" s="22">
        <f t="shared" si="20"/>
        <v>19299392.755696498</v>
      </c>
      <c r="AN46" s="22">
        <f t="shared" si="20"/>
        <v>19705595.420810435</v>
      </c>
      <c r="AO46" s="22">
        <f t="shared" si="20"/>
        <v>20119825.119226638</v>
      </c>
      <c r="AP46" s="22">
        <f t="shared" si="20"/>
        <v>20542242.39161117</v>
      </c>
      <c r="AQ46" s="22">
        <f t="shared" si="20"/>
        <v>20973010.989443399</v>
      </c>
      <c r="AR46" s="22">
        <f t="shared" si="20"/>
        <v>21412297.939232267</v>
      </c>
      <c r="AS46" s="22">
        <f t="shared" si="20"/>
        <v>21860273.608016908</v>
      </c>
      <c r="AT46" s="22">
        <f t="shared" si="20"/>
        <v>22317111.770177245</v>
      </c>
      <c r="AU46" s="22">
        <f t="shared" si="20"/>
        <v>22782989.675580796</v>
      </c>
      <c r="AV46" s="22">
        <f t="shared" si="20"/>
        <v>23258088.119092412</v>
      </c>
      <c r="AW46" s="22">
        <f t="shared" si="20"/>
        <v>23742591.511474267</v>
      </c>
      <c r="AX46" s="22">
        <f t="shared" si="20"/>
        <v>24236687.951703738</v>
      </c>
      <c r="AY46" s="22">
        <f t="shared" si="20"/>
        <v>24740569.300737824</v>
      </c>
      <c r="AZ46" s="22">
        <f t="shared" si="20"/>
        <v>25254431.25675258</v>
      </c>
      <c r="BA46" s="22">
        <f t="shared" si="20"/>
        <v>25778473.431887623</v>
      </c>
      <c r="BB46" s="22">
        <f t="shared" si="20"/>
        <v>26312899.430525381</v>
      </c>
      <c r="BC46" s="11">
        <f>SUM(D46:BB46)</f>
        <v>831709361.33979368</v>
      </c>
    </row>
    <row r="47" spans="3:55" x14ac:dyDescent="0.35">
      <c r="C47" t="s">
        <v>10</v>
      </c>
      <c r="D47" s="11"/>
      <c r="E47" s="11">
        <f>E43*(-1)</f>
        <v>900000</v>
      </c>
      <c r="F47" s="11">
        <f t="shared" ref="F47:BB47" si="21">F43*(-1)</f>
        <v>900000</v>
      </c>
      <c r="G47" s="11">
        <f t="shared" si="21"/>
        <v>900000</v>
      </c>
      <c r="H47" s="11">
        <f t="shared" si="21"/>
        <v>900000</v>
      </c>
      <c r="I47" s="11">
        <f t="shared" si="21"/>
        <v>900000</v>
      </c>
      <c r="J47" s="11">
        <f t="shared" si="21"/>
        <v>900000</v>
      </c>
      <c r="K47" s="11">
        <f t="shared" si="21"/>
        <v>900000</v>
      </c>
      <c r="L47" s="11">
        <f t="shared" si="21"/>
        <v>900000</v>
      </c>
      <c r="M47" s="11">
        <f t="shared" si="21"/>
        <v>900000</v>
      </c>
      <c r="N47" s="11">
        <f t="shared" si="21"/>
        <v>900000</v>
      </c>
      <c r="O47" s="11">
        <f t="shared" si="21"/>
        <v>900000</v>
      </c>
      <c r="P47" s="11">
        <f t="shared" si="21"/>
        <v>900000</v>
      </c>
      <c r="Q47" s="11">
        <f t="shared" si="21"/>
        <v>900000</v>
      </c>
      <c r="R47" s="11">
        <f t="shared" si="21"/>
        <v>900000</v>
      </c>
      <c r="S47" s="11">
        <f t="shared" si="21"/>
        <v>900000</v>
      </c>
      <c r="T47" s="11">
        <f t="shared" si="21"/>
        <v>900000</v>
      </c>
      <c r="U47" s="11">
        <f t="shared" si="21"/>
        <v>900000</v>
      </c>
      <c r="V47" s="11">
        <f t="shared" si="21"/>
        <v>900000</v>
      </c>
      <c r="W47" s="11">
        <f t="shared" si="21"/>
        <v>900000</v>
      </c>
      <c r="X47" s="11">
        <f t="shared" si="21"/>
        <v>900000</v>
      </c>
      <c r="Y47" s="11">
        <f t="shared" si="21"/>
        <v>900000</v>
      </c>
      <c r="Z47" s="11">
        <f t="shared" si="21"/>
        <v>900000</v>
      </c>
      <c r="AA47" s="11">
        <f t="shared" si="21"/>
        <v>900000</v>
      </c>
      <c r="AB47" s="11">
        <f t="shared" si="21"/>
        <v>900000</v>
      </c>
      <c r="AC47" s="11">
        <f t="shared" si="21"/>
        <v>900000</v>
      </c>
      <c r="AD47" s="11">
        <f t="shared" si="21"/>
        <v>900000</v>
      </c>
      <c r="AE47" s="11">
        <f t="shared" si="21"/>
        <v>900000</v>
      </c>
      <c r="AF47" s="11">
        <f t="shared" si="21"/>
        <v>900000</v>
      </c>
      <c r="AG47" s="11">
        <f t="shared" si="21"/>
        <v>900000</v>
      </c>
      <c r="AH47" s="11">
        <f t="shared" si="21"/>
        <v>900000</v>
      </c>
      <c r="AI47" s="11">
        <f t="shared" si="21"/>
        <v>900000</v>
      </c>
      <c r="AJ47" s="11">
        <f t="shared" si="21"/>
        <v>900000</v>
      </c>
      <c r="AK47" s="11">
        <f t="shared" si="21"/>
        <v>900000</v>
      </c>
      <c r="AL47" s="11">
        <f t="shared" si="21"/>
        <v>900000</v>
      </c>
      <c r="AM47" s="11">
        <f t="shared" si="21"/>
        <v>900000</v>
      </c>
      <c r="AN47" s="11">
        <f t="shared" si="21"/>
        <v>900000</v>
      </c>
      <c r="AO47" s="11">
        <f t="shared" si="21"/>
        <v>900000</v>
      </c>
      <c r="AP47" s="11">
        <f t="shared" si="21"/>
        <v>900000</v>
      </c>
      <c r="AQ47" s="11">
        <f t="shared" si="21"/>
        <v>900000</v>
      </c>
      <c r="AR47" s="11">
        <f t="shared" si="21"/>
        <v>900000</v>
      </c>
      <c r="AS47" s="11">
        <f t="shared" si="21"/>
        <v>900000</v>
      </c>
      <c r="AT47" s="11">
        <f t="shared" si="21"/>
        <v>900000</v>
      </c>
      <c r="AU47" s="11">
        <f t="shared" si="21"/>
        <v>900000</v>
      </c>
      <c r="AV47" s="11">
        <f t="shared" si="21"/>
        <v>900000</v>
      </c>
      <c r="AW47" s="11">
        <f t="shared" si="21"/>
        <v>900000</v>
      </c>
      <c r="AX47" s="11">
        <f t="shared" si="21"/>
        <v>900000</v>
      </c>
      <c r="AY47" s="11">
        <f t="shared" si="21"/>
        <v>900000</v>
      </c>
      <c r="AZ47" s="11">
        <f t="shared" si="21"/>
        <v>900000</v>
      </c>
      <c r="BA47" s="11">
        <f t="shared" si="21"/>
        <v>900000</v>
      </c>
      <c r="BB47" s="11">
        <f t="shared" si="21"/>
        <v>900000</v>
      </c>
      <c r="BC47" s="11">
        <f t="shared" ref="BC47:BC51" si="22">SUM(D47:BB47)</f>
        <v>45000000</v>
      </c>
    </row>
    <row r="48" spans="3:55" x14ac:dyDescent="0.35">
      <c r="C48" t="s">
        <v>33</v>
      </c>
      <c r="D48" s="11"/>
      <c r="E48" s="11">
        <f>E109</f>
        <v>-1279677.6664075479</v>
      </c>
      <c r="F48" s="11">
        <f t="shared" ref="F48:M48" si="23">F109</f>
        <v>-55985.897905331105</v>
      </c>
      <c r="G48" s="11">
        <f t="shared" si="23"/>
        <v>467882.14678025991</v>
      </c>
      <c r="H48" s="11">
        <f t="shared" si="23"/>
        <v>27992.948952665552</v>
      </c>
      <c r="I48" s="11">
        <f t="shared" si="23"/>
        <v>-19994.963537618518</v>
      </c>
      <c r="J48" s="11">
        <f t="shared" si="23"/>
        <v>199949.63537617959</v>
      </c>
      <c r="K48" s="11">
        <f t="shared" si="23"/>
        <v>519869.05197806656</v>
      </c>
      <c r="L48" s="11">
        <f t="shared" si="23"/>
        <v>159959.70830094256</v>
      </c>
      <c r="M48" s="11">
        <f t="shared" si="23"/>
        <v>-67982.876027902588</v>
      </c>
      <c r="N48" s="11">
        <f>N109</f>
        <v>248577.38669967093</v>
      </c>
      <c r="O48" s="11">
        <f t="shared" ref="O48:BB48" si="24">O109</f>
        <v>253548.93443365581</v>
      </c>
      <c r="P48" s="11">
        <f>P109</f>
        <v>258619.91312233359</v>
      </c>
      <c r="Q48" s="11">
        <f t="shared" si="24"/>
        <v>263792.31138478033</v>
      </c>
      <c r="R48" s="11">
        <f t="shared" si="24"/>
        <v>269068.15761247091</v>
      </c>
      <c r="S48" s="11">
        <f t="shared" si="24"/>
        <v>274449.52076472901</v>
      </c>
      <c r="T48" s="11">
        <f t="shared" si="24"/>
        <v>279938.51118001901</v>
      </c>
      <c r="U48" s="11">
        <f t="shared" si="24"/>
        <v>285537.28140361607</v>
      </c>
      <c r="V48" s="11">
        <f t="shared" si="24"/>
        <v>291248.02703168988</v>
      </c>
      <c r="W48" s="11">
        <f t="shared" si="24"/>
        <v>297072.98757232726</v>
      </c>
      <c r="X48" s="11">
        <f t="shared" si="24"/>
        <v>303014.44732376933</v>
      </c>
      <c r="Y48" s="11">
        <f t="shared" si="24"/>
        <v>309074.73627024889</v>
      </c>
      <c r="Z48" s="11">
        <f t="shared" si="24"/>
        <v>315256.2309956532</v>
      </c>
      <c r="AA48" s="11">
        <f t="shared" si="24"/>
        <v>321561.35561556555</v>
      </c>
      <c r="AB48" s="11">
        <f t="shared" si="24"/>
        <v>327992.58272787742</v>
      </c>
      <c r="AC48" s="11">
        <f t="shared" si="24"/>
        <v>334552.4343824368</v>
      </c>
      <c r="AD48" s="11">
        <f t="shared" si="24"/>
        <v>341243.48307007924</v>
      </c>
      <c r="AE48" s="11">
        <f t="shared" si="24"/>
        <v>348068.35273148492</v>
      </c>
      <c r="AF48" s="11">
        <f t="shared" si="24"/>
        <v>355029.71978611872</v>
      </c>
      <c r="AG48" s="11">
        <f t="shared" si="24"/>
        <v>362130.31418183446</v>
      </c>
      <c r="AH48" s="11">
        <f t="shared" si="24"/>
        <v>369372.92046547309</v>
      </c>
      <c r="AI48" s="11">
        <f t="shared" si="24"/>
        <v>376760.3788747862</v>
      </c>
      <c r="AJ48" s="11">
        <f t="shared" si="24"/>
        <v>384295.58645227924</v>
      </c>
      <c r="AK48" s="11">
        <f t="shared" si="24"/>
        <v>391981.49818132445</v>
      </c>
      <c r="AL48" s="11">
        <f t="shared" si="24"/>
        <v>399821.1281449534</v>
      </c>
      <c r="AM48" s="11">
        <f t="shared" si="24"/>
        <v>407817.55070785061</v>
      </c>
      <c r="AN48" s="11">
        <f t="shared" si="24"/>
        <v>415973.90172200277</v>
      </c>
      <c r="AO48" s="11">
        <f t="shared" si="24"/>
        <v>424293.37975645065</v>
      </c>
      <c r="AP48" s="11">
        <f t="shared" si="24"/>
        <v>432779.24735157192</v>
      </c>
      <c r="AQ48" s="11">
        <f t="shared" si="24"/>
        <v>441434.83229861036</v>
      </c>
      <c r="AR48" s="11">
        <f t="shared" si="24"/>
        <v>450263.52894457802</v>
      </c>
      <c r="AS48" s="11">
        <f t="shared" si="24"/>
        <v>459268.79952346906</v>
      </c>
      <c r="AT48" s="11">
        <f t="shared" si="24"/>
        <v>468454.17551394552</v>
      </c>
      <c r="AU48" s="11">
        <f t="shared" si="24"/>
        <v>477823.25902421772</v>
      </c>
      <c r="AV48" s="11">
        <f t="shared" si="24"/>
        <v>487379.72420470417</v>
      </c>
      <c r="AW48" s="11">
        <f t="shared" si="24"/>
        <v>497127.31868879497</v>
      </c>
      <c r="AX48" s="11">
        <f t="shared" si="24"/>
        <v>507069.86506257206</v>
      </c>
      <c r="AY48" s="11">
        <f t="shared" si="24"/>
        <v>517211.26236382499</v>
      </c>
      <c r="AZ48" s="11">
        <f t="shared" si="24"/>
        <v>527555.48761110008</v>
      </c>
      <c r="BA48" s="11">
        <f t="shared" si="24"/>
        <v>538106.59736333042</v>
      </c>
      <c r="BB48" s="11">
        <f t="shared" si="24"/>
        <v>-27443436.465529501</v>
      </c>
      <c r="BC48" s="11">
        <f t="shared" si="22"/>
        <v>-12476857.247473586</v>
      </c>
    </row>
    <row r="49" spans="3:55" x14ac:dyDescent="0.35">
      <c r="C49" t="s">
        <v>5</v>
      </c>
      <c r="D49" s="11">
        <f>inve</f>
        <v>-45000000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>
        <f t="shared" si="22"/>
        <v>-45000000</v>
      </c>
    </row>
    <row r="50" spans="3:55" x14ac:dyDescent="0.35">
      <c r="C50" t="s">
        <v>97</v>
      </c>
      <c r="D50" s="11">
        <f>D109</f>
        <v>12476857.247473586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>
        <f t="shared" si="22"/>
        <v>12476857.247473586</v>
      </c>
    </row>
    <row r="51" spans="3:55" x14ac:dyDescent="0.35">
      <c r="C51" s="28" t="s">
        <v>32</v>
      </c>
      <c r="D51" s="22">
        <f>SUM(D46:D50)</f>
        <v>-32523142.752526414</v>
      </c>
      <c r="E51" s="22">
        <f t="shared" ref="E51:BB51" si="25">SUM(E46:E50)</f>
        <v>11794029.725592449</v>
      </c>
      <c r="F51" s="22">
        <f t="shared" si="25"/>
        <v>11170248.599134667</v>
      </c>
      <c r="G51" s="22">
        <f t="shared" si="25"/>
        <v>11536996.513761058</v>
      </c>
      <c r="H51" s="22">
        <f t="shared" si="25"/>
        <v>11662653.565433083</v>
      </c>
      <c r="I51" s="22">
        <f t="shared" si="25"/>
        <v>11570247.731452407</v>
      </c>
      <c r="J51" s="22">
        <f t="shared" si="25"/>
        <v>11677661.543866005</v>
      </c>
      <c r="K51" s="22">
        <f t="shared" si="25"/>
        <v>12187375.067937687</v>
      </c>
      <c r="L51" s="22">
        <f t="shared" si="25"/>
        <v>12457785.006879758</v>
      </c>
      <c r="M51" s="22">
        <f t="shared" si="25"/>
        <v>12360644.278622488</v>
      </c>
      <c r="N51" s="22">
        <f t="shared" si="25"/>
        <v>12490923.377943063</v>
      </c>
      <c r="O51" s="22">
        <f t="shared" si="25"/>
        <v>12745382.155501926</v>
      </c>
      <c r="P51" s="22">
        <f t="shared" si="25"/>
        <v>13004833.088611964</v>
      </c>
      <c r="Q51" s="22">
        <f t="shared" si="25"/>
        <v>13269376.020384206</v>
      </c>
      <c r="R51" s="22">
        <f t="shared" si="25"/>
        <v>13539112.790791886</v>
      </c>
      <c r="S51" s="22">
        <f t="shared" si="25"/>
        <v>13814147.276607726</v>
      </c>
      <c r="T51" s="22">
        <f t="shared" si="25"/>
        <v>14094585.432139885</v>
      </c>
      <c r="U51" s="22">
        <f t="shared" si="25"/>
        <v>14380535.330782678</v>
      </c>
      <c r="V51" s="22">
        <f t="shared" si="25"/>
        <v>14672107.207398329</v>
      </c>
      <c r="W51" s="22">
        <f t="shared" si="25"/>
        <v>14969413.501546297</v>
      </c>
      <c r="X51" s="22">
        <f t="shared" si="25"/>
        <v>15272568.901577219</v>
      </c>
      <c r="Y51" s="22">
        <f t="shared" si="25"/>
        <v>15581690.389608763</v>
      </c>
      <c r="Z51" s="22">
        <f t="shared" si="25"/>
        <v>15896897.287400944</v>
      </c>
      <c r="AA51" s="22">
        <f t="shared" si="25"/>
        <v>16218311.303148961</v>
      </c>
      <c r="AB51" s="22">
        <f t="shared" si="25"/>
        <v>16546056.579211945</v>
      </c>
      <c r="AC51" s="22">
        <f t="shared" si="25"/>
        <v>16880259.740796186</v>
      </c>
      <c r="AD51" s="22">
        <f t="shared" si="25"/>
        <v>17221049.945612106</v>
      </c>
      <c r="AE51" s="22">
        <f t="shared" si="25"/>
        <v>17568558.93452435</v>
      </c>
      <c r="AF51" s="22">
        <f t="shared" si="25"/>
        <v>17922921.083214838</v>
      </c>
      <c r="AG51" s="22">
        <f t="shared" si="25"/>
        <v>18284273.454879135</v>
      </c>
      <c r="AH51" s="22">
        <f t="shared" si="25"/>
        <v>18652755.853976719</v>
      </c>
      <c r="AI51" s="22">
        <f t="shared" si="25"/>
        <v>19028510.881056257</v>
      </c>
      <c r="AJ51" s="22">
        <f t="shared" si="25"/>
        <v>19411683.988677382</v>
      </c>
      <c r="AK51" s="22">
        <f t="shared" si="25"/>
        <v>19802423.538450934</v>
      </c>
      <c r="AL51" s="22">
        <f t="shared" si="25"/>
        <v>20200880.859219953</v>
      </c>
      <c r="AM51" s="22">
        <f t="shared" si="25"/>
        <v>20607210.306404348</v>
      </c>
      <c r="AN51" s="22">
        <f t="shared" si="25"/>
        <v>21021569.322532438</v>
      </c>
      <c r="AO51" s="22">
        <f t="shared" si="25"/>
        <v>21444118.498983089</v>
      </c>
      <c r="AP51" s="22">
        <f t="shared" si="25"/>
        <v>21875021.638962742</v>
      </c>
      <c r="AQ51" s="22">
        <f t="shared" si="25"/>
        <v>22314445.821742009</v>
      </c>
      <c r="AR51" s="22">
        <f t="shared" si="25"/>
        <v>22762561.468176845</v>
      </c>
      <c r="AS51" s="22">
        <f t="shared" si="25"/>
        <v>23219542.407540377</v>
      </c>
      <c r="AT51" s="22">
        <f t="shared" si="25"/>
        <v>23685565.945691191</v>
      </c>
      <c r="AU51" s="22">
        <f t="shared" si="25"/>
        <v>24160812.934605014</v>
      </c>
      <c r="AV51" s="22">
        <f t="shared" si="25"/>
        <v>24645467.843297116</v>
      </c>
      <c r="AW51" s="22">
        <f t="shared" si="25"/>
        <v>25139718.830163062</v>
      </c>
      <c r="AX51" s="22">
        <f t="shared" si="25"/>
        <v>25643757.81676631</v>
      </c>
      <c r="AY51" s="22">
        <f t="shared" si="25"/>
        <v>26157780.563101649</v>
      </c>
      <c r="AZ51" s="22">
        <f t="shared" si="25"/>
        <v>26681986.74436368</v>
      </c>
      <c r="BA51" s="22">
        <f t="shared" si="25"/>
        <v>27216580.029250953</v>
      </c>
      <c r="BB51" s="22">
        <f t="shared" si="25"/>
        <v>-230537.03500412032</v>
      </c>
      <c r="BC51" s="11">
        <f t="shared" si="22"/>
        <v>831709361.33979356</v>
      </c>
    </row>
    <row r="52" spans="3:55" x14ac:dyDescent="0.3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3:55" x14ac:dyDescent="0.35">
      <c r="C53" t="s">
        <v>98</v>
      </c>
      <c r="D53" s="11">
        <f>NPV(D54,E51:BB51)+D51</f>
        <v>209672636.39180011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3:55" x14ac:dyDescent="0.35">
      <c r="C54" t="s">
        <v>99</v>
      </c>
      <c r="D54" s="50">
        <f>rtk</f>
        <v>5.5836339999999998E-2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3:55" x14ac:dyDescent="0.35">
      <c r="C55" t="s">
        <v>100</v>
      </c>
      <c r="D55" s="50">
        <f>IRR(D51:BB51)</f>
        <v>0.36089915282291107</v>
      </c>
    </row>
    <row r="58" spans="3:55" x14ac:dyDescent="0.35">
      <c r="C58" t="s">
        <v>49</v>
      </c>
    </row>
    <row r="60" spans="3:55" x14ac:dyDescent="0.35">
      <c r="C60" t="s">
        <v>53</v>
      </c>
      <c r="D60">
        <v>0</v>
      </c>
      <c r="E60">
        <v>1</v>
      </c>
      <c r="F60">
        <v>2</v>
      </c>
      <c r="G60">
        <v>3</v>
      </c>
      <c r="H60">
        <v>4</v>
      </c>
      <c r="I60">
        <v>5</v>
      </c>
      <c r="J60">
        <v>6</v>
      </c>
      <c r="K60">
        <v>7</v>
      </c>
      <c r="L60">
        <v>8</v>
      </c>
      <c r="M60">
        <v>9</v>
      </c>
      <c r="N60">
        <v>10</v>
      </c>
      <c r="O60">
        <v>11</v>
      </c>
      <c r="P60">
        <v>12</v>
      </c>
      <c r="Q60">
        <v>13</v>
      </c>
      <c r="R60">
        <v>14</v>
      </c>
      <c r="S60">
        <v>15</v>
      </c>
      <c r="T60">
        <v>16</v>
      </c>
      <c r="U60">
        <v>17</v>
      </c>
      <c r="V60">
        <v>18</v>
      </c>
      <c r="W60">
        <v>19</v>
      </c>
      <c r="X60">
        <v>20</v>
      </c>
      <c r="Y60">
        <v>21</v>
      </c>
      <c r="Z60">
        <v>22</v>
      </c>
      <c r="AA60">
        <v>23</v>
      </c>
      <c r="AB60">
        <v>24</v>
      </c>
      <c r="AC60">
        <v>25</v>
      </c>
      <c r="AD60">
        <v>26</v>
      </c>
      <c r="AE60">
        <v>27</v>
      </c>
      <c r="AF60">
        <v>28</v>
      </c>
      <c r="AG60">
        <v>29</v>
      </c>
      <c r="AH60">
        <v>30</v>
      </c>
      <c r="AI60">
        <v>31</v>
      </c>
      <c r="AJ60">
        <v>32</v>
      </c>
      <c r="AK60">
        <v>33</v>
      </c>
      <c r="AL60">
        <v>34</v>
      </c>
      <c r="AM60">
        <v>35</v>
      </c>
      <c r="AN60">
        <v>36</v>
      </c>
      <c r="AO60">
        <v>37</v>
      </c>
      <c r="AP60">
        <v>38</v>
      </c>
      <c r="AQ60">
        <v>39</v>
      </c>
      <c r="AR60">
        <v>40</v>
      </c>
      <c r="AS60">
        <v>41</v>
      </c>
      <c r="AT60">
        <v>42</v>
      </c>
      <c r="AU60">
        <v>43</v>
      </c>
      <c r="AV60">
        <v>44</v>
      </c>
      <c r="AW60">
        <v>45</v>
      </c>
      <c r="AX60">
        <v>46</v>
      </c>
      <c r="AY60">
        <v>47</v>
      </c>
      <c r="AZ60">
        <v>48</v>
      </c>
      <c r="BA60">
        <v>49</v>
      </c>
      <c r="BB60">
        <v>50</v>
      </c>
    </row>
    <row r="61" spans="3:55" x14ac:dyDescent="0.35">
      <c r="C61" t="s">
        <v>62</v>
      </c>
      <c r="D61" s="11"/>
      <c r="E61" s="11">
        <f t="shared" ref="E61:T62" si="26">E31</f>
        <v>31.512</v>
      </c>
      <c r="F61" s="11">
        <f t="shared" si="26"/>
        <v>28.28</v>
      </c>
      <c r="G61" s="11">
        <f t="shared" si="26"/>
        <v>28.1386</v>
      </c>
      <c r="H61" s="11">
        <f t="shared" si="26"/>
        <v>29.320300000000003</v>
      </c>
      <c r="I61" s="11">
        <f t="shared" si="26"/>
        <v>29.391000000000002</v>
      </c>
      <c r="J61" s="11">
        <f t="shared" si="26"/>
        <v>29.340500000000002</v>
      </c>
      <c r="K61" s="11">
        <f t="shared" si="26"/>
        <v>29.845500000000001</v>
      </c>
      <c r="L61" s="11">
        <f t="shared" si="26"/>
        <v>31.1585</v>
      </c>
      <c r="M61" s="11">
        <f t="shared" si="26"/>
        <v>31.5625</v>
      </c>
      <c r="N61" s="11">
        <f t="shared" si="26"/>
        <v>31.390799999999999</v>
      </c>
      <c r="O61" s="11">
        <f t="shared" ref="O61:BB61" si="27">N61*(1+infl)</f>
        <v>32.018616000000002</v>
      </c>
      <c r="P61" s="11">
        <f t="shared" si="27"/>
        <v>32.658988319999999</v>
      </c>
      <c r="Q61" s="11">
        <f t="shared" si="27"/>
        <v>33.3121680864</v>
      </c>
      <c r="R61" s="11">
        <f t="shared" si="27"/>
        <v>33.978411448128</v>
      </c>
      <c r="S61" s="11">
        <f t="shared" si="27"/>
        <v>34.657979677090559</v>
      </c>
      <c r="T61" s="11">
        <f t="shared" si="27"/>
        <v>35.351139270632373</v>
      </c>
      <c r="U61" s="11">
        <f t="shared" si="27"/>
        <v>36.05816205604502</v>
      </c>
      <c r="V61" s="11">
        <f t="shared" si="27"/>
        <v>36.779325297165919</v>
      </c>
      <c r="W61" s="11">
        <f t="shared" si="27"/>
        <v>37.514911803109236</v>
      </c>
      <c r="X61" s="11">
        <f t="shared" si="27"/>
        <v>38.265210039171421</v>
      </c>
      <c r="Y61" s="11">
        <f t="shared" si="27"/>
        <v>39.030514239954847</v>
      </c>
      <c r="Z61" s="11">
        <f t="shared" si="27"/>
        <v>39.811124524753943</v>
      </c>
      <c r="AA61" s="11">
        <f t="shared" si="27"/>
        <v>40.607347015249026</v>
      </c>
      <c r="AB61" s="11">
        <f t="shared" si="27"/>
        <v>41.41949395555401</v>
      </c>
      <c r="AC61" s="11">
        <f t="shared" si="27"/>
        <v>42.247883834665089</v>
      </c>
      <c r="AD61" s="11">
        <f t="shared" si="27"/>
        <v>43.092841511358394</v>
      </c>
      <c r="AE61" s="11">
        <f t="shared" si="27"/>
        <v>43.954698341585562</v>
      </c>
      <c r="AF61" s="11">
        <f t="shared" si="27"/>
        <v>44.833792308417273</v>
      </c>
      <c r="AG61" s="11">
        <f t="shared" si="27"/>
        <v>45.730468154585623</v>
      </c>
      <c r="AH61" s="11">
        <f t="shared" si="27"/>
        <v>46.645077517677336</v>
      </c>
      <c r="AI61" s="11">
        <f t="shared" si="27"/>
        <v>47.577979068030885</v>
      </c>
      <c r="AJ61" s="11">
        <f t="shared" si="27"/>
        <v>48.529538649391505</v>
      </c>
      <c r="AK61" s="11">
        <f t="shared" si="27"/>
        <v>49.500129422379338</v>
      </c>
      <c r="AL61" s="11">
        <f t="shared" si="27"/>
        <v>50.490132010826926</v>
      </c>
      <c r="AM61" s="11">
        <f t="shared" si="27"/>
        <v>51.499934651043468</v>
      </c>
      <c r="AN61" s="11">
        <f t="shared" si="27"/>
        <v>52.529933344064339</v>
      </c>
      <c r="AO61" s="11">
        <f t="shared" si="27"/>
        <v>53.580532010945625</v>
      </c>
      <c r="AP61" s="11">
        <f t="shared" si="27"/>
        <v>54.652142651164539</v>
      </c>
      <c r="AQ61" s="11">
        <f t="shared" si="27"/>
        <v>55.74518550418783</v>
      </c>
      <c r="AR61" s="11">
        <f t="shared" si="27"/>
        <v>56.860089214271589</v>
      </c>
      <c r="AS61" s="11">
        <f t="shared" si="27"/>
        <v>57.99729099855702</v>
      </c>
      <c r="AT61" s="11">
        <f t="shared" si="27"/>
        <v>59.157236818528162</v>
      </c>
      <c r="AU61" s="11">
        <f t="shared" si="27"/>
        <v>60.340381554898727</v>
      </c>
      <c r="AV61" s="11">
        <f t="shared" si="27"/>
        <v>61.5471891859967</v>
      </c>
      <c r="AW61" s="11">
        <f t="shared" si="27"/>
        <v>62.778132969716637</v>
      </c>
      <c r="AX61" s="11">
        <f t="shared" si="27"/>
        <v>64.033695629110966</v>
      </c>
      <c r="AY61" s="11">
        <f t="shared" si="27"/>
        <v>65.314369541693182</v>
      </c>
      <c r="AZ61" s="11">
        <f t="shared" si="27"/>
        <v>66.620656932527041</v>
      </c>
      <c r="BA61" s="11">
        <f t="shared" si="27"/>
        <v>67.953070071177578</v>
      </c>
      <c r="BB61" s="11">
        <f t="shared" si="27"/>
        <v>69.312131472601138</v>
      </c>
    </row>
    <row r="62" spans="3:55" x14ac:dyDescent="0.35">
      <c r="C62" t="s">
        <v>31</v>
      </c>
      <c r="D62" s="11"/>
      <c r="E62" s="11">
        <f t="shared" si="26"/>
        <v>79000</v>
      </c>
      <c r="F62" s="11">
        <f t="shared" si="26"/>
        <v>79000</v>
      </c>
      <c r="G62" s="11">
        <f t="shared" si="26"/>
        <v>79000</v>
      </c>
      <c r="H62" s="11">
        <f t="shared" si="26"/>
        <v>79000</v>
      </c>
      <c r="I62" s="11">
        <f t="shared" si="26"/>
        <v>79000</v>
      </c>
      <c r="J62" s="11">
        <f t="shared" si="26"/>
        <v>79000</v>
      </c>
      <c r="K62" s="11">
        <f t="shared" si="26"/>
        <v>79000</v>
      </c>
      <c r="L62" s="11">
        <f t="shared" si="26"/>
        <v>79000</v>
      </c>
      <c r="M62" s="11">
        <f t="shared" si="26"/>
        <v>79000</v>
      </c>
      <c r="N62" s="11">
        <f t="shared" si="26"/>
        <v>79000</v>
      </c>
      <c r="O62" s="11">
        <f t="shared" si="26"/>
        <v>79000</v>
      </c>
      <c r="P62" s="11">
        <f t="shared" si="26"/>
        <v>79000</v>
      </c>
      <c r="Q62" s="11">
        <f t="shared" si="26"/>
        <v>79000</v>
      </c>
      <c r="R62" s="11">
        <f t="shared" si="26"/>
        <v>79000</v>
      </c>
      <c r="S62" s="11">
        <f t="shared" si="26"/>
        <v>79000</v>
      </c>
      <c r="T62" s="11">
        <f t="shared" si="26"/>
        <v>79000</v>
      </c>
      <c r="U62" s="11">
        <f t="shared" ref="U62:BB62" si="28">U32</f>
        <v>79000</v>
      </c>
      <c r="V62" s="11">
        <f t="shared" si="28"/>
        <v>79000</v>
      </c>
      <c r="W62" s="11">
        <f t="shared" si="28"/>
        <v>79000</v>
      </c>
      <c r="X62" s="11">
        <f t="shared" si="28"/>
        <v>79000</v>
      </c>
      <c r="Y62" s="11">
        <f t="shared" si="28"/>
        <v>79000</v>
      </c>
      <c r="Z62" s="11">
        <f t="shared" si="28"/>
        <v>79000</v>
      </c>
      <c r="AA62" s="11">
        <f t="shared" si="28"/>
        <v>79000</v>
      </c>
      <c r="AB62" s="11">
        <f t="shared" si="28"/>
        <v>79000</v>
      </c>
      <c r="AC62" s="11">
        <f t="shared" si="28"/>
        <v>79000</v>
      </c>
      <c r="AD62" s="11">
        <f t="shared" si="28"/>
        <v>79000</v>
      </c>
      <c r="AE62" s="11">
        <f t="shared" si="28"/>
        <v>79000</v>
      </c>
      <c r="AF62" s="11">
        <f t="shared" si="28"/>
        <v>79000</v>
      </c>
      <c r="AG62" s="11">
        <f t="shared" si="28"/>
        <v>79000</v>
      </c>
      <c r="AH62" s="11">
        <f t="shared" si="28"/>
        <v>79000</v>
      </c>
      <c r="AI62" s="11">
        <f t="shared" si="28"/>
        <v>79000</v>
      </c>
      <c r="AJ62" s="11">
        <f t="shared" si="28"/>
        <v>79000</v>
      </c>
      <c r="AK62" s="11">
        <f t="shared" si="28"/>
        <v>79000</v>
      </c>
      <c r="AL62" s="11">
        <f t="shared" si="28"/>
        <v>79000</v>
      </c>
      <c r="AM62" s="11">
        <f t="shared" si="28"/>
        <v>79000</v>
      </c>
      <c r="AN62" s="11">
        <f t="shared" si="28"/>
        <v>79000</v>
      </c>
      <c r="AO62" s="11">
        <f t="shared" si="28"/>
        <v>79000</v>
      </c>
      <c r="AP62" s="11">
        <f t="shared" si="28"/>
        <v>79000</v>
      </c>
      <c r="AQ62" s="11">
        <f t="shared" si="28"/>
        <v>79000</v>
      </c>
      <c r="AR62" s="11">
        <f t="shared" si="28"/>
        <v>79000</v>
      </c>
      <c r="AS62" s="11">
        <f t="shared" si="28"/>
        <v>79000</v>
      </c>
      <c r="AT62" s="11">
        <f t="shared" si="28"/>
        <v>79000</v>
      </c>
      <c r="AU62" s="11">
        <f t="shared" si="28"/>
        <v>79000</v>
      </c>
      <c r="AV62" s="11">
        <f t="shared" si="28"/>
        <v>79000</v>
      </c>
      <c r="AW62" s="11">
        <f t="shared" si="28"/>
        <v>79000</v>
      </c>
      <c r="AX62" s="11">
        <f t="shared" si="28"/>
        <v>79000</v>
      </c>
      <c r="AY62" s="11">
        <f t="shared" si="28"/>
        <v>79000</v>
      </c>
      <c r="AZ62" s="11">
        <f t="shared" si="28"/>
        <v>79000</v>
      </c>
      <c r="BA62" s="11">
        <f t="shared" si="28"/>
        <v>79000</v>
      </c>
      <c r="BB62" s="11">
        <f t="shared" si="28"/>
        <v>79000</v>
      </c>
    </row>
    <row r="63" spans="3:55" x14ac:dyDescent="0.35">
      <c r="C63" t="s">
        <v>63</v>
      </c>
      <c r="D63" s="11"/>
      <c r="E63" s="11">
        <f t="shared" ref="E63:BB63" si="29">E61*E62*valuta</f>
        <v>22405032</v>
      </c>
      <c r="F63" s="11">
        <f t="shared" si="29"/>
        <v>20107080</v>
      </c>
      <c r="G63" s="11">
        <f t="shared" si="29"/>
        <v>20006544.599999998</v>
      </c>
      <c r="H63" s="11">
        <f t="shared" si="29"/>
        <v>20846733.300000001</v>
      </c>
      <c r="I63" s="11">
        <f t="shared" si="29"/>
        <v>20897001</v>
      </c>
      <c r="J63" s="11">
        <f t="shared" si="29"/>
        <v>20861095.5</v>
      </c>
      <c r="K63" s="11">
        <f t="shared" si="29"/>
        <v>21220150.5</v>
      </c>
      <c r="L63" s="11">
        <f t="shared" si="29"/>
        <v>22153693.5</v>
      </c>
      <c r="M63" s="11">
        <f t="shared" si="29"/>
        <v>22440937.5</v>
      </c>
      <c r="N63" s="11">
        <f t="shared" si="29"/>
        <v>22318858.799999997</v>
      </c>
      <c r="O63" s="11">
        <f t="shared" si="29"/>
        <v>22765235.976000004</v>
      </c>
      <c r="P63" s="11">
        <f t="shared" si="29"/>
        <v>23220540.695519999</v>
      </c>
      <c r="Q63" s="11">
        <f t="shared" si="29"/>
        <v>23684951.509430401</v>
      </c>
      <c r="R63" s="11">
        <f t="shared" si="29"/>
        <v>24158650.53961901</v>
      </c>
      <c r="S63" s="11">
        <f t="shared" si="29"/>
        <v>24641823.550411385</v>
      </c>
      <c r="T63" s="11">
        <f t="shared" si="29"/>
        <v>25134660.021419618</v>
      </c>
      <c r="U63" s="11">
        <f t="shared" si="29"/>
        <v>25637353.221848011</v>
      </c>
      <c r="V63" s="11">
        <f t="shared" si="29"/>
        <v>26150100.286284968</v>
      </c>
      <c r="W63" s="11">
        <f t="shared" si="29"/>
        <v>26673102.292010665</v>
      </c>
      <c r="X63" s="11">
        <f t="shared" si="29"/>
        <v>27206564.33785088</v>
      </c>
      <c r="Y63" s="11">
        <f t="shared" si="29"/>
        <v>27750695.624607895</v>
      </c>
      <c r="Z63" s="11">
        <f t="shared" si="29"/>
        <v>28305709.537100054</v>
      </c>
      <c r="AA63" s="11">
        <f t="shared" si="29"/>
        <v>28871823.727842055</v>
      </c>
      <c r="AB63" s="11">
        <f t="shared" si="29"/>
        <v>29449260.2023989</v>
      </c>
      <c r="AC63" s="11">
        <f t="shared" si="29"/>
        <v>30038245.406446878</v>
      </c>
      <c r="AD63" s="11">
        <f t="shared" si="29"/>
        <v>30639010.314575817</v>
      </c>
      <c r="AE63" s="11">
        <f t="shared" si="29"/>
        <v>31251790.520867333</v>
      </c>
      <c r="AF63" s="11">
        <f t="shared" si="29"/>
        <v>31876826.331284679</v>
      </c>
      <c r="AG63" s="11">
        <f t="shared" si="29"/>
        <v>32514362.85791038</v>
      </c>
      <c r="AH63" s="11">
        <f t="shared" si="29"/>
        <v>33164650.115068585</v>
      </c>
      <c r="AI63" s="11">
        <f t="shared" si="29"/>
        <v>33827943.117369957</v>
      </c>
      <c r="AJ63" s="11">
        <f t="shared" si="29"/>
        <v>34504501.979717359</v>
      </c>
      <c r="AK63" s="11">
        <f t="shared" si="29"/>
        <v>35194592.019311711</v>
      </c>
      <c r="AL63" s="11">
        <f t="shared" si="29"/>
        <v>35898483.859697945</v>
      </c>
      <c r="AM63" s="11">
        <f t="shared" si="29"/>
        <v>36616453.536891907</v>
      </c>
      <c r="AN63" s="11">
        <f t="shared" si="29"/>
        <v>37348782.607629746</v>
      </c>
      <c r="AO63" s="11">
        <f t="shared" si="29"/>
        <v>38095758.259782337</v>
      </c>
      <c r="AP63" s="11">
        <f t="shared" si="29"/>
        <v>38857673.424977988</v>
      </c>
      <c r="AQ63" s="11">
        <f t="shared" si="29"/>
        <v>39634826.893477544</v>
      </c>
      <c r="AR63" s="11">
        <f t="shared" si="29"/>
        <v>40427523.431347102</v>
      </c>
      <c r="AS63" s="11">
        <f t="shared" si="29"/>
        <v>41236073.899974041</v>
      </c>
      <c r="AT63" s="11">
        <f t="shared" si="29"/>
        <v>42060795.377973519</v>
      </c>
      <c r="AU63" s="11">
        <f t="shared" si="29"/>
        <v>42902011.285532996</v>
      </c>
      <c r="AV63" s="11">
        <f t="shared" si="29"/>
        <v>43760051.511243656</v>
      </c>
      <c r="AW63" s="11">
        <f t="shared" si="29"/>
        <v>44635252.541468531</v>
      </c>
      <c r="AX63" s="11">
        <f t="shared" si="29"/>
        <v>45527957.592297897</v>
      </c>
      <c r="AY63" s="11">
        <f t="shared" si="29"/>
        <v>46438516.744143851</v>
      </c>
      <c r="AZ63" s="11">
        <f t="shared" si="29"/>
        <v>47367287.079026729</v>
      </c>
      <c r="BA63" s="11">
        <f t="shared" si="29"/>
        <v>48314632.82060726</v>
      </c>
      <c r="BB63" s="11">
        <f t="shared" si="29"/>
        <v>49280925.477019414</v>
      </c>
    </row>
    <row r="64" spans="3:55" x14ac:dyDescent="0.35">
      <c r="C64" t="s">
        <v>64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3:54" x14ac:dyDescent="0.35">
      <c r="C65" t="s">
        <v>76</v>
      </c>
      <c r="D65" s="11"/>
      <c r="E65" s="11">
        <f>SUM(E35:E38)</f>
        <v>-5383172.4000000004</v>
      </c>
      <c r="F65" s="11">
        <f t="shared" ref="F65:BB65" si="30">SUM(F35:F38)</f>
        <v>-5490835.8479999993</v>
      </c>
      <c r="G65" s="11">
        <f t="shared" si="30"/>
        <v>-5600652.5649599992</v>
      </c>
      <c r="H65" s="11">
        <f t="shared" si="30"/>
        <v>-5712665.6162592005</v>
      </c>
      <c r="I65" s="11">
        <f t="shared" si="30"/>
        <v>-5826918.9285843838</v>
      </c>
      <c r="J65" s="11">
        <f t="shared" si="30"/>
        <v>-5943457.307156072</v>
      </c>
      <c r="K65" s="11">
        <f t="shared" si="30"/>
        <v>-6062326.4532991927</v>
      </c>
      <c r="L65" s="11">
        <f t="shared" si="30"/>
        <v>-6183572.982365177</v>
      </c>
      <c r="M65" s="11">
        <f t="shared" si="30"/>
        <v>-6307244.4420124805</v>
      </c>
      <c r="N65" s="11">
        <f t="shared" si="30"/>
        <v>-6433389.3308527293</v>
      </c>
      <c r="O65" s="11">
        <f t="shared" si="30"/>
        <v>-6562057.1174697829</v>
      </c>
      <c r="P65" s="11">
        <f t="shared" si="30"/>
        <v>-6693298.2598191798</v>
      </c>
      <c r="Q65" s="11">
        <f t="shared" si="30"/>
        <v>-6827164.2250155639</v>
      </c>
      <c r="R65" s="11">
        <f t="shared" si="30"/>
        <v>-6963707.509515875</v>
      </c>
      <c r="S65" s="11">
        <f t="shared" si="30"/>
        <v>-7102981.6597061902</v>
      </c>
      <c r="T65" s="11">
        <f t="shared" si="30"/>
        <v>-7245041.2929003164</v>
      </c>
      <c r="U65" s="11">
        <f t="shared" si="30"/>
        <v>-7389942.1187583227</v>
      </c>
      <c r="V65" s="11">
        <f t="shared" si="30"/>
        <v>-7537740.9611334875</v>
      </c>
      <c r="W65" s="11">
        <f t="shared" si="30"/>
        <v>-7688495.7803561576</v>
      </c>
      <c r="X65" s="11">
        <f t="shared" si="30"/>
        <v>-7842265.6959632812</v>
      </c>
      <c r="Y65" s="11">
        <f t="shared" si="30"/>
        <v>-7999111.009882547</v>
      </c>
      <c r="Z65" s="11">
        <f t="shared" si="30"/>
        <v>-8159093.2300801985</v>
      </c>
      <c r="AA65" s="11">
        <f t="shared" si="30"/>
        <v>-8322275.0946818013</v>
      </c>
      <c r="AB65" s="11">
        <f t="shared" si="30"/>
        <v>-8488720.5965754371</v>
      </c>
      <c r="AC65" s="11">
        <f t="shared" si="30"/>
        <v>-8658495.0085069463</v>
      </c>
      <c r="AD65" s="11">
        <f t="shared" si="30"/>
        <v>-8831664.9086770862</v>
      </c>
      <c r="AE65" s="11">
        <f t="shared" si="30"/>
        <v>-9008298.2068506256</v>
      </c>
      <c r="AF65" s="11">
        <f t="shared" si="30"/>
        <v>-9188464.1709876396</v>
      </c>
      <c r="AG65" s="11">
        <f t="shared" si="30"/>
        <v>-9372233.4544073921</v>
      </c>
      <c r="AH65" s="11">
        <f t="shared" si="30"/>
        <v>-9559678.1234955397</v>
      </c>
      <c r="AI65" s="11">
        <f t="shared" si="30"/>
        <v>-9750871.6859654486</v>
      </c>
      <c r="AJ65" s="11">
        <f t="shared" si="30"/>
        <v>-9945889.1196847614</v>
      </c>
      <c r="AK65" s="11">
        <f t="shared" si="30"/>
        <v>-10144806.902078455</v>
      </c>
      <c r="AL65" s="11">
        <f t="shared" si="30"/>
        <v>-10347703.040120024</v>
      </c>
      <c r="AM65" s="11">
        <f t="shared" si="30"/>
        <v>-10554657.100922424</v>
      </c>
      <c r="AN65" s="11">
        <f t="shared" si="30"/>
        <v>-10765750.242940873</v>
      </c>
      <c r="AO65" s="11">
        <f t="shared" si="30"/>
        <v>-10981065.247799691</v>
      </c>
      <c r="AP65" s="11">
        <f t="shared" si="30"/>
        <v>-11200686.552755686</v>
      </c>
      <c r="AQ65" s="11">
        <f t="shared" si="30"/>
        <v>-11424700.283810794</v>
      </c>
      <c r="AR65" s="11">
        <f t="shared" si="30"/>
        <v>-11653194.289487014</v>
      </c>
      <c r="AS65" s="11">
        <f t="shared" si="30"/>
        <v>-11886258.175276756</v>
      </c>
      <c r="AT65" s="11">
        <f t="shared" si="30"/>
        <v>-12123983.338782288</v>
      </c>
      <c r="AU65" s="11">
        <f t="shared" si="30"/>
        <v>-12366463.005557932</v>
      </c>
      <c r="AV65" s="11">
        <f t="shared" si="30"/>
        <v>-12613792.265669094</v>
      </c>
      <c r="AW65" s="11">
        <f t="shared" si="30"/>
        <v>-12866068.110982476</v>
      </c>
      <c r="AX65" s="11">
        <f t="shared" si="30"/>
        <v>-13123389.473202126</v>
      </c>
      <c r="AY65" s="11">
        <f t="shared" si="30"/>
        <v>-13385857.262666162</v>
      </c>
      <c r="AZ65" s="11">
        <f t="shared" si="30"/>
        <v>-13653574.407919489</v>
      </c>
      <c r="BA65" s="11">
        <f t="shared" si="30"/>
        <v>-13926645.896077879</v>
      </c>
      <c r="BB65" s="11">
        <f t="shared" si="30"/>
        <v>-14205178.813999437</v>
      </c>
    </row>
    <row r="66" spans="3:54" x14ac:dyDescent="0.35">
      <c r="C66" t="s">
        <v>55</v>
      </c>
      <c r="D66" s="11"/>
      <c r="E66" s="11">
        <f t="shared" ref="E66:BB66" si="31">E138*-1</f>
        <v>-311850</v>
      </c>
      <c r="F66" s="11">
        <f t="shared" si="31"/>
        <v>-305550</v>
      </c>
      <c r="G66" s="11">
        <f t="shared" si="31"/>
        <v>-299250</v>
      </c>
      <c r="H66" s="11">
        <f t="shared" si="31"/>
        <v>-292950</v>
      </c>
      <c r="I66" s="11">
        <f t="shared" si="31"/>
        <v>-286650</v>
      </c>
      <c r="J66" s="11">
        <f t="shared" si="31"/>
        <v>-280350</v>
      </c>
      <c r="K66" s="11">
        <f t="shared" si="31"/>
        <v>-274050</v>
      </c>
      <c r="L66" s="11">
        <f t="shared" si="31"/>
        <v>-267750</v>
      </c>
      <c r="M66" s="11">
        <f t="shared" si="31"/>
        <v>-261450</v>
      </c>
      <c r="N66" s="11">
        <f t="shared" si="31"/>
        <v>-255150</v>
      </c>
      <c r="O66" s="11">
        <f t="shared" si="31"/>
        <v>-248850</v>
      </c>
      <c r="P66" s="11">
        <f t="shared" si="31"/>
        <v>-242550</v>
      </c>
      <c r="Q66" s="11">
        <f t="shared" si="31"/>
        <v>-236250</v>
      </c>
      <c r="R66" s="11">
        <f t="shared" si="31"/>
        <v>-229950</v>
      </c>
      <c r="S66" s="11">
        <f t="shared" si="31"/>
        <v>-223650</v>
      </c>
      <c r="T66" s="11">
        <f t="shared" si="31"/>
        <v>-217350</v>
      </c>
      <c r="U66" s="11">
        <f t="shared" si="31"/>
        <v>-211050</v>
      </c>
      <c r="V66" s="11">
        <f t="shared" si="31"/>
        <v>-204750</v>
      </c>
      <c r="W66" s="11">
        <f t="shared" si="31"/>
        <v>-198450</v>
      </c>
      <c r="X66" s="11">
        <f t="shared" si="31"/>
        <v>-192150</v>
      </c>
      <c r="Y66" s="11">
        <f t="shared" si="31"/>
        <v>-185850</v>
      </c>
      <c r="Z66" s="11">
        <f t="shared" si="31"/>
        <v>-179550</v>
      </c>
      <c r="AA66" s="11">
        <f t="shared" si="31"/>
        <v>-173250</v>
      </c>
      <c r="AB66" s="11">
        <f t="shared" si="31"/>
        <v>-166950</v>
      </c>
      <c r="AC66" s="11">
        <f t="shared" si="31"/>
        <v>-160650</v>
      </c>
      <c r="AD66" s="11">
        <f t="shared" si="31"/>
        <v>-154350</v>
      </c>
      <c r="AE66" s="11">
        <f t="shared" si="31"/>
        <v>-148050</v>
      </c>
      <c r="AF66" s="11">
        <f t="shared" si="31"/>
        <v>-141750</v>
      </c>
      <c r="AG66" s="11">
        <f t="shared" si="31"/>
        <v>-135450</v>
      </c>
      <c r="AH66" s="11">
        <f t="shared" si="31"/>
        <v>-129150</v>
      </c>
      <c r="AI66" s="11">
        <f t="shared" si="31"/>
        <v>-122850</v>
      </c>
      <c r="AJ66" s="11">
        <f t="shared" si="31"/>
        <v>-116550</v>
      </c>
      <c r="AK66" s="11">
        <f t="shared" si="31"/>
        <v>-110250</v>
      </c>
      <c r="AL66" s="11">
        <f t="shared" si="31"/>
        <v>-103950</v>
      </c>
      <c r="AM66" s="11">
        <f t="shared" si="31"/>
        <v>-97650</v>
      </c>
      <c r="AN66" s="11">
        <f t="shared" si="31"/>
        <v>-91350</v>
      </c>
      <c r="AO66" s="11">
        <f t="shared" si="31"/>
        <v>-85050</v>
      </c>
      <c r="AP66" s="11">
        <f t="shared" si="31"/>
        <v>-78750</v>
      </c>
      <c r="AQ66" s="11">
        <f t="shared" si="31"/>
        <v>-72450</v>
      </c>
      <c r="AR66" s="11">
        <f t="shared" si="31"/>
        <v>-66150</v>
      </c>
      <c r="AS66" s="11">
        <f t="shared" si="31"/>
        <v>-59850</v>
      </c>
      <c r="AT66" s="11">
        <f t="shared" si="31"/>
        <v>-53550</v>
      </c>
      <c r="AU66" s="11">
        <f t="shared" si="31"/>
        <v>-47250</v>
      </c>
      <c r="AV66" s="11">
        <f t="shared" si="31"/>
        <v>-40950</v>
      </c>
      <c r="AW66" s="11">
        <f t="shared" si="31"/>
        <v>-34650</v>
      </c>
      <c r="AX66" s="11">
        <f t="shared" si="31"/>
        <v>-28350</v>
      </c>
      <c r="AY66" s="11">
        <f t="shared" si="31"/>
        <v>-22050</v>
      </c>
      <c r="AZ66" s="11">
        <f t="shared" si="31"/>
        <v>-15750</v>
      </c>
      <c r="BA66" s="11">
        <f t="shared" si="31"/>
        <v>-9450</v>
      </c>
      <c r="BB66" s="11">
        <f t="shared" si="31"/>
        <v>-3150</v>
      </c>
    </row>
    <row r="67" spans="3:54" x14ac:dyDescent="0.35">
      <c r="C67" t="s">
        <v>66</v>
      </c>
      <c r="D67" s="11"/>
      <c r="E67" s="11">
        <f>E74</f>
        <v>-1865671.6417910447</v>
      </c>
      <c r="F67" s="11">
        <f t="shared" ref="F67:M67" si="32">F74</f>
        <v>-1865671.6417910447</v>
      </c>
      <c r="G67" s="11">
        <f t="shared" si="32"/>
        <v>-1865671.6417910447</v>
      </c>
      <c r="H67" s="11">
        <f t="shared" si="32"/>
        <v>-1865671.6417910447</v>
      </c>
      <c r="I67" s="11">
        <f t="shared" si="32"/>
        <v>-1865671.6417910447</v>
      </c>
      <c r="J67" s="11">
        <f t="shared" si="32"/>
        <v>-1865671.6417910447</v>
      </c>
      <c r="K67" s="11">
        <f t="shared" si="32"/>
        <v>-1865671.6417910447</v>
      </c>
      <c r="L67" s="11">
        <f t="shared" si="32"/>
        <v>-1865671.6417910447</v>
      </c>
      <c r="M67" s="11">
        <f t="shared" si="32"/>
        <v>-1865671.6417910447</v>
      </c>
      <c r="N67" s="11">
        <f>N74</f>
        <v>-1865671.6417910447</v>
      </c>
      <c r="O67" s="11">
        <f t="shared" ref="O67:BB67" si="33">O74</f>
        <v>-1865671.6417910447</v>
      </c>
      <c r="P67" s="11">
        <f t="shared" si="33"/>
        <v>-1865671.6417910447</v>
      </c>
      <c r="Q67" s="11">
        <f t="shared" si="33"/>
        <v>-1865671.6417910447</v>
      </c>
      <c r="R67" s="11">
        <f t="shared" si="33"/>
        <v>-1865671.6417910447</v>
      </c>
      <c r="S67" s="11">
        <f t="shared" si="33"/>
        <v>-1865671.6417910447</v>
      </c>
      <c r="T67" s="11">
        <f t="shared" si="33"/>
        <v>-1865671.6417910447</v>
      </c>
      <c r="U67" s="11">
        <f t="shared" si="33"/>
        <v>-1865671.6417910447</v>
      </c>
      <c r="V67" s="11">
        <f t="shared" si="33"/>
        <v>-1865671.6417910447</v>
      </c>
      <c r="W67" s="11">
        <f t="shared" si="33"/>
        <v>-1865671.6417910447</v>
      </c>
      <c r="X67" s="11">
        <f t="shared" si="33"/>
        <v>-1865671.6417910447</v>
      </c>
      <c r="Y67" s="11">
        <f t="shared" si="33"/>
        <v>-1865671.6417910447</v>
      </c>
      <c r="Z67" s="11">
        <f t="shared" si="33"/>
        <v>-1865671.6417910447</v>
      </c>
      <c r="AA67" s="11">
        <f t="shared" si="33"/>
        <v>-1865671.6417910447</v>
      </c>
      <c r="AB67" s="11">
        <f t="shared" si="33"/>
        <v>-1865671.6417910447</v>
      </c>
      <c r="AC67" s="11">
        <f t="shared" si="33"/>
        <v>-1865671.6417910447</v>
      </c>
      <c r="AD67" s="11">
        <f t="shared" si="33"/>
        <v>-1865671.6417910447</v>
      </c>
      <c r="AE67" s="11">
        <f t="shared" si="33"/>
        <v>-1865671.6417910447</v>
      </c>
      <c r="AF67" s="11">
        <f t="shared" si="33"/>
        <v>-1865671.6417910447</v>
      </c>
      <c r="AG67" s="11">
        <f t="shared" si="33"/>
        <v>-1865671.6417910447</v>
      </c>
      <c r="AH67" s="11">
        <f t="shared" si="33"/>
        <v>-1865671.6417910447</v>
      </c>
      <c r="AI67" s="11">
        <f t="shared" si="33"/>
        <v>-1865671.6417910447</v>
      </c>
      <c r="AJ67" s="11">
        <f t="shared" si="33"/>
        <v>-1865671.6417910447</v>
      </c>
      <c r="AK67" s="11">
        <f t="shared" si="33"/>
        <v>-1865671.6417910447</v>
      </c>
      <c r="AL67" s="11">
        <f t="shared" si="33"/>
        <v>-1865671.6417910447</v>
      </c>
      <c r="AM67" s="11">
        <f t="shared" si="33"/>
        <v>-1865671.6417910447</v>
      </c>
      <c r="AN67" s="11">
        <f t="shared" si="33"/>
        <v>-1865671.6417910447</v>
      </c>
      <c r="AO67" s="11">
        <f t="shared" si="33"/>
        <v>-1865671.6417910447</v>
      </c>
      <c r="AP67" s="11">
        <f t="shared" si="33"/>
        <v>-1865671.6417910447</v>
      </c>
      <c r="AQ67" s="11">
        <f t="shared" si="33"/>
        <v>-1865671.6417910447</v>
      </c>
      <c r="AR67" s="11">
        <f t="shared" si="33"/>
        <v>-1865671.6417910447</v>
      </c>
      <c r="AS67" s="11">
        <f t="shared" si="33"/>
        <v>-1865671.6417910447</v>
      </c>
      <c r="AT67" s="11">
        <f t="shared" si="33"/>
        <v>-1865671.6417910447</v>
      </c>
      <c r="AU67" s="11">
        <f t="shared" si="33"/>
        <v>-1865671.6417910447</v>
      </c>
      <c r="AV67" s="11">
        <f t="shared" si="33"/>
        <v>-1865671.6417910447</v>
      </c>
      <c r="AW67" s="11">
        <f t="shared" si="33"/>
        <v>-1865671.6417910447</v>
      </c>
      <c r="AX67" s="11">
        <f t="shared" si="33"/>
        <v>-1865671.6417910447</v>
      </c>
      <c r="AY67" s="11">
        <f t="shared" si="33"/>
        <v>-1865671.6417910447</v>
      </c>
      <c r="AZ67" s="11">
        <f t="shared" si="33"/>
        <v>-1865671.6417910447</v>
      </c>
      <c r="BA67" s="11">
        <f t="shared" si="33"/>
        <v>-1865671.6417910447</v>
      </c>
      <c r="BB67" s="11">
        <f t="shared" si="33"/>
        <v>-1865671.6417910447</v>
      </c>
    </row>
    <row r="68" spans="3:54" x14ac:dyDescent="0.35">
      <c r="C68" t="s">
        <v>67</v>
      </c>
      <c r="D68" s="11"/>
      <c r="E68" s="11">
        <f>E77*(-1)</f>
        <v>-969477.61194029846</v>
      </c>
      <c r="F68" s="11">
        <f t="shared" ref="F68:M68" si="34">F77*(-1)</f>
        <v>-928432.83582089539</v>
      </c>
      <c r="G68" s="11">
        <f t="shared" si="34"/>
        <v>-887388.05970149243</v>
      </c>
      <c r="H68" s="11">
        <f t="shared" si="34"/>
        <v>-846343.28358208947</v>
      </c>
      <c r="I68" s="11">
        <f t="shared" si="34"/>
        <v>-805298.50746268639</v>
      </c>
      <c r="J68" s="11">
        <f t="shared" si="34"/>
        <v>-764253.73134328343</v>
      </c>
      <c r="K68" s="11">
        <f t="shared" si="34"/>
        <v>-723208.95522388048</v>
      </c>
      <c r="L68" s="11">
        <f t="shared" si="34"/>
        <v>-682164.1791044774</v>
      </c>
      <c r="M68" s="11">
        <f t="shared" si="34"/>
        <v>-641119.40298507444</v>
      </c>
      <c r="N68" s="11">
        <f>N77*(-1)</f>
        <v>-600074.62686567137</v>
      </c>
      <c r="O68" s="11">
        <f t="shared" ref="O68:BB68" si="35">O77*(-1)</f>
        <v>-559029.85074626841</v>
      </c>
      <c r="P68" s="11">
        <f t="shared" si="35"/>
        <v>-517985.07462686539</v>
      </c>
      <c r="Q68" s="11">
        <f t="shared" si="35"/>
        <v>-476940.29850746243</v>
      </c>
      <c r="R68" s="11">
        <f t="shared" si="35"/>
        <v>-435895.52238805941</v>
      </c>
      <c r="S68" s="11">
        <f t="shared" si="35"/>
        <v>-394850.7462686564</v>
      </c>
      <c r="T68" s="11">
        <f t="shared" si="35"/>
        <v>-353805.97014925338</v>
      </c>
      <c r="U68" s="11">
        <f t="shared" si="35"/>
        <v>-312761.19402985042</v>
      </c>
      <c r="V68" s="11">
        <f t="shared" si="35"/>
        <v>-271716.4179104474</v>
      </c>
      <c r="W68" s="11">
        <f t="shared" si="35"/>
        <v>-230671.64179104441</v>
      </c>
      <c r="X68" s="11">
        <f t="shared" si="35"/>
        <v>-189626.8656716414</v>
      </c>
      <c r="Y68" s="11">
        <f t="shared" si="35"/>
        <v>-148582.08955223844</v>
      </c>
      <c r="Z68" s="11">
        <f t="shared" si="35"/>
        <v>-107537.31343283544</v>
      </c>
      <c r="AA68" s="11">
        <f t="shared" si="35"/>
        <v>-66492.537313432462</v>
      </c>
      <c r="AB68" s="11">
        <f t="shared" si="35"/>
        <v>-25447.761194029481</v>
      </c>
      <c r="AC68" s="11">
        <f t="shared" si="35"/>
        <v>15597.0149253735</v>
      </c>
      <c r="AD68" s="11">
        <f t="shared" si="35"/>
        <v>56641.791044776481</v>
      </c>
      <c r="AE68" s="11">
        <f t="shared" si="35"/>
        <v>97686.567164179447</v>
      </c>
      <c r="AF68" s="11">
        <f t="shared" si="35"/>
        <v>138731.34328358245</v>
      </c>
      <c r="AG68" s="11">
        <f t="shared" si="35"/>
        <v>179776.11940298541</v>
      </c>
      <c r="AH68" s="11">
        <f t="shared" si="35"/>
        <v>220820.89552238837</v>
      </c>
      <c r="AI68" s="11">
        <f t="shared" si="35"/>
        <v>261865.67164179138</v>
      </c>
      <c r="AJ68" s="11">
        <f t="shared" si="35"/>
        <v>302910.44776119437</v>
      </c>
      <c r="AK68" s="11">
        <f t="shared" si="35"/>
        <v>343955.22388059739</v>
      </c>
      <c r="AL68" s="11">
        <f t="shared" si="35"/>
        <v>385000.00000000041</v>
      </c>
      <c r="AM68" s="11">
        <f t="shared" si="35"/>
        <v>426044.77611940337</v>
      </c>
      <c r="AN68" s="11">
        <f t="shared" si="35"/>
        <v>467089.55223880638</v>
      </c>
      <c r="AO68" s="11">
        <f t="shared" si="35"/>
        <v>508134.3283582094</v>
      </c>
      <c r="AP68" s="11">
        <f t="shared" si="35"/>
        <v>549179.10447761242</v>
      </c>
      <c r="AQ68" s="11">
        <f t="shared" si="35"/>
        <v>590223.88059701538</v>
      </c>
      <c r="AR68" s="11">
        <f t="shared" si="35"/>
        <v>631268.65671641845</v>
      </c>
      <c r="AS68" s="11">
        <f t="shared" si="35"/>
        <v>672313.43283582141</v>
      </c>
      <c r="AT68" s="11">
        <f t="shared" si="35"/>
        <v>713358.20895522437</v>
      </c>
      <c r="AU68" s="11">
        <f t="shared" si="35"/>
        <v>754402.98507462733</v>
      </c>
      <c r="AV68" s="11">
        <f t="shared" si="35"/>
        <v>795447.76119403029</v>
      </c>
      <c r="AW68" s="11">
        <f t="shared" si="35"/>
        <v>836492.53731343336</v>
      </c>
      <c r="AX68" s="11">
        <f t="shared" si="35"/>
        <v>877537.31343283632</v>
      </c>
      <c r="AY68" s="11">
        <f t="shared" si="35"/>
        <v>918582.08955223928</v>
      </c>
      <c r="AZ68" s="11">
        <f t="shared" si="35"/>
        <v>959626.86567164236</v>
      </c>
      <c r="BA68" s="11">
        <f t="shared" si="35"/>
        <v>1000671.6417910453</v>
      </c>
      <c r="BB68" s="11">
        <f t="shared" si="35"/>
        <v>1041716.4179104484</v>
      </c>
    </row>
    <row r="69" spans="3:54" x14ac:dyDescent="0.35">
      <c r="C69" t="s">
        <v>78</v>
      </c>
      <c r="D69" s="11"/>
      <c r="E69" s="11">
        <f>SUM(E63:E68)</f>
        <v>13874860.346268658</v>
      </c>
      <c r="F69" s="11">
        <f>SUM(F63:F68)</f>
        <v>11516589.674388062</v>
      </c>
      <c r="G69" s="11">
        <f t="shared" ref="G69:M69" si="36">SUM(G63:G68)</f>
        <v>11353582.33354746</v>
      </c>
      <c r="H69" s="11">
        <f t="shared" si="36"/>
        <v>12129102.758367667</v>
      </c>
      <c r="I69" s="11">
        <f t="shared" si="36"/>
        <v>12112461.922161886</v>
      </c>
      <c r="J69" s="11">
        <f>SUM(J63:J68)</f>
        <v>12007362.819709599</v>
      </c>
      <c r="K69" s="11">
        <f t="shared" si="36"/>
        <v>12294893.449685883</v>
      </c>
      <c r="L69" s="11">
        <f t="shared" si="36"/>
        <v>13154534.696739301</v>
      </c>
      <c r="M69" s="11">
        <f t="shared" si="36"/>
        <v>13365452.013211399</v>
      </c>
      <c r="N69" s="11">
        <f>SUM(N63:N68)</f>
        <v>13164573.200490551</v>
      </c>
      <c r="O69" s="11">
        <f>SUM(O63:O68)</f>
        <v>13529627.365992906</v>
      </c>
      <c r="P69" s="11">
        <f t="shared" ref="P69:BB69" si="37">SUM(P63:P68)</f>
        <v>13901035.719282908</v>
      </c>
      <c r="Q69" s="11">
        <f t="shared" si="37"/>
        <v>14278925.344116326</v>
      </c>
      <c r="R69" s="11">
        <f t="shared" si="37"/>
        <v>14663425.865924031</v>
      </c>
      <c r="S69" s="11">
        <f t="shared" si="37"/>
        <v>15054669.502645493</v>
      </c>
      <c r="T69" s="11">
        <f t="shared" si="37"/>
        <v>15452791.116579004</v>
      </c>
      <c r="U69" s="11">
        <f t="shared" si="37"/>
        <v>15857928.267268794</v>
      </c>
      <c r="V69" s="11">
        <f t="shared" si="37"/>
        <v>16270221.265449988</v>
      </c>
      <c r="W69" s="11">
        <f t="shared" si="37"/>
        <v>16689813.228072418</v>
      </c>
      <c r="X69" s="11">
        <f t="shared" si="37"/>
        <v>17116850.13442491</v>
      </c>
      <c r="Y69" s="11">
        <f t="shared" si="37"/>
        <v>17551480.883382063</v>
      </c>
      <c r="Z69" s="11">
        <f t="shared" si="37"/>
        <v>17993857.351795975</v>
      </c>
      <c r="AA69" s="11">
        <f t="shared" si="37"/>
        <v>18444134.454055779</v>
      </c>
      <c r="AB69" s="11">
        <f t="shared" si="37"/>
        <v>18902470.202838391</v>
      </c>
      <c r="AC69" s="11">
        <f t="shared" si="37"/>
        <v>19369025.771074258</v>
      </c>
      <c r="AD69" s="11">
        <f t="shared" si="37"/>
        <v>19843965.555152461</v>
      </c>
      <c r="AE69" s="11">
        <f t="shared" si="37"/>
        <v>20327457.239389841</v>
      </c>
      <c r="AF69" s="11">
        <f t="shared" si="37"/>
        <v>20819671.861789577</v>
      </c>
      <c r="AG69" s="11">
        <f t="shared" si="37"/>
        <v>21320783.881114926</v>
      </c>
      <c r="AH69" s="11">
        <f t="shared" si="37"/>
        <v>21830971.245304387</v>
      </c>
      <c r="AI69" s="11">
        <f t="shared" si="37"/>
        <v>22350415.461255256</v>
      </c>
      <c r="AJ69" s="11">
        <f t="shared" si="37"/>
        <v>22879301.666002743</v>
      </c>
      <c r="AK69" s="11">
        <f t="shared" si="37"/>
        <v>23417818.699322805</v>
      </c>
      <c r="AL69" s="11">
        <f t="shared" si="37"/>
        <v>23966159.177786876</v>
      </c>
      <c r="AM69" s="11">
        <f t="shared" si="37"/>
        <v>24524519.570297841</v>
      </c>
      <c r="AN69" s="11">
        <f t="shared" si="37"/>
        <v>25093100.275136635</v>
      </c>
      <c r="AO69" s="11">
        <f t="shared" si="37"/>
        <v>25672105.698549811</v>
      </c>
      <c r="AP69" s="11">
        <f t="shared" si="37"/>
        <v>26261744.334908873</v>
      </c>
      <c r="AQ69" s="11">
        <f t="shared" si="37"/>
        <v>26862228.848472718</v>
      </c>
      <c r="AR69" s="11">
        <f t="shared" si="37"/>
        <v>27473776.156785462</v>
      </c>
      <c r="AS69" s="11">
        <f t="shared" si="37"/>
        <v>28096607.51574206</v>
      </c>
      <c r="AT69" s="11">
        <f t="shared" si="37"/>
        <v>28730948.60635541</v>
      </c>
      <c r="AU69" s="11">
        <f t="shared" si="37"/>
        <v>29377029.623258647</v>
      </c>
      <c r="AV69" s="11">
        <f t="shared" si="37"/>
        <v>30035085.36497755</v>
      </c>
      <c r="AW69" s="11">
        <f t="shared" si="37"/>
        <v>30705355.326008439</v>
      </c>
      <c r="AX69" s="11">
        <f t="shared" si="37"/>
        <v>31388083.790737562</v>
      </c>
      <c r="AY69" s="11">
        <f t="shared" si="37"/>
        <v>32083519.929238882</v>
      </c>
      <c r="AZ69" s="11">
        <f t="shared" si="37"/>
        <v>32791917.894987836</v>
      </c>
      <c r="BA69" s="11">
        <f t="shared" si="37"/>
        <v>33513536.924529381</v>
      </c>
      <c r="BB69" s="11">
        <f t="shared" si="37"/>
        <v>34248641.439139381</v>
      </c>
    </row>
    <row r="70" spans="3:54" x14ac:dyDescent="0.35">
      <c r="C70" s="28" t="s">
        <v>79</v>
      </c>
      <c r="D70" s="22"/>
      <c r="E70" s="22">
        <f t="shared" ref="E70:AJ70" si="38">E69*grunnr</f>
        <v>0</v>
      </c>
      <c r="F70" s="22">
        <f t="shared" si="38"/>
        <v>0</v>
      </c>
      <c r="G70" s="22">
        <f t="shared" si="38"/>
        <v>0</v>
      </c>
      <c r="H70" s="22">
        <f t="shared" si="38"/>
        <v>0</v>
      </c>
      <c r="I70" s="22">
        <f t="shared" si="38"/>
        <v>0</v>
      </c>
      <c r="J70" s="22">
        <f t="shared" si="38"/>
        <v>0</v>
      </c>
      <c r="K70" s="22">
        <f t="shared" si="38"/>
        <v>0</v>
      </c>
      <c r="L70" s="22">
        <f t="shared" si="38"/>
        <v>0</v>
      </c>
      <c r="M70" s="22">
        <f t="shared" si="38"/>
        <v>0</v>
      </c>
      <c r="N70" s="22">
        <f t="shared" si="38"/>
        <v>0</v>
      </c>
      <c r="O70" s="22">
        <f t="shared" si="38"/>
        <v>0</v>
      </c>
      <c r="P70" s="22">
        <f t="shared" si="38"/>
        <v>0</v>
      </c>
      <c r="Q70" s="22">
        <f t="shared" si="38"/>
        <v>0</v>
      </c>
      <c r="R70" s="22">
        <f t="shared" si="38"/>
        <v>0</v>
      </c>
      <c r="S70" s="22">
        <f t="shared" si="38"/>
        <v>0</v>
      </c>
      <c r="T70" s="22">
        <f t="shared" si="38"/>
        <v>0</v>
      </c>
      <c r="U70" s="22">
        <f t="shared" si="38"/>
        <v>0</v>
      </c>
      <c r="V70" s="22">
        <f t="shared" si="38"/>
        <v>0</v>
      </c>
      <c r="W70" s="22">
        <f t="shared" si="38"/>
        <v>0</v>
      </c>
      <c r="X70" s="22">
        <f t="shared" si="38"/>
        <v>0</v>
      </c>
      <c r="Y70" s="22">
        <f t="shared" si="38"/>
        <v>0</v>
      </c>
      <c r="Z70" s="22">
        <f t="shared" si="38"/>
        <v>0</v>
      </c>
      <c r="AA70" s="22">
        <f t="shared" si="38"/>
        <v>0</v>
      </c>
      <c r="AB70" s="22">
        <f t="shared" si="38"/>
        <v>0</v>
      </c>
      <c r="AC70" s="22">
        <f t="shared" si="38"/>
        <v>0</v>
      </c>
      <c r="AD70" s="22">
        <f t="shared" si="38"/>
        <v>0</v>
      </c>
      <c r="AE70" s="22">
        <f t="shared" si="38"/>
        <v>0</v>
      </c>
      <c r="AF70" s="22">
        <f t="shared" si="38"/>
        <v>0</v>
      </c>
      <c r="AG70" s="22">
        <f t="shared" si="38"/>
        <v>0</v>
      </c>
      <c r="AH70" s="22">
        <f t="shared" si="38"/>
        <v>0</v>
      </c>
      <c r="AI70" s="22">
        <f t="shared" si="38"/>
        <v>0</v>
      </c>
      <c r="AJ70" s="22">
        <f t="shared" si="38"/>
        <v>0</v>
      </c>
      <c r="AK70" s="22">
        <f t="shared" ref="AK70:BB70" si="39">AK69*grunnr</f>
        <v>0</v>
      </c>
      <c r="AL70" s="22">
        <f t="shared" si="39"/>
        <v>0</v>
      </c>
      <c r="AM70" s="22">
        <f t="shared" si="39"/>
        <v>0</v>
      </c>
      <c r="AN70" s="22">
        <f t="shared" si="39"/>
        <v>0</v>
      </c>
      <c r="AO70" s="22">
        <f t="shared" si="39"/>
        <v>0</v>
      </c>
      <c r="AP70" s="22">
        <f t="shared" si="39"/>
        <v>0</v>
      </c>
      <c r="AQ70" s="22">
        <f t="shared" si="39"/>
        <v>0</v>
      </c>
      <c r="AR70" s="22">
        <f t="shared" si="39"/>
        <v>0</v>
      </c>
      <c r="AS70" s="22">
        <f t="shared" si="39"/>
        <v>0</v>
      </c>
      <c r="AT70" s="22">
        <f t="shared" si="39"/>
        <v>0</v>
      </c>
      <c r="AU70" s="22">
        <f t="shared" si="39"/>
        <v>0</v>
      </c>
      <c r="AV70" s="22">
        <f t="shared" si="39"/>
        <v>0</v>
      </c>
      <c r="AW70" s="22">
        <f t="shared" si="39"/>
        <v>0</v>
      </c>
      <c r="AX70" s="22">
        <f t="shared" si="39"/>
        <v>0</v>
      </c>
      <c r="AY70" s="22">
        <f t="shared" si="39"/>
        <v>0</v>
      </c>
      <c r="AZ70" s="22">
        <f t="shared" si="39"/>
        <v>0</v>
      </c>
      <c r="BA70" s="22">
        <f t="shared" si="39"/>
        <v>0</v>
      </c>
      <c r="BB70" s="22">
        <f t="shared" si="39"/>
        <v>0</v>
      </c>
    </row>
    <row r="71" spans="3:54" x14ac:dyDescent="0.3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3:54" x14ac:dyDescent="0.35">
      <c r="C72" t="s">
        <v>66</v>
      </c>
      <c r="D72" s="11">
        <v>0</v>
      </c>
      <c r="E72" s="11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1">
        <v>8</v>
      </c>
      <c r="M72" s="11">
        <v>9</v>
      </c>
      <c r="N72" s="11">
        <v>10</v>
      </c>
      <c r="O72" s="11">
        <v>11</v>
      </c>
      <c r="P72" s="11">
        <v>12</v>
      </c>
      <c r="Q72" s="11">
        <v>13</v>
      </c>
      <c r="R72" s="11">
        <v>14</v>
      </c>
      <c r="S72" s="11">
        <v>15</v>
      </c>
      <c r="T72" s="11">
        <v>16</v>
      </c>
      <c r="U72" s="11">
        <v>17</v>
      </c>
      <c r="V72" s="11">
        <v>18</v>
      </c>
      <c r="W72" s="11">
        <v>19</v>
      </c>
      <c r="X72" s="11">
        <v>20</v>
      </c>
      <c r="Y72" s="11">
        <v>21</v>
      </c>
      <c r="Z72" s="11">
        <v>22</v>
      </c>
      <c r="AA72" s="11">
        <v>23</v>
      </c>
      <c r="AB72" s="11">
        <v>24</v>
      </c>
      <c r="AC72" s="11">
        <v>25</v>
      </c>
      <c r="AD72" s="11">
        <v>26</v>
      </c>
      <c r="AE72" s="11">
        <v>27</v>
      </c>
      <c r="AF72" s="11">
        <v>28</v>
      </c>
      <c r="AG72" s="11">
        <v>29</v>
      </c>
      <c r="AH72" s="11">
        <v>30</v>
      </c>
      <c r="AI72" s="11">
        <v>31</v>
      </c>
      <c r="AJ72" s="11">
        <v>32</v>
      </c>
      <c r="AK72" s="11">
        <v>33</v>
      </c>
      <c r="AL72" s="11">
        <v>34</v>
      </c>
      <c r="AM72" s="11">
        <v>35</v>
      </c>
      <c r="AN72" s="11">
        <v>36</v>
      </c>
      <c r="AO72" s="11">
        <v>37</v>
      </c>
      <c r="AP72" s="11">
        <v>38</v>
      </c>
      <c r="AQ72" s="11">
        <v>39</v>
      </c>
      <c r="AR72" s="11">
        <v>40</v>
      </c>
      <c r="AS72" s="11">
        <v>41</v>
      </c>
      <c r="AT72" s="11">
        <v>42</v>
      </c>
      <c r="AU72" s="11">
        <v>43</v>
      </c>
      <c r="AV72" s="11">
        <v>44</v>
      </c>
      <c r="AW72" s="11">
        <v>45</v>
      </c>
      <c r="AX72" s="11">
        <v>46</v>
      </c>
      <c r="AY72" s="11">
        <v>47</v>
      </c>
      <c r="AZ72" s="11">
        <v>48</v>
      </c>
      <c r="BA72" s="11">
        <v>49</v>
      </c>
      <c r="BB72" s="11">
        <v>50</v>
      </c>
    </row>
    <row r="73" spans="3:54" x14ac:dyDescent="0.35">
      <c r="C73" t="s">
        <v>68</v>
      </c>
      <c r="D73" s="11"/>
      <c r="E73" s="11">
        <f>inve*-1</f>
        <v>45000000</v>
      </c>
      <c r="F73" s="11">
        <f>E75</f>
        <v>43134328.358208954</v>
      </c>
      <c r="G73" s="11">
        <f t="shared" ref="G73:BB73" si="40">F75</f>
        <v>41268656.716417909</v>
      </c>
      <c r="H73" s="11">
        <f t="shared" si="40"/>
        <v>39402985.074626863</v>
      </c>
      <c r="I73" s="11">
        <f t="shared" si="40"/>
        <v>37537313.432835817</v>
      </c>
      <c r="J73" s="11">
        <f t="shared" si="40"/>
        <v>35671641.791044772</v>
      </c>
      <c r="K73" s="11">
        <f t="shared" si="40"/>
        <v>33805970.149253726</v>
      </c>
      <c r="L73" s="11">
        <f t="shared" si="40"/>
        <v>31940298.50746268</v>
      </c>
      <c r="M73" s="11">
        <f>L75</f>
        <v>30074626.865671635</v>
      </c>
      <c r="N73" s="11">
        <f t="shared" si="40"/>
        <v>28208955.223880589</v>
      </c>
      <c r="O73" s="11">
        <f t="shared" si="40"/>
        <v>26343283.582089543</v>
      </c>
      <c r="P73" s="11">
        <f t="shared" si="40"/>
        <v>24477611.940298498</v>
      </c>
      <c r="Q73" s="11">
        <f t="shared" si="40"/>
        <v>22611940.298507452</v>
      </c>
      <c r="R73" s="11">
        <f t="shared" si="40"/>
        <v>20746268.656716406</v>
      </c>
      <c r="S73" s="11">
        <f t="shared" si="40"/>
        <v>18880597.014925361</v>
      </c>
      <c r="T73" s="11">
        <f t="shared" si="40"/>
        <v>17014925.373134315</v>
      </c>
      <c r="U73" s="11">
        <f t="shared" si="40"/>
        <v>15149253.731343269</v>
      </c>
      <c r="V73" s="11">
        <f t="shared" si="40"/>
        <v>13283582.089552224</v>
      </c>
      <c r="W73" s="11">
        <f t="shared" si="40"/>
        <v>11417910.447761178</v>
      </c>
      <c r="X73" s="11">
        <f t="shared" si="40"/>
        <v>9552238.8059701324</v>
      </c>
      <c r="Y73" s="11">
        <f t="shared" si="40"/>
        <v>7686567.1641790876</v>
      </c>
      <c r="Z73" s="11">
        <f t="shared" si="40"/>
        <v>5820895.5223880429</v>
      </c>
      <c r="AA73" s="11">
        <f t="shared" si="40"/>
        <v>3955223.8805969981</v>
      </c>
      <c r="AB73" s="11">
        <f t="shared" si="40"/>
        <v>2089552.2388059534</v>
      </c>
      <c r="AC73" s="11">
        <f t="shared" si="40"/>
        <v>223880.59701490868</v>
      </c>
      <c r="AD73" s="11">
        <f t="shared" si="40"/>
        <v>-1641791.0447761361</v>
      </c>
      <c r="AE73" s="11">
        <f t="shared" si="40"/>
        <v>-3507462.6865671808</v>
      </c>
      <c r="AF73" s="11">
        <f t="shared" si="40"/>
        <v>-5373134.3283582255</v>
      </c>
      <c r="AG73" s="11">
        <f t="shared" si="40"/>
        <v>-7238805.9701492703</v>
      </c>
      <c r="AH73" s="11">
        <f t="shared" si="40"/>
        <v>-9104477.611940315</v>
      </c>
      <c r="AI73" s="11">
        <f t="shared" si="40"/>
        <v>-10970149.253731359</v>
      </c>
      <c r="AJ73" s="11">
        <f t="shared" si="40"/>
        <v>-12835820.895522404</v>
      </c>
      <c r="AK73" s="11">
        <f t="shared" si="40"/>
        <v>-14701492.53731345</v>
      </c>
      <c r="AL73" s="11">
        <f t="shared" si="40"/>
        <v>-16567164.179104496</v>
      </c>
      <c r="AM73" s="11">
        <f t="shared" si="40"/>
        <v>-18432835.820895541</v>
      </c>
      <c r="AN73" s="11">
        <f t="shared" si="40"/>
        <v>-20298507.462686587</v>
      </c>
      <c r="AO73" s="11">
        <f t="shared" si="40"/>
        <v>-22164179.104477633</v>
      </c>
      <c r="AP73" s="11">
        <f t="shared" si="40"/>
        <v>-24029850.746268678</v>
      </c>
      <c r="AQ73" s="11">
        <f t="shared" si="40"/>
        <v>-25895522.388059724</v>
      </c>
      <c r="AR73" s="11">
        <f t="shared" si="40"/>
        <v>-27761194.02985077</v>
      </c>
      <c r="AS73" s="11">
        <f t="shared" si="40"/>
        <v>-29626865.671641815</v>
      </c>
      <c r="AT73" s="11">
        <f t="shared" si="40"/>
        <v>-31492537.313432861</v>
      </c>
      <c r="AU73" s="11">
        <f t="shared" si="40"/>
        <v>-33358208.955223907</v>
      </c>
      <c r="AV73" s="11">
        <f t="shared" si="40"/>
        <v>-35223880.597014949</v>
      </c>
      <c r="AW73" s="11">
        <f t="shared" si="40"/>
        <v>-37089552.238805994</v>
      </c>
      <c r="AX73" s="11">
        <f t="shared" si="40"/>
        <v>-38955223.88059704</v>
      </c>
      <c r="AY73" s="11">
        <f t="shared" si="40"/>
        <v>-40820895.522388086</v>
      </c>
      <c r="AZ73" s="11">
        <f t="shared" si="40"/>
        <v>-42686567.164179131</v>
      </c>
      <c r="BA73" s="11">
        <f t="shared" si="40"/>
        <v>-44552238.805970177</v>
      </c>
      <c r="BB73" s="11">
        <f t="shared" si="40"/>
        <v>-46417910.447761223</v>
      </c>
    </row>
    <row r="74" spans="3:54" x14ac:dyDescent="0.35">
      <c r="C74" s="28" t="s">
        <v>10</v>
      </c>
      <c r="D74" s="22"/>
      <c r="E74" s="22">
        <f>IF(E73=15000,0,(invest/levetid))</f>
        <v>-1865671.6417910447</v>
      </c>
      <c r="F74" s="22">
        <f t="shared" ref="F74:BB74" si="41">IF(F73=15000,0,(invest/levetid))</f>
        <v>-1865671.6417910447</v>
      </c>
      <c r="G74" s="22">
        <f t="shared" si="41"/>
        <v>-1865671.6417910447</v>
      </c>
      <c r="H74" s="22">
        <f t="shared" si="41"/>
        <v>-1865671.6417910447</v>
      </c>
      <c r="I74" s="22">
        <f t="shared" si="41"/>
        <v>-1865671.6417910447</v>
      </c>
      <c r="J74" s="22">
        <f t="shared" si="41"/>
        <v>-1865671.6417910447</v>
      </c>
      <c r="K74" s="22">
        <f t="shared" si="41"/>
        <v>-1865671.6417910447</v>
      </c>
      <c r="L74" s="22">
        <f t="shared" si="41"/>
        <v>-1865671.6417910447</v>
      </c>
      <c r="M74" s="22">
        <f t="shared" si="41"/>
        <v>-1865671.6417910447</v>
      </c>
      <c r="N74" s="22">
        <f t="shared" si="41"/>
        <v>-1865671.6417910447</v>
      </c>
      <c r="O74" s="22">
        <f t="shared" si="41"/>
        <v>-1865671.6417910447</v>
      </c>
      <c r="P74" s="22">
        <f t="shared" si="41"/>
        <v>-1865671.6417910447</v>
      </c>
      <c r="Q74" s="22">
        <f t="shared" si="41"/>
        <v>-1865671.6417910447</v>
      </c>
      <c r="R74" s="22">
        <f t="shared" si="41"/>
        <v>-1865671.6417910447</v>
      </c>
      <c r="S74" s="22">
        <f t="shared" si="41"/>
        <v>-1865671.6417910447</v>
      </c>
      <c r="T74" s="22">
        <f t="shared" si="41"/>
        <v>-1865671.6417910447</v>
      </c>
      <c r="U74" s="22">
        <f t="shared" si="41"/>
        <v>-1865671.6417910447</v>
      </c>
      <c r="V74" s="22">
        <f t="shared" si="41"/>
        <v>-1865671.6417910447</v>
      </c>
      <c r="W74" s="22">
        <f t="shared" si="41"/>
        <v>-1865671.6417910447</v>
      </c>
      <c r="X74" s="22">
        <f t="shared" si="41"/>
        <v>-1865671.6417910447</v>
      </c>
      <c r="Y74" s="22">
        <f t="shared" si="41"/>
        <v>-1865671.6417910447</v>
      </c>
      <c r="Z74" s="22">
        <f t="shared" si="41"/>
        <v>-1865671.6417910447</v>
      </c>
      <c r="AA74" s="22">
        <f t="shared" si="41"/>
        <v>-1865671.6417910447</v>
      </c>
      <c r="AB74" s="22">
        <f t="shared" si="41"/>
        <v>-1865671.6417910447</v>
      </c>
      <c r="AC74" s="22">
        <f t="shared" si="41"/>
        <v>-1865671.6417910447</v>
      </c>
      <c r="AD74" s="22">
        <f t="shared" si="41"/>
        <v>-1865671.6417910447</v>
      </c>
      <c r="AE74" s="22">
        <f t="shared" si="41"/>
        <v>-1865671.6417910447</v>
      </c>
      <c r="AF74" s="22">
        <f t="shared" si="41"/>
        <v>-1865671.6417910447</v>
      </c>
      <c r="AG74" s="22">
        <f t="shared" si="41"/>
        <v>-1865671.6417910447</v>
      </c>
      <c r="AH74" s="22">
        <f t="shared" si="41"/>
        <v>-1865671.6417910447</v>
      </c>
      <c r="AI74" s="22">
        <f t="shared" si="41"/>
        <v>-1865671.6417910447</v>
      </c>
      <c r="AJ74" s="22">
        <f t="shared" si="41"/>
        <v>-1865671.6417910447</v>
      </c>
      <c r="AK74" s="22">
        <f t="shared" si="41"/>
        <v>-1865671.6417910447</v>
      </c>
      <c r="AL74" s="22">
        <f t="shared" si="41"/>
        <v>-1865671.6417910447</v>
      </c>
      <c r="AM74" s="22">
        <f t="shared" si="41"/>
        <v>-1865671.6417910447</v>
      </c>
      <c r="AN74" s="22">
        <f t="shared" si="41"/>
        <v>-1865671.6417910447</v>
      </c>
      <c r="AO74" s="22">
        <f t="shared" si="41"/>
        <v>-1865671.6417910447</v>
      </c>
      <c r="AP74" s="22">
        <f t="shared" si="41"/>
        <v>-1865671.6417910447</v>
      </c>
      <c r="AQ74" s="22">
        <f t="shared" si="41"/>
        <v>-1865671.6417910447</v>
      </c>
      <c r="AR74" s="22">
        <f t="shared" si="41"/>
        <v>-1865671.6417910447</v>
      </c>
      <c r="AS74" s="22">
        <f t="shared" si="41"/>
        <v>-1865671.6417910447</v>
      </c>
      <c r="AT74" s="22">
        <f t="shared" si="41"/>
        <v>-1865671.6417910447</v>
      </c>
      <c r="AU74" s="22">
        <f t="shared" si="41"/>
        <v>-1865671.6417910447</v>
      </c>
      <c r="AV74" s="22">
        <f t="shared" si="41"/>
        <v>-1865671.6417910447</v>
      </c>
      <c r="AW74" s="22">
        <f t="shared" si="41"/>
        <v>-1865671.6417910447</v>
      </c>
      <c r="AX74" s="22">
        <f t="shared" si="41"/>
        <v>-1865671.6417910447</v>
      </c>
      <c r="AY74" s="22">
        <f t="shared" si="41"/>
        <v>-1865671.6417910447</v>
      </c>
      <c r="AZ74" s="22">
        <f t="shared" si="41"/>
        <v>-1865671.6417910447</v>
      </c>
      <c r="BA74" s="22">
        <f t="shared" si="41"/>
        <v>-1865671.6417910447</v>
      </c>
      <c r="BB74" s="22">
        <f t="shared" si="41"/>
        <v>-1865671.6417910447</v>
      </c>
    </row>
    <row r="75" spans="3:54" x14ac:dyDescent="0.35">
      <c r="C75" t="s">
        <v>69</v>
      </c>
      <c r="D75" s="11"/>
      <c r="E75" s="11">
        <f>SUM(E73:E74)</f>
        <v>43134328.358208954</v>
      </c>
      <c r="F75" s="11">
        <f t="shared" ref="F75:BB75" si="42">SUM(F73:F74)</f>
        <v>41268656.716417909</v>
      </c>
      <c r="G75" s="11">
        <f t="shared" si="42"/>
        <v>39402985.074626863</v>
      </c>
      <c r="H75" s="11">
        <f t="shared" si="42"/>
        <v>37537313.432835817</v>
      </c>
      <c r="I75" s="11">
        <f t="shared" si="42"/>
        <v>35671641.791044772</v>
      </c>
      <c r="J75" s="11">
        <f t="shared" si="42"/>
        <v>33805970.149253726</v>
      </c>
      <c r="K75" s="11">
        <f t="shared" si="42"/>
        <v>31940298.50746268</v>
      </c>
      <c r="L75" s="11">
        <f t="shared" si="42"/>
        <v>30074626.865671635</v>
      </c>
      <c r="M75" s="11">
        <f t="shared" si="42"/>
        <v>28208955.223880589</v>
      </c>
      <c r="N75" s="11">
        <f t="shared" si="42"/>
        <v>26343283.582089543</v>
      </c>
      <c r="O75" s="11">
        <f t="shared" si="42"/>
        <v>24477611.940298498</v>
      </c>
      <c r="P75" s="11">
        <f t="shared" si="42"/>
        <v>22611940.298507452</v>
      </c>
      <c r="Q75" s="11">
        <f t="shared" si="42"/>
        <v>20746268.656716406</v>
      </c>
      <c r="R75" s="11">
        <f t="shared" si="42"/>
        <v>18880597.014925361</v>
      </c>
      <c r="S75" s="11">
        <f t="shared" si="42"/>
        <v>17014925.373134315</v>
      </c>
      <c r="T75" s="11">
        <f t="shared" si="42"/>
        <v>15149253.731343269</v>
      </c>
      <c r="U75" s="11">
        <f t="shared" si="42"/>
        <v>13283582.089552224</v>
      </c>
      <c r="V75" s="11">
        <f t="shared" si="42"/>
        <v>11417910.447761178</v>
      </c>
      <c r="W75" s="11">
        <f t="shared" si="42"/>
        <v>9552238.8059701324</v>
      </c>
      <c r="X75" s="11">
        <f t="shared" si="42"/>
        <v>7686567.1641790876</v>
      </c>
      <c r="Y75" s="11">
        <f t="shared" si="42"/>
        <v>5820895.5223880429</v>
      </c>
      <c r="Z75" s="11">
        <f t="shared" si="42"/>
        <v>3955223.8805969981</v>
      </c>
      <c r="AA75" s="11">
        <f t="shared" si="42"/>
        <v>2089552.2388059534</v>
      </c>
      <c r="AB75" s="11">
        <f t="shared" si="42"/>
        <v>223880.59701490868</v>
      </c>
      <c r="AC75" s="11">
        <f t="shared" si="42"/>
        <v>-1641791.0447761361</v>
      </c>
      <c r="AD75" s="11">
        <f t="shared" si="42"/>
        <v>-3507462.6865671808</v>
      </c>
      <c r="AE75" s="11">
        <f t="shared" si="42"/>
        <v>-5373134.3283582255</v>
      </c>
      <c r="AF75" s="11">
        <f t="shared" si="42"/>
        <v>-7238805.9701492703</v>
      </c>
      <c r="AG75" s="11">
        <f t="shared" si="42"/>
        <v>-9104477.611940315</v>
      </c>
      <c r="AH75" s="11">
        <f t="shared" si="42"/>
        <v>-10970149.253731359</v>
      </c>
      <c r="AI75" s="11">
        <f t="shared" si="42"/>
        <v>-12835820.895522404</v>
      </c>
      <c r="AJ75" s="11">
        <f t="shared" si="42"/>
        <v>-14701492.53731345</v>
      </c>
      <c r="AK75" s="11">
        <f t="shared" si="42"/>
        <v>-16567164.179104496</v>
      </c>
      <c r="AL75" s="11">
        <f t="shared" si="42"/>
        <v>-18432835.820895541</v>
      </c>
      <c r="AM75" s="11">
        <f t="shared" si="42"/>
        <v>-20298507.462686587</v>
      </c>
      <c r="AN75" s="11">
        <f t="shared" si="42"/>
        <v>-22164179.104477633</v>
      </c>
      <c r="AO75" s="11">
        <f t="shared" si="42"/>
        <v>-24029850.746268678</v>
      </c>
      <c r="AP75" s="11">
        <f t="shared" si="42"/>
        <v>-25895522.388059724</v>
      </c>
      <c r="AQ75" s="11">
        <f t="shared" si="42"/>
        <v>-27761194.02985077</v>
      </c>
      <c r="AR75" s="11">
        <f t="shared" si="42"/>
        <v>-29626865.671641815</v>
      </c>
      <c r="AS75" s="11">
        <f t="shared" si="42"/>
        <v>-31492537.313432861</v>
      </c>
      <c r="AT75" s="11">
        <f t="shared" si="42"/>
        <v>-33358208.955223907</v>
      </c>
      <c r="AU75" s="11">
        <f t="shared" si="42"/>
        <v>-35223880.597014949</v>
      </c>
      <c r="AV75" s="11">
        <f t="shared" si="42"/>
        <v>-37089552.238805994</v>
      </c>
      <c r="AW75" s="11">
        <f t="shared" si="42"/>
        <v>-38955223.88059704</v>
      </c>
      <c r="AX75" s="11">
        <f t="shared" si="42"/>
        <v>-40820895.522388086</v>
      </c>
      <c r="AY75" s="11">
        <f t="shared" si="42"/>
        <v>-42686567.164179131</v>
      </c>
      <c r="AZ75" s="11">
        <f t="shared" si="42"/>
        <v>-44552238.805970177</v>
      </c>
      <c r="BA75" s="11">
        <f t="shared" si="42"/>
        <v>-46417910.447761223</v>
      </c>
      <c r="BB75" s="11">
        <f t="shared" si="42"/>
        <v>-48283582.089552268</v>
      </c>
    </row>
    <row r="76" spans="3:54" x14ac:dyDescent="0.35">
      <c r="C76" t="s">
        <v>70</v>
      </c>
      <c r="D76" s="11"/>
      <c r="E76" s="11">
        <f>(E75+E73)/2</f>
        <v>44067164.179104477</v>
      </c>
      <c r="F76" s="11">
        <f t="shared" ref="F76:M76" si="43">(F75+F73)/2</f>
        <v>42201492.537313432</v>
      </c>
      <c r="G76" s="11">
        <f t="shared" si="43"/>
        <v>40335820.895522386</v>
      </c>
      <c r="H76" s="11">
        <f t="shared" si="43"/>
        <v>38470149.25373134</v>
      </c>
      <c r="I76" s="11">
        <f t="shared" si="43"/>
        <v>36604477.611940295</v>
      </c>
      <c r="J76" s="11">
        <f t="shared" si="43"/>
        <v>34738805.970149249</v>
      </c>
      <c r="K76" s="11">
        <f t="shared" si="43"/>
        <v>32873134.328358203</v>
      </c>
      <c r="L76" s="11">
        <f t="shared" si="43"/>
        <v>31007462.686567158</v>
      </c>
      <c r="M76" s="11">
        <f t="shared" si="43"/>
        <v>29141791.044776112</v>
      </c>
      <c r="N76" s="11">
        <f>(N75+N73)/2</f>
        <v>27276119.402985066</v>
      </c>
      <c r="O76" s="11">
        <f>(O75+O73)/2</f>
        <v>25410447.761194021</v>
      </c>
      <c r="P76" s="11">
        <f t="shared" ref="P76:BB76" si="44">(P75+P73)/2</f>
        <v>23544776.119402975</v>
      </c>
      <c r="Q76" s="11">
        <f t="shared" si="44"/>
        <v>21679104.477611929</v>
      </c>
      <c r="R76" s="11">
        <f t="shared" si="44"/>
        <v>19813432.835820884</v>
      </c>
      <c r="S76" s="11">
        <f t="shared" si="44"/>
        <v>17947761.194029838</v>
      </c>
      <c r="T76" s="11">
        <f t="shared" si="44"/>
        <v>16082089.552238792</v>
      </c>
      <c r="U76" s="11">
        <f t="shared" si="44"/>
        <v>14216417.910447747</v>
      </c>
      <c r="V76" s="11">
        <f t="shared" si="44"/>
        <v>12350746.268656701</v>
      </c>
      <c r="W76" s="11">
        <f t="shared" si="44"/>
        <v>10485074.626865655</v>
      </c>
      <c r="X76" s="11">
        <f t="shared" si="44"/>
        <v>8619402.9850746095</v>
      </c>
      <c r="Y76" s="11">
        <f t="shared" si="44"/>
        <v>6753731.3432835657</v>
      </c>
      <c r="Z76" s="11">
        <f t="shared" si="44"/>
        <v>4888059.70149252</v>
      </c>
      <c r="AA76" s="11">
        <f t="shared" si="44"/>
        <v>3022388.0597014758</v>
      </c>
      <c r="AB76" s="11">
        <f t="shared" si="44"/>
        <v>1156716.417910431</v>
      </c>
      <c r="AC76" s="11">
        <f t="shared" si="44"/>
        <v>-708955.22388061369</v>
      </c>
      <c r="AD76" s="11">
        <f t="shared" si="44"/>
        <v>-2574626.8656716584</v>
      </c>
      <c r="AE76" s="11">
        <f t="shared" si="44"/>
        <v>-4440298.5074627027</v>
      </c>
      <c r="AF76" s="11">
        <f t="shared" si="44"/>
        <v>-6305970.1492537484</v>
      </c>
      <c r="AG76" s="11">
        <f t="shared" si="44"/>
        <v>-8171641.7910447922</v>
      </c>
      <c r="AH76" s="11">
        <f t="shared" si="44"/>
        <v>-10037313.432835836</v>
      </c>
      <c r="AI76" s="11">
        <f t="shared" si="44"/>
        <v>-11902985.074626882</v>
      </c>
      <c r="AJ76" s="11">
        <f t="shared" si="44"/>
        <v>-13768656.716417927</v>
      </c>
      <c r="AK76" s="11">
        <f t="shared" si="44"/>
        <v>-15634328.358208973</v>
      </c>
      <c r="AL76" s="11">
        <f t="shared" si="44"/>
        <v>-17500000.000000019</v>
      </c>
      <c r="AM76" s="11">
        <f t="shared" si="44"/>
        <v>-19365671.641791064</v>
      </c>
      <c r="AN76" s="11">
        <f t="shared" si="44"/>
        <v>-21231343.28358211</v>
      </c>
      <c r="AO76" s="11">
        <f t="shared" si="44"/>
        <v>-23097014.925373156</v>
      </c>
      <c r="AP76" s="11">
        <f t="shared" si="44"/>
        <v>-24962686.567164201</v>
      </c>
      <c r="AQ76" s="11">
        <f t="shared" si="44"/>
        <v>-26828358.208955247</v>
      </c>
      <c r="AR76" s="11">
        <f t="shared" si="44"/>
        <v>-28694029.850746293</v>
      </c>
      <c r="AS76" s="11">
        <f t="shared" si="44"/>
        <v>-30559701.492537338</v>
      </c>
      <c r="AT76" s="11">
        <f t="shared" si="44"/>
        <v>-32425373.134328384</v>
      </c>
      <c r="AU76" s="11">
        <f t="shared" si="44"/>
        <v>-34291044.776119426</v>
      </c>
      <c r="AV76" s="11">
        <f t="shared" si="44"/>
        <v>-36156716.417910472</v>
      </c>
      <c r="AW76" s="11">
        <f t="shared" si="44"/>
        <v>-38022388.059701517</v>
      </c>
      <c r="AX76" s="11">
        <f t="shared" si="44"/>
        <v>-39888059.701492563</v>
      </c>
      <c r="AY76" s="11">
        <f t="shared" si="44"/>
        <v>-41753731.343283609</v>
      </c>
      <c r="AZ76" s="11">
        <f t="shared" si="44"/>
        <v>-43619402.985074654</v>
      </c>
      <c r="BA76" s="11">
        <f t="shared" si="44"/>
        <v>-45485074.6268657</v>
      </c>
      <c r="BB76" s="11">
        <f t="shared" si="44"/>
        <v>-47350746.268656746</v>
      </c>
    </row>
    <row r="77" spans="3:54" x14ac:dyDescent="0.35">
      <c r="C77" t="s">
        <v>71</v>
      </c>
      <c r="D77" s="11"/>
      <c r="E77" s="11">
        <f>normrente*E76</f>
        <v>969477.61194029846</v>
      </c>
      <c r="F77" s="11">
        <f t="shared" ref="F77:BB77" si="45">normrente*F76</f>
        <v>928432.83582089539</v>
      </c>
      <c r="G77" s="11">
        <f t="shared" si="45"/>
        <v>887388.05970149243</v>
      </c>
      <c r="H77" s="11">
        <f t="shared" si="45"/>
        <v>846343.28358208947</v>
      </c>
      <c r="I77" s="11">
        <f t="shared" si="45"/>
        <v>805298.50746268639</v>
      </c>
      <c r="J77" s="11">
        <f t="shared" si="45"/>
        <v>764253.73134328343</v>
      </c>
      <c r="K77" s="11">
        <f t="shared" si="45"/>
        <v>723208.95522388048</v>
      </c>
      <c r="L77" s="11">
        <f t="shared" si="45"/>
        <v>682164.1791044774</v>
      </c>
      <c r="M77" s="11">
        <f t="shared" si="45"/>
        <v>641119.40298507444</v>
      </c>
      <c r="N77" s="11">
        <f t="shared" si="45"/>
        <v>600074.62686567137</v>
      </c>
      <c r="O77" s="11">
        <f t="shared" si="45"/>
        <v>559029.85074626841</v>
      </c>
      <c r="P77" s="11">
        <f t="shared" si="45"/>
        <v>517985.07462686539</v>
      </c>
      <c r="Q77" s="11">
        <f t="shared" si="45"/>
        <v>476940.29850746243</v>
      </c>
      <c r="R77" s="11">
        <f t="shared" si="45"/>
        <v>435895.52238805941</v>
      </c>
      <c r="S77" s="11">
        <f t="shared" si="45"/>
        <v>394850.7462686564</v>
      </c>
      <c r="T77" s="11">
        <f t="shared" si="45"/>
        <v>353805.97014925338</v>
      </c>
      <c r="U77" s="11">
        <f t="shared" si="45"/>
        <v>312761.19402985042</v>
      </c>
      <c r="V77" s="11">
        <f t="shared" si="45"/>
        <v>271716.4179104474</v>
      </c>
      <c r="W77" s="11">
        <f t="shared" si="45"/>
        <v>230671.64179104441</v>
      </c>
      <c r="X77" s="11">
        <f t="shared" si="45"/>
        <v>189626.8656716414</v>
      </c>
      <c r="Y77" s="11">
        <f t="shared" si="45"/>
        <v>148582.08955223844</v>
      </c>
      <c r="Z77" s="11">
        <f t="shared" si="45"/>
        <v>107537.31343283544</v>
      </c>
      <c r="AA77" s="11">
        <f t="shared" si="45"/>
        <v>66492.537313432462</v>
      </c>
      <c r="AB77" s="11">
        <f t="shared" si="45"/>
        <v>25447.761194029481</v>
      </c>
      <c r="AC77" s="11">
        <f t="shared" si="45"/>
        <v>-15597.0149253735</v>
      </c>
      <c r="AD77" s="11">
        <f t="shared" si="45"/>
        <v>-56641.791044776481</v>
      </c>
      <c r="AE77" s="11">
        <f t="shared" si="45"/>
        <v>-97686.567164179447</v>
      </c>
      <c r="AF77" s="11">
        <f t="shared" si="45"/>
        <v>-138731.34328358245</v>
      </c>
      <c r="AG77" s="11">
        <f t="shared" si="45"/>
        <v>-179776.11940298541</v>
      </c>
      <c r="AH77" s="11">
        <f t="shared" si="45"/>
        <v>-220820.89552238837</v>
      </c>
      <c r="AI77" s="11">
        <f t="shared" si="45"/>
        <v>-261865.67164179138</v>
      </c>
      <c r="AJ77" s="11">
        <f t="shared" si="45"/>
        <v>-302910.44776119437</v>
      </c>
      <c r="AK77" s="11">
        <f t="shared" si="45"/>
        <v>-343955.22388059739</v>
      </c>
      <c r="AL77" s="11">
        <f t="shared" si="45"/>
        <v>-385000.00000000041</v>
      </c>
      <c r="AM77" s="11">
        <f t="shared" si="45"/>
        <v>-426044.77611940337</v>
      </c>
      <c r="AN77" s="11">
        <f t="shared" si="45"/>
        <v>-467089.55223880638</v>
      </c>
      <c r="AO77" s="11">
        <f t="shared" si="45"/>
        <v>-508134.3283582094</v>
      </c>
      <c r="AP77" s="11">
        <f t="shared" si="45"/>
        <v>-549179.10447761242</v>
      </c>
      <c r="AQ77" s="11">
        <f t="shared" si="45"/>
        <v>-590223.88059701538</v>
      </c>
      <c r="AR77" s="11">
        <f t="shared" si="45"/>
        <v>-631268.65671641845</v>
      </c>
      <c r="AS77" s="11">
        <f t="shared" si="45"/>
        <v>-672313.43283582141</v>
      </c>
      <c r="AT77" s="11">
        <f t="shared" si="45"/>
        <v>-713358.20895522437</v>
      </c>
      <c r="AU77" s="11">
        <f t="shared" si="45"/>
        <v>-754402.98507462733</v>
      </c>
      <c r="AV77" s="11">
        <f t="shared" si="45"/>
        <v>-795447.76119403029</v>
      </c>
      <c r="AW77" s="11">
        <f t="shared" si="45"/>
        <v>-836492.53731343336</v>
      </c>
      <c r="AX77" s="11">
        <f t="shared" si="45"/>
        <v>-877537.31343283632</v>
      </c>
      <c r="AY77" s="11">
        <f t="shared" si="45"/>
        <v>-918582.08955223928</v>
      </c>
      <c r="AZ77" s="11">
        <f t="shared" si="45"/>
        <v>-959626.86567164236</v>
      </c>
      <c r="BA77" s="11">
        <f t="shared" si="45"/>
        <v>-1000671.6417910453</v>
      </c>
      <c r="BB77" s="11">
        <f t="shared" si="45"/>
        <v>-1041716.4179104484</v>
      </c>
    </row>
    <row r="78" spans="3:54" x14ac:dyDescent="0.35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3:54" x14ac:dyDescent="0.35">
      <c r="C79" t="s">
        <v>55</v>
      </c>
      <c r="D79" s="11">
        <v>0</v>
      </c>
      <c r="E79" s="11">
        <v>1</v>
      </c>
      <c r="F79" s="11">
        <v>2</v>
      </c>
      <c r="G79" s="11">
        <v>3</v>
      </c>
      <c r="H79" s="11">
        <v>4</v>
      </c>
      <c r="I79" s="11">
        <v>5</v>
      </c>
      <c r="J79" s="11">
        <v>6</v>
      </c>
      <c r="K79" s="11">
        <v>7</v>
      </c>
      <c r="L79" s="11">
        <v>8</v>
      </c>
      <c r="M79" s="11">
        <v>9</v>
      </c>
      <c r="N79" s="11">
        <v>10</v>
      </c>
      <c r="O79" s="11">
        <v>11</v>
      </c>
      <c r="P79" s="11">
        <v>12</v>
      </c>
      <c r="Q79" s="11">
        <v>13</v>
      </c>
      <c r="R79" s="11">
        <v>14</v>
      </c>
      <c r="S79" s="11">
        <v>15</v>
      </c>
      <c r="T79" s="11">
        <v>16</v>
      </c>
      <c r="U79" s="11">
        <v>17</v>
      </c>
      <c r="V79" s="11">
        <v>18</v>
      </c>
      <c r="W79" s="11">
        <v>19</v>
      </c>
      <c r="X79" s="11">
        <v>20</v>
      </c>
      <c r="Y79" s="11">
        <v>21</v>
      </c>
      <c r="Z79" s="11">
        <v>22</v>
      </c>
      <c r="AA79" s="11">
        <v>23</v>
      </c>
      <c r="AB79" s="11">
        <v>24</v>
      </c>
      <c r="AC79" s="11">
        <v>25</v>
      </c>
      <c r="AD79" s="11">
        <v>26</v>
      </c>
      <c r="AE79" s="11">
        <v>27</v>
      </c>
      <c r="AF79" s="11">
        <v>28</v>
      </c>
      <c r="AG79" s="11">
        <v>29</v>
      </c>
      <c r="AH79" s="11">
        <v>30</v>
      </c>
      <c r="AI79" s="11">
        <v>31</v>
      </c>
      <c r="AJ79" s="11">
        <v>32</v>
      </c>
      <c r="AK79" s="11">
        <v>33</v>
      </c>
      <c r="AL79" s="11">
        <v>34</v>
      </c>
      <c r="AM79" s="11">
        <v>35</v>
      </c>
      <c r="AN79" s="11">
        <v>36</v>
      </c>
      <c r="AO79" s="11">
        <v>37</v>
      </c>
      <c r="AP79" s="11">
        <v>38</v>
      </c>
      <c r="AQ79" s="11">
        <v>39</v>
      </c>
      <c r="AR79" s="11">
        <v>40</v>
      </c>
      <c r="AS79" s="11">
        <v>41</v>
      </c>
      <c r="AT79" s="11">
        <v>42</v>
      </c>
      <c r="AU79" s="11">
        <v>43</v>
      </c>
      <c r="AV79" s="11">
        <v>44</v>
      </c>
      <c r="AW79" s="11">
        <v>45</v>
      </c>
      <c r="AX79" s="11">
        <v>46</v>
      </c>
      <c r="AY79" s="11">
        <v>47</v>
      </c>
      <c r="AZ79" s="11">
        <v>48</v>
      </c>
      <c r="BA79" s="11">
        <v>49</v>
      </c>
      <c r="BB79" s="11">
        <v>50</v>
      </c>
    </row>
    <row r="80" spans="3:54" x14ac:dyDescent="0.35">
      <c r="C80" t="s">
        <v>75</v>
      </c>
      <c r="D80" s="11"/>
      <c r="E80" s="11">
        <f>E33</f>
        <v>22405032</v>
      </c>
      <c r="F80" s="11">
        <f>F33</f>
        <v>20107080</v>
      </c>
      <c r="G80" s="11">
        <f>AVERAGE(E33:F33)</f>
        <v>21256056</v>
      </c>
      <c r="H80" s="11">
        <f>AVERAGE(E33:G33)</f>
        <v>20839552.199999999</v>
      </c>
      <c r="I80" s="11">
        <f>AVERAGE(E33:H33)</f>
        <v>20841347.474999998</v>
      </c>
      <c r="J80" s="11">
        <f t="shared" ref="J80:BB80" si="46">AVERAGE(E33:I33)</f>
        <v>20852478.18</v>
      </c>
      <c r="K80" s="11">
        <f t="shared" si="46"/>
        <v>20543690.879999999</v>
      </c>
      <c r="L80" s="11">
        <f t="shared" si="46"/>
        <v>20766304.98</v>
      </c>
      <c r="M80" s="11">
        <f t="shared" si="46"/>
        <v>21195734.759999998</v>
      </c>
      <c r="N80" s="11">
        <f t="shared" si="46"/>
        <v>21514575.600000001</v>
      </c>
      <c r="O80" s="11">
        <f t="shared" si="46"/>
        <v>21798947.16</v>
      </c>
      <c r="P80" s="11">
        <f t="shared" si="46"/>
        <v>22179775.255199999</v>
      </c>
      <c r="Q80" s="11">
        <f t="shared" si="46"/>
        <v>22579853.294303998</v>
      </c>
      <c r="R80" s="11">
        <f t="shared" si="46"/>
        <v>22886104.896190077</v>
      </c>
      <c r="S80" s="11">
        <f t="shared" si="46"/>
        <v>23229647.504113887</v>
      </c>
      <c r="T80" s="11">
        <f t="shared" si="46"/>
        <v>23694240.454196163</v>
      </c>
      <c r="U80" s="11">
        <f t="shared" si="46"/>
        <v>24168125.263280082</v>
      </c>
      <c r="V80" s="11">
        <f t="shared" si="46"/>
        <v>24651487.768545683</v>
      </c>
      <c r="W80" s="11">
        <f t="shared" si="46"/>
        <v>25144517.523916598</v>
      </c>
      <c r="X80" s="11">
        <f t="shared" si="46"/>
        <v>25647407.874394931</v>
      </c>
      <c r="Y80" s="11">
        <f t="shared" si="46"/>
        <v>26160356.03188283</v>
      </c>
      <c r="Z80" s="11">
        <f t="shared" si="46"/>
        <v>26683563.152520485</v>
      </c>
      <c r="AA80" s="11">
        <f t="shared" si="46"/>
        <v>27217234.415570892</v>
      </c>
      <c r="AB80" s="11">
        <f t="shared" si="46"/>
        <v>27761579.103882313</v>
      </c>
      <c r="AC80" s="11">
        <f t="shared" si="46"/>
        <v>28316810.685959958</v>
      </c>
      <c r="AD80" s="11">
        <f t="shared" si="46"/>
        <v>28883146.899679154</v>
      </c>
      <c r="AE80" s="11">
        <f t="shared" si="46"/>
        <v>29460809.83767274</v>
      </c>
      <c r="AF80" s="11">
        <f t="shared" si="46"/>
        <v>30050026.034426201</v>
      </c>
      <c r="AG80" s="11">
        <f t="shared" si="46"/>
        <v>30651026.555114724</v>
      </c>
      <c r="AH80" s="11">
        <f t="shared" si="46"/>
        <v>31264047.086217023</v>
      </c>
      <c r="AI80" s="11">
        <f t="shared" si="46"/>
        <v>31889328.027941357</v>
      </c>
      <c r="AJ80" s="11">
        <f t="shared" si="46"/>
        <v>32527114.588500183</v>
      </c>
      <c r="AK80" s="11">
        <f t="shared" si="46"/>
        <v>33177656.880270194</v>
      </c>
      <c r="AL80" s="11">
        <f t="shared" si="46"/>
        <v>33841210.017875597</v>
      </c>
      <c r="AM80" s="11">
        <f t="shared" si="46"/>
        <v>34518034.218233109</v>
      </c>
      <c r="AN80" s="11">
        <f t="shared" si="46"/>
        <v>35208394.902597778</v>
      </c>
      <c r="AO80" s="11">
        <f t="shared" si="46"/>
        <v>35912562.800649732</v>
      </c>
      <c r="AP80" s="11">
        <f t="shared" si="46"/>
        <v>36630814.056662731</v>
      </c>
      <c r="AQ80" s="11">
        <f t="shared" si="46"/>
        <v>37363430.337795988</v>
      </c>
      <c r="AR80" s="11">
        <f t="shared" si="46"/>
        <v>38110698.944551907</v>
      </c>
      <c r="AS80" s="11">
        <f t="shared" si="46"/>
        <v>38872912.923442945</v>
      </c>
      <c r="AT80" s="11">
        <f t="shared" si="46"/>
        <v>39650371.181911804</v>
      </c>
      <c r="AU80" s="11">
        <f t="shared" si="46"/>
        <v>40443378.605550036</v>
      </c>
      <c r="AV80" s="11">
        <f t="shared" si="46"/>
        <v>41252246.177661039</v>
      </c>
      <c r="AW80" s="11">
        <f t="shared" si="46"/>
        <v>42077291.101214267</v>
      </c>
      <c r="AX80" s="11">
        <f t="shared" si="46"/>
        <v>42918836.923238546</v>
      </c>
      <c r="AY80" s="11">
        <f t="shared" si="46"/>
        <v>43777213.661703326</v>
      </c>
      <c r="AZ80" s="11">
        <f t="shared" si="46"/>
        <v>44652757.93493738</v>
      </c>
      <c r="BA80" s="11">
        <f t="shared" si="46"/>
        <v>45545813.093636133</v>
      </c>
      <c r="BB80" s="11">
        <f t="shared" si="46"/>
        <v>46456729.355508849</v>
      </c>
    </row>
    <row r="81" spans="3:54" x14ac:dyDescent="0.35">
      <c r="C81" t="s">
        <v>65</v>
      </c>
      <c r="D81" s="11"/>
      <c r="E81" s="11">
        <f>E65</f>
        <v>-5383172.4000000004</v>
      </c>
      <c r="F81" s="11">
        <f>F65</f>
        <v>-5490835.8479999993</v>
      </c>
      <c r="G81" s="11">
        <f>AVERAGE(E65:F65)</f>
        <v>-5437004.1239999998</v>
      </c>
      <c r="H81" s="11">
        <f>AVERAGE(E65:G65)</f>
        <v>-5491553.6043199999</v>
      </c>
      <c r="I81" s="11">
        <f>AVERAGE(E65:H65)</f>
        <v>-5546831.6073048003</v>
      </c>
      <c r="J81" s="11">
        <f t="shared" ref="J81:BB81" si="47">AVERAGE(E65:I65)</f>
        <v>-5602849.0715607163</v>
      </c>
      <c r="K81" s="11">
        <f t="shared" si="47"/>
        <v>-5714906.0529919313</v>
      </c>
      <c r="L81" s="11">
        <f t="shared" si="47"/>
        <v>-5829204.1740517691</v>
      </c>
      <c r="M81" s="11">
        <f t="shared" si="47"/>
        <v>-5945788.2575328052</v>
      </c>
      <c r="N81" s="11">
        <f t="shared" si="47"/>
        <v>-6064704.0226834612</v>
      </c>
      <c r="O81" s="11">
        <f t="shared" si="47"/>
        <v>-6185998.1031371299</v>
      </c>
      <c r="P81" s="11">
        <f t="shared" si="47"/>
        <v>-6309718.0651998725</v>
      </c>
      <c r="Q81" s="11">
        <f t="shared" si="47"/>
        <v>-6435912.4265038697</v>
      </c>
      <c r="R81" s="11">
        <f t="shared" si="47"/>
        <v>-6564630.6750339475</v>
      </c>
      <c r="S81" s="11">
        <f t="shared" si="47"/>
        <v>-6695923.2885346264</v>
      </c>
      <c r="T81" s="11">
        <f t="shared" si="47"/>
        <v>-6829841.754305318</v>
      </c>
      <c r="U81" s="11">
        <f t="shared" si="47"/>
        <v>-6966438.5893914253</v>
      </c>
      <c r="V81" s="11">
        <f t="shared" si="47"/>
        <v>-7105767.3611792531</v>
      </c>
      <c r="W81" s="11">
        <f t="shared" si="47"/>
        <v>-7247882.7084028376</v>
      </c>
      <c r="X81" s="11">
        <f t="shared" si="47"/>
        <v>-7392840.362570894</v>
      </c>
      <c r="Y81" s="11">
        <f t="shared" si="47"/>
        <v>-7540697.1698223129</v>
      </c>
      <c r="Z81" s="11">
        <f t="shared" si="47"/>
        <v>-7691511.1132187601</v>
      </c>
      <c r="AA81" s="11">
        <f t="shared" si="47"/>
        <v>-7845341.3354831338</v>
      </c>
      <c r="AB81" s="11">
        <f t="shared" si="47"/>
        <v>-8002248.1621927973</v>
      </c>
      <c r="AC81" s="11">
        <f t="shared" si="47"/>
        <v>-8162293.1254366534</v>
      </c>
      <c r="AD81" s="11">
        <f t="shared" si="47"/>
        <v>-8325538.9879453871</v>
      </c>
      <c r="AE81" s="11">
        <f t="shared" si="47"/>
        <v>-8492049.7677042931</v>
      </c>
      <c r="AF81" s="11">
        <f t="shared" si="47"/>
        <v>-8661890.7630583793</v>
      </c>
      <c r="AG81" s="11">
        <f t="shared" si="47"/>
        <v>-8835128.5783195458</v>
      </c>
      <c r="AH81" s="11">
        <f t="shared" si="47"/>
        <v>-9011831.1498859376</v>
      </c>
      <c r="AI81" s="11">
        <f t="shared" si="47"/>
        <v>-9192067.7728836574</v>
      </c>
      <c r="AJ81" s="11">
        <f t="shared" si="47"/>
        <v>-9375909.1283413284</v>
      </c>
      <c r="AK81" s="11">
        <f t="shared" si="47"/>
        <v>-9563427.3109081574</v>
      </c>
      <c r="AL81" s="11">
        <f t="shared" si="47"/>
        <v>-9754695.8571263198</v>
      </c>
      <c r="AM81" s="11">
        <f t="shared" si="47"/>
        <v>-9949789.774268847</v>
      </c>
      <c r="AN81" s="11">
        <f t="shared" si="47"/>
        <v>-10148785.569754222</v>
      </c>
      <c r="AO81" s="11">
        <f t="shared" si="47"/>
        <v>-10351761.281149307</v>
      </c>
      <c r="AP81" s="11">
        <f t="shared" si="47"/>
        <v>-10558796.506772295</v>
      </c>
      <c r="AQ81" s="11">
        <f t="shared" si="47"/>
        <v>-10769972.436907738</v>
      </c>
      <c r="AR81" s="11">
        <f t="shared" si="47"/>
        <v>-10985371.885645892</v>
      </c>
      <c r="AS81" s="11">
        <f t="shared" si="47"/>
        <v>-11205079.323358811</v>
      </c>
      <c r="AT81" s="11">
        <f t="shared" si="47"/>
        <v>-11429180.909825988</v>
      </c>
      <c r="AU81" s="11">
        <f t="shared" si="47"/>
        <v>-11657764.528022507</v>
      </c>
      <c r="AV81" s="11">
        <f t="shared" si="47"/>
        <v>-11890919.818582956</v>
      </c>
      <c r="AW81" s="11">
        <f t="shared" si="47"/>
        <v>-12128738.214954617</v>
      </c>
      <c r="AX81" s="11">
        <f t="shared" si="47"/>
        <v>-12371312.979253709</v>
      </c>
      <c r="AY81" s="11">
        <f t="shared" si="47"/>
        <v>-12618739.238838783</v>
      </c>
      <c r="AZ81" s="11">
        <f t="shared" si="47"/>
        <v>-12871114.023615558</v>
      </c>
      <c r="BA81" s="11">
        <f t="shared" si="47"/>
        <v>-13128536.30408787</v>
      </c>
      <c r="BB81" s="11">
        <f t="shared" si="47"/>
        <v>-13391107.030169627</v>
      </c>
    </row>
    <row r="82" spans="3:54" x14ac:dyDescent="0.35">
      <c r="C82" t="s">
        <v>53</v>
      </c>
      <c r="D82" s="11"/>
      <c r="E82" s="11"/>
      <c r="F82" s="11">
        <f t="shared" ref="F82:BB82" si="48">E70*-1</f>
        <v>0</v>
      </c>
      <c r="G82" s="11">
        <f t="shared" si="48"/>
        <v>0</v>
      </c>
      <c r="H82" s="11">
        <f t="shared" si="48"/>
        <v>0</v>
      </c>
      <c r="I82" s="11">
        <f t="shared" si="48"/>
        <v>0</v>
      </c>
      <c r="J82" s="11">
        <f t="shared" si="48"/>
        <v>0</v>
      </c>
      <c r="K82" s="11">
        <f t="shared" si="48"/>
        <v>0</v>
      </c>
      <c r="L82" s="11">
        <f t="shared" si="48"/>
        <v>0</v>
      </c>
      <c r="M82" s="11">
        <f t="shared" si="48"/>
        <v>0</v>
      </c>
      <c r="N82" s="11">
        <f t="shared" si="48"/>
        <v>0</v>
      </c>
      <c r="O82" s="11">
        <f t="shared" si="48"/>
        <v>0</v>
      </c>
      <c r="P82" s="11">
        <f t="shared" si="48"/>
        <v>0</v>
      </c>
      <c r="Q82" s="11">
        <f t="shared" si="48"/>
        <v>0</v>
      </c>
      <c r="R82" s="11">
        <f t="shared" si="48"/>
        <v>0</v>
      </c>
      <c r="S82" s="11">
        <f t="shared" si="48"/>
        <v>0</v>
      </c>
      <c r="T82" s="11">
        <f t="shared" si="48"/>
        <v>0</v>
      </c>
      <c r="U82" s="11">
        <f t="shared" si="48"/>
        <v>0</v>
      </c>
      <c r="V82" s="11">
        <f t="shared" si="48"/>
        <v>0</v>
      </c>
      <c r="W82" s="11">
        <f t="shared" si="48"/>
        <v>0</v>
      </c>
      <c r="X82" s="11">
        <f t="shared" si="48"/>
        <v>0</v>
      </c>
      <c r="Y82" s="11">
        <f t="shared" si="48"/>
        <v>0</v>
      </c>
      <c r="Z82" s="11">
        <f t="shared" si="48"/>
        <v>0</v>
      </c>
      <c r="AA82" s="11">
        <f t="shared" si="48"/>
        <v>0</v>
      </c>
      <c r="AB82" s="11">
        <f t="shared" si="48"/>
        <v>0</v>
      </c>
      <c r="AC82" s="11">
        <f t="shared" si="48"/>
        <v>0</v>
      </c>
      <c r="AD82" s="11">
        <f t="shared" si="48"/>
        <v>0</v>
      </c>
      <c r="AE82" s="11">
        <f t="shared" si="48"/>
        <v>0</v>
      </c>
      <c r="AF82" s="11">
        <f t="shared" si="48"/>
        <v>0</v>
      </c>
      <c r="AG82" s="11">
        <f t="shared" si="48"/>
        <v>0</v>
      </c>
      <c r="AH82" s="11">
        <f t="shared" si="48"/>
        <v>0</v>
      </c>
      <c r="AI82" s="11">
        <f t="shared" si="48"/>
        <v>0</v>
      </c>
      <c r="AJ82" s="11">
        <f t="shared" si="48"/>
        <v>0</v>
      </c>
      <c r="AK82" s="11">
        <f t="shared" si="48"/>
        <v>0</v>
      </c>
      <c r="AL82" s="11">
        <f t="shared" si="48"/>
        <v>0</v>
      </c>
      <c r="AM82" s="11">
        <f t="shared" si="48"/>
        <v>0</v>
      </c>
      <c r="AN82" s="11">
        <f t="shared" si="48"/>
        <v>0</v>
      </c>
      <c r="AO82" s="11">
        <f t="shared" si="48"/>
        <v>0</v>
      </c>
      <c r="AP82" s="11">
        <f t="shared" si="48"/>
        <v>0</v>
      </c>
      <c r="AQ82" s="11">
        <f t="shared" si="48"/>
        <v>0</v>
      </c>
      <c r="AR82" s="11">
        <f t="shared" si="48"/>
        <v>0</v>
      </c>
      <c r="AS82" s="11">
        <f t="shared" si="48"/>
        <v>0</v>
      </c>
      <c r="AT82" s="11">
        <f t="shared" si="48"/>
        <v>0</v>
      </c>
      <c r="AU82" s="11">
        <f t="shared" si="48"/>
        <v>0</v>
      </c>
      <c r="AV82" s="11">
        <f t="shared" si="48"/>
        <v>0</v>
      </c>
      <c r="AW82" s="11">
        <f t="shared" si="48"/>
        <v>0</v>
      </c>
      <c r="AX82" s="11">
        <f t="shared" si="48"/>
        <v>0</v>
      </c>
      <c r="AY82" s="11">
        <f t="shared" si="48"/>
        <v>0</v>
      </c>
      <c r="AZ82" s="11">
        <f t="shared" si="48"/>
        <v>0</v>
      </c>
      <c r="BA82" s="11">
        <f t="shared" si="48"/>
        <v>0</v>
      </c>
      <c r="BB82" s="11">
        <f t="shared" si="48"/>
        <v>0</v>
      </c>
    </row>
    <row r="83" spans="3:54" x14ac:dyDescent="0.35">
      <c r="C83" t="s">
        <v>77</v>
      </c>
      <c r="D83" s="11"/>
      <c r="E83" s="11">
        <f>SUM(E80:E82)</f>
        <v>17021859.600000001</v>
      </c>
      <c r="F83" s="11">
        <f>SUM(F80:F82)</f>
        <v>14616244.152000001</v>
      </c>
      <c r="G83" s="11">
        <f t="shared" ref="G83:M83" si="49">SUM(G80:G82)</f>
        <v>15819051.876</v>
      </c>
      <c r="H83" s="11">
        <f t="shared" si="49"/>
        <v>15347998.595679998</v>
      </c>
      <c r="I83" s="11">
        <f>SUM(I80:I82)</f>
        <v>15294515.867695197</v>
      </c>
      <c r="J83" s="11">
        <f>SUM(J80:J82)</f>
        <v>15249629.108439283</v>
      </c>
      <c r="K83" s="11">
        <f t="shared" si="49"/>
        <v>14828784.827008069</v>
      </c>
      <c r="L83" s="11">
        <f t="shared" si="49"/>
        <v>14937100.805948231</v>
      </c>
      <c r="M83" s="11">
        <f t="shared" si="49"/>
        <v>15249946.502467193</v>
      </c>
      <c r="N83" s="11">
        <f>SUM(N80:N82)</f>
        <v>15449871.577316541</v>
      </c>
      <c r="O83" s="11">
        <f>SUM(O80:O82)</f>
        <v>15612949.05686287</v>
      </c>
      <c r="P83" s="11">
        <f>SUM(P80:P82)</f>
        <v>15870057.190000126</v>
      </c>
      <c r="Q83" s="11">
        <f t="shared" ref="Q83:BB83" si="50">SUM(Q80:Q82)</f>
        <v>16143940.867800128</v>
      </c>
      <c r="R83" s="11">
        <f t="shared" si="50"/>
        <v>16321474.22115613</v>
      </c>
      <c r="S83" s="11">
        <f t="shared" si="50"/>
        <v>16533724.21557926</v>
      </c>
      <c r="T83" s="11">
        <f t="shared" si="50"/>
        <v>16864398.699890845</v>
      </c>
      <c r="U83" s="11">
        <f t="shared" si="50"/>
        <v>17201686.673888657</v>
      </c>
      <c r="V83" s="11">
        <f t="shared" si="50"/>
        <v>17545720.407366432</v>
      </c>
      <c r="W83" s="11">
        <f t="shared" si="50"/>
        <v>17896634.81551376</v>
      </c>
      <c r="X83" s="11">
        <f t="shared" si="50"/>
        <v>18254567.511824038</v>
      </c>
      <c r="Y83" s="11">
        <f t="shared" si="50"/>
        <v>18619658.862060517</v>
      </c>
      <c r="Z83" s="11">
        <f t="shared" si="50"/>
        <v>18992052.039301723</v>
      </c>
      <c r="AA83" s="11">
        <f t="shared" si="50"/>
        <v>19371893.080087759</v>
      </c>
      <c r="AB83" s="11">
        <f t="shared" si="50"/>
        <v>19759330.941689514</v>
      </c>
      <c r="AC83" s="11">
        <f t="shared" si="50"/>
        <v>20154517.560523305</v>
      </c>
      <c r="AD83" s="11">
        <f t="shared" si="50"/>
        <v>20557607.911733769</v>
      </c>
      <c r="AE83" s="11">
        <f t="shared" si="50"/>
        <v>20968760.069968447</v>
      </c>
      <c r="AF83" s="11">
        <f t="shared" si="50"/>
        <v>21388135.271367822</v>
      </c>
      <c r="AG83" s="11">
        <f t="shared" si="50"/>
        <v>21815897.976795178</v>
      </c>
      <c r="AH83" s="11">
        <f t="shared" si="50"/>
        <v>22252215.936331086</v>
      </c>
      <c r="AI83" s="11">
        <f t="shared" si="50"/>
        <v>22697260.2550577</v>
      </c>
      <c r="AJ83" s="11">
        <f t="shared" si="50"/>
        <v>23151205.460158855</v>
      </c>
      <c r="AK83" s="11">
        <f t="shared" si="50"/>
        <v>23614229.569362037</v>
      </c>
      <c r="AL83" s="11">
        <f t="shared" si="50"/>
        <v>24086514.160749279</v>
      </c>
      <c r="AM83" s="11">
        <f t="shared" si="50"/>
        <v>24568244.443964262</v>
      </c>
      <c r="AN83" s="11">
        <f t="shared" si="50"/>
        <v>25059609.332843557</v>
      </c>
      <c r="AO83" s="11">
        <f t="shared" si="50"/>
        <v>25560801.519500427</v>
      </c>
      <c r="AP83" s="11">
        <f t="shared" si="50"/>
        <v>26072017.549890436</v>
      </c>
      <c r="AQ83" s="11">
        <f t="shared" si="50"/>
        <v>26593457.900888249</v>
      </c>
      <c r="AR83" s="11">
        <f t="shared" si="50"/>
        <v>27125327.058906015</v>
      </c>
      <c r="AS83" s="11">
        <f t="shared" si="50"/>
        <v>27667833.600084133</v>
      </c>
      <c r="AT83" s="11">
        <f t="shared" si="50"/>
        <v>28221190.272085816</v>
      </c>
      <c r="AU83" s="11">
        <f t="shared" si="50"/>
        <v>28785614.07752753</v>
      </c>
      <c r="AV83" s="11">
        <f t="shared" si="50"/>
        <v>29361326.359078083</v>
      </c>
      <c r="AW83" s="11">
        <f t="shared" si="50"/>
        <v>29948552.886259653</v>
      </c>
      <c r="AX83" s="11">
        <f t="shared" si="50"/>
        <v>30547523.943984836</v>
      </c>
      <c r="AY83" s="11">
        <f t="shared" si="50"/>
        <v>31158474.422864541</v>
      </c>
      <c r="AZ83" s="11">
        <f t="shared" si="50"/>
        <v>31781643.911321823</v>
      </c>
      <c r="BA83" s="11">
        <f t="shared" si="50"/>
        <v>32417276.789548263</v>
      </c>
      <c r="BB83" s="11">
        <f t="shared" si="50"/>
        <v>33065622.32533922</v>
      </c>
    </row>
    <row r="84" spans="3:54" x14ac:dyDescent="0.35">
      <c r="C84" t="s">
        <v>138</v>
      </c>
      <c r="D84" s="11"/>
      <c r="E84" s="11">
        <f>E83/kaprente</f>
        <v>378263546.66666669</v>
      </c>
      <c r="F84" s="11">
        <f>F83/kaprente</f>
        <v>324805425.60000002</v>
      </c>
      <c r="G84" s="11">
        <f t="shared" ref="G84:BB84" si="51">G83/kaprente</f>
        <v>351534486.13333333</v>
      </c>
      <c r="H84" s="11">
        <f t="shared" si="51"/>
        <v>341066635.45955551</v>
      </c>
      <c r="I84" s="11">
        <f t="shared" si="51"/>
        <v>339878130.39322662</v>
      </c>
      <c r="J84" s="11">
        <f>J83/kaprente</f>
        <v>338880646.85420632</v>
      </c>
      <c r="K84" s="11">
        <f t="shared" si="51"/>
        <v>329528551.71129042</v>
      </c>
      <c r="L84" s="11">
        <f t="shared" si="51"/>
        <v>331935573.46551627</v>
      </c>
      <c r="M84" s="11">
        <f t="shared" si="51"/>
        <v>338887700.0548265</v>
      </c>
      <c r="N84" s="11">
        <f t="shared" si="51"/>
        <v>343330479.49592316</v>
      </c>
      <c r="O84" s="11">
        <f t="shared" si="51"/>
        <v>346954423.48584157</v>
      </c>
      <c r="P84" s="11">
        <f t="shared" si="51"/>
        <v>352667937.55555838</v>
      </c>
      <c r="Q84" s="11">
        <f t="shared" si="51"/>
        <v>358754241.50666952</v>
      </c>
      <c r="R84" s="11">
        <f t="shared" si="51"/>
        <v>362699427.13680291</v>
      </c>
      <c r="S84" s="11">
        <f t="shared" si="51"/>
        <v>367416093.67953914</v>
      </c>
      <c r="T84" s="11">
        <f t="shared" si="51"/>
        <v>374764415.55312991</v>
      </c>
      <c r="U84" s="11">
        <f t="shared" si="51"/>
        <v>382259703.86419243</v>
      </c>
      <c r="V84" s="11">
        <f t="shared" si="51"/>
        <v>389904897.94147629</v>
      </c>
      <c r="W84" s="11">
        <f t="shared" si="51"/>
        <v>397702995.90030581</v>
      </c>
      <c r="X84" s="11">
        <f t="shared" si="51"/>
        <v>405657055.81831199</v>
      </c>
      <c r="Y84" s="11">
        <f t="shared" si="51"/>
        <v>413770196.9346782</v>
      </c>
      <c r="Z84" s="11">
        <f t="shared" si="51"/>
        <v>422045600.87337166</v>
      </c>
      <c r="AA84" s="11">
        <f t="shared" si="51"/>
        <v>430486512.8908391</v>
      </c>
      <c r="AB84" s="11">
        <f t="shared" si="51"/>
        <v>439096243.14865589</v>
      </c>
      <c r="AC84" s="11">
        <f t="shared" si="51"/>
        <v>447878168.01162905</v>
      </c>
      <c r="AD84" s="11">
        <f t="shared" si="51"/>
        <v>456835731.37186158</v>
      </c>
      <c r="AE84" s="11">
        <f t="shared" si="51"/>
        <v>465972445.99929887</v>
      </c>
      <c r="AF84" s="11">
        <f t="shared" si="51"/>
        <v>475291894.91928494</v>
      </c>
      <c r="AG84" s="11">
        <f t="shared" si="51"/>
        <v>484797732.81767064</v>
      </c>
      <c r="AH84" s="11">
        <f t="shared" si="51"/>
        <v>494493687.47402418</v>
      </c>
      <c r="AI84" s="11">
        <f t="shared" si="51"/>
        <v>504383561.22350448</v>
      </c>
      <c r="AJ84" s="11">
        <f t="shared" si="51"/>
        <v>514471232.44797456</v>
      </c>
      <c r="AK84" s="11">
        <f t="shared" si="51"/>
        <v>524760657.0969342</v>
      </c>
      <c r="AL84" s="11">
        <f t="shared" si="51"/>
        <v>535255870.23887289</v>
      </c>
      <c r="AM84" s="11">
        <f t="shared" si="51"/>
        <v>545960987.64365029</v>
      </c>
      <c r="AN84" s="11">
        <f t="shared" si="51"/>
        <v>556880207.39652348</v>
      </c>
      <c r="AO84" s="11">
        <f t="shared" si="51"/>
        <v>568017811.54445398</v>
      </c>
      <c r="AP84" s="11">
        <f t="shared" si="51"/>
        <v>579378167.77534306</v>
      </c>
      <c r="AQ84" s="11">
        <f t="shared" si="51"/>
        <v>590965731.13084996</v>
      </c>
      <c r="AR84" s="11">
        <f t="shared" si="51"/>
        <v>602785045.75346696</v>
      </c>
      <c r="AS84" s="11">
        <f t="shared" si="51"/>
        <v>614840746.66853631</v>
      </c>
      <c r="AT84" s="11">
        <f t="shared" si="51"/>
        <v>627137561.60190701</v>
      </c>
      <c r="AU84" s="11">
        <f t="shared" si="51"/>
        <v>639680312.83394516</v>
      </c>
      <c r="AV84" s="11">
        <f t="shared" si="51"/>
        <v>652473919.09062409</v>
      </c>
      <c r="AW84" s="11">
        <f t="shared" si="51"/>
        <v>665523397.47243679</v>
      </c>
      <c r="AX84" s="11">
        <f t="shared" si="51"/>
        <v>678833865.42188525</v>
      </c>
      <c r="AY84" s="11">
        <f t="shared" si="51"/>
        <v>692410542.7303232</v>
      </c>
      <c r="AZ84" s="11">
        <f t="shared" si="51"/>
        <v>706258753.58492947</v>
      </c>
      <c r="BA84" s="11">
        <f t="shared" si="51"/>
        <v>720383928.65662813</v>
      </c>
      <c r="BB84" s="11">
        <f t="shared" si="51"/>
        <v>734791607.22976053</v>
      </c>
    </row>
    <row r="85" spans="3:54" x14ac:dyDescent="0.35">
      <c r="C85" t="s">
        <v>139</v>
      </c>
      <c r="D85" s="11"/>
      <c r="E85" s="11">
        <f t="shared" ref="E85:BB85" si="52">(E74*((1+kaprente)^(E79))/(((1+kaprente)^(67))-1))</f>
        <v>-107777.52398327847</v>
      </c>
      <c r="F85" s="11">
        <f t="shared" si="52"/>
        <v>-112627.51256252598</v>
      </c>
      <c r="G85" s="11">
        <f t="shared" si="52"/>
        <v>-117695.75062783965</v>
      </c>
      <c r="H85" s="11">
        <f t="shared" si="52"/>
        <v>-122992.05940609242</v>
      </c>
      <c r="I85" s="11">
        <f t="shared" si="52"/>
        <v>-128526.70207936657</v>
      </c>
      <c r="J85" s="11">
        <f t="shared" si="52"/>
        <v>-134310.40367293803</v>
      </c>
      <c r="K85" s="11">
        <f t="shared" si="52"/>
        <v>-140354.37183822025</v>
      </c>
      <c r="L85" s="11">
        <f t="shared" si="52"/>
        <v>-146670.31857094012</v>
      </c>
      <c r="M85" s="11">
        <f t="shared" si="52"/>
        <v>-153270.48290663242</v>
      </c>
      <c r="N85" s="11">
        <f t="shared" si="52"/>
        <v>-160167.65463743082</v>
      </c>
      <c r="O85" s="11">
        <f t="shared" si="52"/>
        <v>-167375.19909611522</v>
      </c>
      <c r="P85" s="11">
        <f t="shared" si="52"/>
        <v>-174907.08305544037</v>
      </c>
      <c r="Q85" s="11">
        <f t="shared" si="52"/>
        <v>-182777.90179293518</v>
      </c>
      <c r="R85" s="11">
        <f t="shared" si="52"/>
        <v>-191002.90737361723</v>
      </c>
      <c r="S85" s="11">
        <f t="shared" si="52"/>
        <v>-199598.03820543003</v>
      </c>
      <c r="T85" s="11">
        <f t="shared" si="52"/>
        <v>-208579.94992467429</v>
      </c>
      <c r="U85" s="11">
        <f t="shared" si="52"/>
        <v>-217966.04767128464</v>
      </c>
      <c r="V85" s="11">
        <f t="shared" si="52"/>
        <v>-227774.51981649239</v>
      </c>
      <c r="W85" s="11">
        <f t="shared" si="52"/>
        <v>-238024.37320823455</v>
      </c>
      <c r="X85" s="11">
        <f t="shared" si="52"/>
        <v>-248735.47000260506</v>
      </c>
      <c r="Y85" s="11">
        <f t="shared" si="52"/>
        <v>-259928.56615272231</v>
      </c>
      <c r="Z85" s="11">
        <f t="shared" si="52"/>
        <v>-271625.35162959469</v>
      </c>
      <c r="AA85" s="11">
        <f t="shared" si="52"/>
        <v>-283848.49245292653</v>
      </c>
      <c r="AB85" s="11">
        <f t="shared" si="52"/>
        <v>-296621.6746133081</v>
      </c>
      <c r="AC85" s="11">
        <f t="shared" si="52"/>
        <v>-309969.64997090696</v>
      </c>
      <c r="AD85" s="11">
        <f t="shared" si="52"/>
        <v>-323918.2842195977</v>
      </c>
      <c r="AE85" s="11">
        <f t="shared" si="52"/>
        <v>-338494.6070094796</v>
      </c>
      <c r="AF85" s="11">
        <f t="shared" si="52"/>
        <v>-353726.86432490608</v>
      </c>
      <c r="AG85" s="11">
        <f t="shared" si="52"/>
        <v>-369644.57321952691</v>
      </c>
      <c r="AH85" s="11">
        <f t="shared" si="52"/>
        <v>-386278.57901440549</v>
      </c>
      <c r="AI85" s="11">
        <f t="shared" si="52"/>
        <v>-403661.11507005384</v>
      </c>
      <c r="AJ85" s="11">
        <f t="shared" si="52"/>
        <v>-421825.86524820601</v>
      </c>
      <c r="AK85" s="11">
        <f t="shared" si="52"/>
        <v>-440808.02918437519</v>
      </c>
      <c r="AL85" s="11">
        <f t="shared" si="52"/>
        <v>-460644.39049767208</v>
      </c>
      <c r="AM85" s="11">
        <f t="shared" si="52"/>
        <v>-481373.38807006727</v>
      </c>
      <c r="AN85" s="11">
        <f t="shared" si="52"/>
        <v>-503035.19053322024</v>
      </c>
      <c r="AO85" s="11">
        <f t="shared" si="52"/>
        <v>-525671.77410721511</v>
      </c>
      <c r="AP85" s="11">
        <f t="shared" si="52"/>
        <v>-549327.00394203968</v>
      </c>
      <c r="AQ85" s="11">
        <f t="shared" si="52"/>
        <v>-574046.71911943145</v>
      </c>
      <c r="AR85" s="11">
        <f t="shared" si="52"/>
        <v>-599878.82147980575</v>
      </c>
      <c r="AS85" s="11">
        <f t="shared" si="52"/>
        <v>-626873.36844639701</v>
      </c>
      <c r="AT85" s="11">
        <f t="shared" si="52"/>
        <v>-655082.67002648464</v>
      </c>
      <c r="AU85" s="11">
        <f t="shared" si="52"/>
        <v>-684561.39017767645</v>
      </c>
      <c r="AV85" s="11">
        <f t="shared" si="52"/>
        <v>-715366.65273567184</v>
      </c>
      <c r="AW85" s="11">
        <f t="shared" si="52"/>
        <v>-747558.15210877708</v>
      </c>
      <c r="AX85" s="11">
        <f t="shared" si="52"/>
        <v>-781198.26895367191</v>
      </c>
      <c r="AY85" s="11">
        <f t="shared" si="52"/>
        <v>-816352.19105658727</v>
      </c>
      <c r="AZ85" s="11">
        <f t="shared" si="52"/>
        <v>-853088.03965413326</v>
      </c>
      <c r="BA85" s="11">
        <f t="shared" si="52"/>
        <v>-891477.00143856928</v>
      </c>
      <c r="BB85" s="11">
        <f t="shared" si="52"/>
        <v>-931593.46650330466</v>
      </c>
    </row>
    <row r="86" spans="3:54" x14ac:dyDescent="0.35">
      <c r="C86" t="s">
        <v>140</v>
      </c>
      <c r="D86" s="11"/>
      <c r="E86" s="11">
        <f>SUM(E84:E85)</f>
        <v>378155769.14268339</v>
      </c>
      <c r="F86" s="11">
        <f t="shared" ref="F86:BB86" si="53">SUM(F84:F85)</f>
        <v>324692798.08743751</v>
      </c>
      <c r="G86" s="11">
        <f t="shared" si="53"/>
        <v>351416790.38270551</v>
      </c>
      <c r="H86" s="11">
        <f t="shared" si="53"/>
        <v>340943643.40014941</v>
      </c>
      <c r="I86" s="11">
        <f t="shared" si="53"/>
        <v>339749603.69114727</v>
      </c>
      <c r="J86" s="11">
        <f t="shared" si="53"/>
        <v>338746336.45053339</v>
      </c>
      <c r="K86" s="11">
        <f t="shared" si="53"/>
        <v>329388197.33945221</v>
      </c>
      <c r="L86" s="11">
        <f t="shared" si="53"/>
        <v>331788903.14694536</v>
      </c>
      <c r="M86" s="11">
        <f t="shared" si="53"/>
        <v>338734429.57191986</v>
      </c>
      <c r="N86" s="11">
        <f t="shared" si="53"/>
        <v>343170311.84128571</v>
      </c>
      <c r="O86" s="11">
        <f t="shared" si="53"/>
        <v>346787048.28674543</v>
      </c>
      <c r="P86" s="11">
        <f t="shared" si="53"/>
        <v>352493030.47250295</v>
      </c>
      <c r="Q86" s="11">
        <f t="shared" si="53"/>
        <v>358571463.60487658</v>
      </c>
      <c r="R86" s="11">
        <f t="shared" si="53"/>
        <v>362508424.2294293</v>
      </c>
      <c r="S86" s="11">
        <f t="shared" si="53"/>
        <v>367216495.6413337</v>
      </c>
      <c r="T86" s="11">
        <f t="shared" si="53"/>
        <v>374555835.60320526</v>
      </c>
      <c r="U86" s="11">
        <f t="shared" si="53"/>
        <v>382041737.81652117</v>
      </c>
      <c r="V86" s="11">
        <f t="shared" si="53"/>
        <v>389677123.42165977</v>
      </c>
      <c r="W86" s="11">
        <f t="shared" si="53"/>
        <v>397464971.52709758</v>
      </c>
      <c r="X86" s="11">
        <f t="shared" si="53"/>
        <v>405408320.3483094</v>
      </c>
      <c r="Y86" s="11">
        <f t="shared" si="53"/>
        <v>413510268.36852545</v>
      </c>
      <c r="Z86" s="11">
        <f t="shared" si="53"/>
        <v>421773975.52174205</v>
      </c>
      <c r="AA86" s="11">
        <f t="shared" si="53"/>
        <v>430202664.39838618</v>
      </c>
      <c r="AB86" s="11">
        <f t="shared" si="53"/>
        <v>438799621.47404259</v>
      </c>
      <c r="AC86" s="11">
        <f t="shared" si="53"/>
        <v>447568198.36165816</v>
      </c>
      <c r="AD86" s="11">
        <f t="shared" si="53"/>
        <v>456511813.08764195</v>
      </c>
      <c r="AE86" s="11">
        <f t="shared" si="53"/>
        <v>465633951.3922894</v>
      </c>
      <c r="AF86" s="11">
        <f t="shared" si="53"/>
        <v>474938168.05496001</v>
      </c>
      <c r="AG86" s="11">
        <f t="shared" si="53"/>
        <v>484428088.24445111</v>
      </c>
      <c r="AH86" s="11">
        <f t="shared" si="53"/>
        <v>494107408.89500976</v>
      </c>
      <c r="AI86" s="11">
        <f t="shared" si="53"/>
        <v>503979900.10843444</v>
      </c>
      <c r="AJ86" s="11">
        <f t="shared" si="53"/>
        <v>514049406.58272636</v>
      </c>
      <c r="AK86" s="11">
        <f t="shared" si="53"/>
        <v>524319849.0677498</v>
      </c>
      <c r="AL86" s="11">
        <f t="shared" si="53"/>
        <v>534795225.8483752</v>
      </c>
      <c r="AM86" s="11">
        <f t="shared" si="53"/>
        <v>545479614.25558019</v>
      </c>
      <c r="AN86" s="11">
        <f t="shared" si="53"/>
        <v>556377172.20599031</v>
      </c>
      <c r="AO86" s="11">
        <f t="shared" si="53"/>
        <v>567492139.77034676</v>
      </c>
      <c r="AP86" s="11">
        <f t="shared" si="53"/>
        <v>578828840.77140105</v>
      </c>
      <c r="AQ86" s="11">
        <f t="shared" si="53"/>
        <v>590391684.41173053</v>
      </c>
      <c r="AR86" s="11">
        <f t="shared" si="53"/>
        <v>602185166.93198717</v>
      </c>
      <c r="AS86" s="11">
        <f t="shared" si="53"/>
        <v>614213873.30008996</v>
      </c>
      <c r="AT86" s="11">
        <f t="shared" si="53"/>
        <v>626482478.93188047</v>
      </c>
      <c r="AU86" s="11">
        <f t="shared" si="53"/>
        <v>638995751.44376743</v>
      </c>
      <c r="AV86" s="11">
        <f t="shared" si="53"/>
        <v>651758552.43788838</v>
      </c>
      <c r="AW86" s="11">
        <f t="shared" si="53"/>
        <v>664775839.320328</v>
      </c>
      <c r="AX86" s="11">
        <f t="shared" si="53"/>
        <v>678052667.15293157</v>
      </c>
      <c r="AY86" s="11">
        <f t="shared" si="53"/>
        <v>691594190.53926659</v>
      </c>
      <c r="AZ86" s="11">
        <f t="shared" si="53"/>
        <v>705405665.54527533</v>
      </c>
      <c r="BA86" s="11">
        <f t="shared" si="53"/>
        <v>719492451.65518951</v>
      </c>
      <c r="BB86" s="11">
        <f t="shared" si="53"/>
        <v>733860013.76325727</v>
      </c>
    </row>
    <row r="87" spans="3:54" x14ac:dyDescent="0.35">
      <c r="C87" s="28" t="s">
        <v>130</v>
      </c>
      <c r="D87" s="22"/>
      <c r="E87" s="22">
        <f>E86*eiendomssats</f>
        <v>2647090.3839987838</v>
      </c>
      <c r="F87" s="22">
        <f t="shared" ref="F87:BB87" si="54">F86*eiendomssats</f>
        <v>2272849.5866120625</v>
      </c>
      <c r="G87" s="22">
        <f t="shared" si="54"/>
        <v>2459917.5326789385</v>
      </c>
      <c r="H87" s="22">
        <f t="shared" si="54"/>
        <v>2386605.5038010459</v>
      </c>
      <c r="I87" s="22">
        <f t="shared" si="54"/>
        <v>2378247.2258380312</v>
      </c>
      <c r="J87" s="22">
        <f t="shared" si="54"/>
        <v>2371224.3551537339</v>
      </c>
      <c r="K87" s="22">
        <f t="shared" si="54"/>
        <v>2305717.3813761654</v>
      </c>
      <c r="L87" s="22">
        <f t="shared" si="54"/>
        <v>2322522.3220286174</v>
      </c>
      <c r="M87" s="22">
        <f t="shared" si="54"/>
        <v>2371141.0070034391</v>
      </c>
      <c r="N87" s="22">
        <f t="shared" si="54"/>
        <v>2402192.182889</v>
      </c>
      <c r="O87" s="22">
        <f t="shared" si="54"/>
        <v>2427509.3380072182</v>
      </c>
      <c r="P87" s="22">
        <f t="shared" si="54"/>
        <v>2467451.2133075208</v>
      </c>
      <c r="Q87" s="22">
        <f t="shared" si="54"/>
        <v>2510000.245234136</v>
      </c>
      <c r="R87" s="22">
        <f t="shared" si="54"/>
        <v>2537558.9696060051</v>
      </c>
      <c r="S87" s="22">
        <f t="shared" si="54"/>
        <v>2570515.469489336</v>
      </c>
      <c r="T87" s="22">
        <f t="shared" si="54"/>
        <v>2621890.849222437</v>
      </c>
      <c r="U87" s="22">
        <f t="shared" si="54"/>
        <v>2674292.1647156482</v>
      </c>
      <c r="V87" s="22">
        <f t="shared" si="54"/>
        <v>2727739.8639516183</v>
      </c>
      <c r="W87" s="22">
        <f t="shared" si="54"/>
        <v>2782254.8006896833</v>
      </c>
      <c r="X87" s="22">
        <f t="shared" si="54"/>
        <v>2837858.2424381659</v>
      </c>
      <c r="Y87" s="22">
        <f t="shared" si="54"/>
        <v>2894571.878579678</v>
      </c>
      <c r="Z87" s="22">
        <f t="shared" si="54"/>
        <v>2952417.8286521942</v>
      </c>
      <c r="AA87" s="22">
        <f t="shared" si="54"/>
        <v>3011418.6507887035</v>
      </c>
      <c r="AB87" s="22">
        <f t="shared" si="54"/>
        <v>3071597.3503182982</v>
      </c>
      <c r="AC87" s="22">
        <f t="shared" si="54"/>
        <v>3132977.3885316071</v>
      </c>
      <c r="AD87" s="22">
        <f t="shared" si="54"/>
        <v>3195582.691613494</v>
      </c>
      <c r="AE87" s="22">
        <f t="shared" si="54"/>
        <v>3259437.6597460257</v>
      </c>
      <c r="AF87" s="22">
        <f t="shared" si="54"/>
        <v>3324567.17638472</v>
      </c>
      <c r="AG87" s="22">
        <f t="shared" si="54"/>
        <v>3390996.617711158</v>
      </c>
      <c r="AH87" s="22">
        <f t="shared" si="54"/>
        <v>3458751.8622650686</v>
      </c>
      <c r="AI87" s="22">
        <f t="shared" si="54"/>
        <v>3527859.3007590412</v>
      </c>
      <c r="AJ87" s="22">
        <f t="shared" si="54"/>
        <v>3598345.8460790846</v>
      </c>
      <c r="AK87" s="22">
        <f t="shared" si="54"/>
        <v>3670238.9434742485</v>
      </c>
      <c r="AL87" s="22">
        <f t="shared" si="54"/>
        <v>3743566.5809386265</v>
      </c>
      <c r="AM87" s="22">
        <f t="shared" si="54"/>
        <v>3818357.2997890613</v>
      </c>
      <c r="AN87" s="22">
        <f t="shared" si="54"/>
        <v>3894640.2054419322</v>
      </c>
      <c r="AO87" s="22">
        <f t="shared" si="54"/>
        <v>3972444.9783924273</v>
      </c>
      <c r="AP87" s="22">
        <f t="shared" si="54"/>
        <v>4051801.8853998072</v>
      </c>
      <c r="AQ87" s="22">
        <f t="shared" si="54"/>
        <v>4132741.7908821139</v>
      </c>
      <c r="AR87" s="22">
        <f t="shared" si="54"/>
        <v>4215296.1685239105</v>
      </c>
      <c r="AS87" s="22">
        <f t="shared" si="54"/>
        <v>4299497.1131006302</v>
      </c>
      <c r="AT87" s="22">
        <f t="shared" si="54"/>
        <v>4385377.352523163</v>
      </c>
      <c r="AU87" s="22">
        <f t="shared" si="54"/>
        <v>4472970.2601063717</v>
      </c>
      <c r="AV87" s="22">
        <f t="shared" si="54"/>
        <v>4562309.8670652192</v>
      </c>
      <c r="AW87" s="22">
        <f t="shared" si="54"/>
        <v>4653430.8752422957</v>
      </c>
      <c r="AX87" s="22">
        <f t="shared" si="54"/>
        <v>4746368.6700705215</v>
      </c>
      <c r="AY87" s="22">
        <f t="shared" si="54"/>
        <v>4841159.3337748665</v>
      </c>
      <c r="AZ87" s="22">
        <f t="shared" si="54"/>
        <v>4937839.6588169271</v>
      </c>
      <c r="BA87" s="22">
        <f t="shared" si="54"/>
        <v>5036447.1615863265</v>
      </c>
      <c r="BB87" s="22">
        <f t="shared" si="54"/>
        <v>5137020.0963428011</v>
      </c>
    </row>
    <row r="88" spans="3:54" x14ac:dyDescent="0.3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</row>
    <row r="89" spans="3:54" x14ac:dyDescent="0.3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</row>
    <row r="90" spans="3:54" x14ac:dyDescent="0.35">
      <c r="C90" t="s">
        <v>54</v>
      </c>
      <c r="D90" s="11">
        <v>0</v>
      </c>
      <c r="E90" s="11">
        <v>1</v>
      </c>
      <c r="F90" s="11">
        <v>2</v>
      </c>
      <c r="G90" s="11">
        <v>3</v>
      </c>
      <c r="H90" s="11">
        <v>4</v>
      </c>
      <c r="I90" s="11">
        <v>5</v>
      </c>
      <c r="J90" s="11">
        <v>6</v>
      </c>
      <c r="K90" s="11">
        <v>7</v>
      </c>
      <c r="L90" s="11">
        <v>8</v>
      </c>
      <c r="M90" s="11">
        <v>9</v>
      </c>
      <c r="N90" s="11">
        <v>10</v>
      </c>
      <c r="O90" s="11">
        <v>11</v>
      </c>
      <c r="P90" s="11">
        <v>12</v>
      </c>
      <c r="Q90" s="11">
        <v>13</v>
      </c>
      <c r="R90" s="11">
        <v>14</v>
      </c>
      <c r="S90" s="11">
        <v>15</v>
      </c>
      <c r="T90" s="11">
        <v>16</v>
      </c>
      <c r="U90" s="11">
        <v>17</v>
      </c>
      <c r="V90" s="11">
        <v>18</v>
      </c>
      <c r="W90" s="11">
        <v>19</v>
      </c>
      <c r="X90" s="11">
        <v>20</v>
      </c>
      <c r="Y90" s="11">
        <v>21</v>
      </c>
      <c r="Z90" s="11">
        <v>22</v>
      </c>
      <c r="AA90" s="11">
        <v>23</v>
      </c>
      <c r="AB90" s="11">
        <v>24</v>
      </c>
      <c r="AC90" s="11">
        <v>25</v>
      </c>
      <c r="AD90" s="11">
        <v>26</v>
      </c>
      <c r="AE90" s="11">
        <v>27</v>
      </c>
      <c r="AF90" s="11">
        <v>28</v>
      </c>
      <c r="AG90" s="11">
        <v>29</v>
      </c>
      <c r="AH90" s="11">
        <v>30</v>
      </c>
      <c r="AI90" s="11">
        <v>31</v>
      </c>
      <c r="AJ90" s="11">
        <v>32</v>
      </c>
      <c r="AK90" s="11">
        <v>33</v>
      </c>
      <c r="AL90" s="11">
        <v>34</v>
      </c>
      <c r="AM90" s="11">
        <v>35</v>
      </c>
      <c r="AN90" s="11">
        <v>36</v>
      </c>
      <c r="AO90" s="11">
        <v>37</v>
      </c>
      <c r="AP90" s="11">
        <v>38</v>
      </c>
      <c r="AQ90" s="11">
        <v>39</v>
      </c>
      <c r="AR90" s="11">
        <v>40</v>
      </c>
      <c r="AS90" s="11">
        <v>41</v>
      </c>
      <c r="AT90" s="11">
        <v>42</v>
      </c>
      <c r="AU90" s="11">
        <v>43</v>
      </c>
      <c r="AV90" s="11">
        <v>44</v>
      </c>
      <c r="AW90" s="11">
        <v>45</v>
      </c>
      <c r="AX90" s="11">
        <v>46</v>
      </c>
      <c r="AY90" s="11">
        <v>47</v>
      </c>
      <c r="AZ90" s="11">
        <v>48</v>
      </c>
      <c r="BA90" s="11">
        <v>49</v>
      </c>
      <c r="BB90" s="11">
        <v>50</v>
      </c>
    </row>
    <row r="91" spans="3:54" x14ac:dyDescent="0.35">
      <c r="C91" t="s">
        <v>84</v>
      </c>
      <c r="D91" s="11"/>
      <c r="E91" s="11">
        <f t="shared" ref="E91:BB91" si="55">voluma*1000*1000</f>
        <v>103000000</v>
      </c>
      <c r="F91" s="11">
        <f t="shared" si="55"/>
        <v>103000000</v>
      </c>
      <c r="G91" s="11">
        <f t="shared" si="55"/>
        <v>103000000</v>
      </c>
      <c r="H91" s="11">
        <f t="shared" si="55"/>
        <v>103000000</v>
      </c>
      <c r="I91" s="11">
        <f t="shared" si="55"/>
        <v>103000000</v>
      </c>
      <c r="J91" s="11">
        <f t="shared" si="55"/>
        <v>103000000</v>
      </c>
      <c r="K91" s="11">
        <f t="shared" si="55"/>
        <v>103000000</v>
      </c>
      <c r="L91" s="11">
        <f t="shared" si="55"/>
        <v>103000000</v>
      </c>
      <c r="M91" s="11">
        <f t="shared" si="55"/>
        <v>103000000</v>
      </c>
      <c r="N91" s="11">
        <f t="shared" si="55"/>
        <v>103000000</v>
      </c>
      <c r="O91" s="11">
        <f t="shared" si="55"/>
        <v>103000000</v>
      </c>
      <c r="P91" s="11">
        <f t="shared" si="55"/>
        <v>103000000</v>
      </c>
      <c r="Q91" s="11">
        <f t="shared" si="55"/>
        <v>103000000</v>
      </c>
      <c r="R91" s="11">
        <f t="shared" si="55"/>
        <v>103000000</v>
      </c>
      <c r="S91" s="11">
        <f t="shared" si="55"/>
        <v>103000000</v>
      </c>
      <c r="T91" s="11">
        <f t="shared" si="55"/>
        <v>103000000</v>
      </c>
      <c r="U91" s="11">
        <f t="shared" si="55"/>
        <v>103000000</v>
      </c>
      <c r="V91" s="11">
        <f t="shared" si="55"/>
        <v>103000000</v>
      </c>
      <c r="W91" s="11">
        <f t="shared" si="55"/>
        <v>103000000</v>
      </c>
      <c r="X91" s="11">
        <f t="shared" si="55"/>
        <v>103000000</v>
      </c>
      <c r="Y91" s="11">
        <f t="shared" si="55"/>
        <v>103000000</v>
      </c>
      <c r="Z91" s="11">
        <f t="shared" si="55"/>
        <v>103000000</v>
      </c>
      <c r="AA91" s="11">
        <f t="shared" si="55"/>
        <v>103000000</v>
      </c>
      <c r="AB91" s="11">
        <f t="shared" si="55"/>
        <v>103000000</v>
      </c>
      <c r="AC91" s="11">
        <f t="shared" si="55"/>
        <v>103000000</v>
      </c>
      <c r="AD91" s="11">
        <f t="shared" si="55"/>
        <v>103000000</v>
      </c>
      <c r="AE91" s="11">
        <f t="shared" si="55"/>
        <v>103000000</v>
      </c>
      <c r="AF91" s="11">
        <f t="shared" si="55"/>
        <v>103000000</v>
      </c>
      <c r="AG91" s="11">
        <f t="shared" si="55"/>
        <v>103000000</v>
      </c>
      <c r="AH91" s="11">
        <f t="shared" si="55"/>
        <v>103000000</v>
      </c>
      <c r="AI91" s="11">
        <f t="shared" si="55"/>
        <v>103000000</v>
      </c>
      <c r="AJ91" s="11">
        <f t="shared" si="55"/>
        <v>103000000</v>
      </c>
      <c r="AK91" s="11">
        <f t="shared" si="55"/>
        <v>103000000</v>
      </c>
      <c r="AL91" s="11">
        <f t="shared" si="55"/>
        <v>103000000</v>
      </c>
      <c r="AM91" s="11">
        <f t="shared" si="55"/>
        <v>103000000</v>
      </c>
      <c r="AN91" s="11">
        <f t="shared" si="55"/>
        <v>103000000</v>
      </c>
      <c r="AO91" s="11">
        <f t="shared" si="55"/>
        <v>103000000</v>
      </c>
      <c r="AP91" s="11">
        <f t="shared" si="55"/>
        <v>103000000</v>
      </c>
      <c r="AQ91" s="11">
        <f t="shared" si="55"/>
        <v>103000000</v>
      </c>
      <c r="AR91" s="11">
        <f t="shared" si="55"/>
        <v>103000000</v>
      </c>
      <c r="AS91" s="11">
        <f t="shared" si="55"/>
        <v>103000000</v>
      </c>
      <c r="AT91" s="11">
        <f t="shared" si="55"/>
        <v>103000000</v>
      </c>
      <c r="AU91" s="11">
        <f t="shared" si="55"/>
        <v>103000000</v>
      </c>
      <c r="AV91" s="11">
        <f t="shared" si="55"/>
        <v>103000000</v>
      </c>
      <c r="AW91" s="11">
        <f t="shared" si="55"/>
        <v>103000000</v>
      </c>
      <c r="AX91" s="11">
        <f t="shared" si="55"/>
        <v>103000000</v>
      </c>
      <c r="AY91" s="11">
        <f t="shared" si="55"/>
        <v>103000000</v>
      </c>
      <c r="AZ91" s="11">
        <f t="shared" si="55"/>
        <v>103000000</v>
      </c>
      <c r="BA91" s="11">
        <f t="shared" si="55"/>
        <v>103000000</v>
      </c>
      <c r="BB91" s="11">
        <f t="shared" si="55"/>
        <v>103000000</v>
      </c>
    </row>
    <row r="92" spans="3:54" x14ac:dyDescent="0.35">
      <c r="C92" t="s">
        <v>85</v>
      </c>
      <c r="D92" s="11"/>
      <c r="E92" s="11">
        <v>1.2999999999999999E-2</v>
      </c>
      <c r="F92" s="11">
        <v>1.2999999999999999E-2</v>
      </c>
      <c r="G92" s="11">
        <v>1.2999999999999999E-2</v>
      </c>
      <c r="H92" s="11">
        <v>1.2999999999999999E-2</v>
      </c>
      <c r="I92" s="11">
        <v>1.2999999999999999E-2</v>
      </c>
      <c r="J92" s="11">
        <v>1.2999999999999999E-2</v>
      </c>
      <c r="K92" s="11">
        <v>1.2999999999999999E-2</v>
      </c>
      <c r="L92" s="11">
        <v>1.2999999999999999E-2</v>
      </c>
      <c r="M92" s="11">
        <v>1.2999999999999999E-2</v>
      </c>
      <c r="N92" s="11">
        <v>1.2999999999999999E-2</v>
      </c>
      <c r="O92" s="11">
        <v>1.0129999999999999</v>
      </c>
      <c r="P92" s="11">
        <v>2.0129999999999999</v>
      </c>
      <c r="Q92" s="11">
        <v>3.0129999999999999</v>
      </c>
      <c r="R92" s="11">
        <v>4.0129999999999999</v>
      </c>
      <c r="S92" s="11">
        <v>5.0129999999999999</v>
      </c>
      <c r="T92" s="11">
        <v>6.0129999999999999</v>
      </c>
      <c r="U92" s="11">
        <v>7.0129999999999999</v>
      </c>
      <c r="V92" s="11">
        <v>8.0129999999999999</v>
      </c>
      <c r="W92" s="11">
        <v>9.0129999999999999</v>
      </c>
      <c r="X92" s="11">
        <v>10.013</v>
      </c>
      <c r="Y92" s="11">
        <v>11.013</v>
      </c>
      <c r="Z92" s="11">
        <v>12.013</v>
      </c>
      <c r="AA92" s="11">
        <v>13.013</v>
      </c>
      <c r="AB92" s="11">
        <v>14.013</v>
      </c>
      <c r="AC92" s="11">
        <v>15.013</v>
      </c>
      <c r="AD92" s="11">
        <v>16.013000000000002</v>
      </c>
      <c r="AE92" s="11">
        <v>17.013000000000002</v>
      </c>
      <c r="AF92" s="11">
        <v>18.013000000000002</v>
      </c>
      <c r="AG92" s="11">
        <v>19.013000000000002</v>
      </c>
      <c r="AH92" s="11">
        <v>20.013000000000002</v>
      </c>
      <c r="AI92" s="11">
        <v>21.013000000000002</v>
      </c>
      <c r="AJ92" s="11">
        <v>22.013000000000002</v>
      </c>
      <c r="AK92" s="11">
        <v>23.013000000000002</v>
      </c>
      <c r="AL92" s="11">
        <v>24.013000000000002</v>
      </c>
      <c r="AM92" s="11">
        <v>25.013000000000002</v>
      </c>
      <c r="AN92" s="11">
        <v>26.013000000000002</v>
      </c>
      <c r="AO92" s="11">
        <v>27.013000000000002</v>
      </c>
      <c r="AP92" s="11">
        <v>28.013000000000002</v>
      </c>
      <c r="AQ92" s="11">
        <v>29.013000000000002</v>
      </c>
      <c r="AR92" s="11">
        <v>30.013000000000002</v>
      </c>
      <c r="AS92" s="11">
        <v>31.013000000000002</v>
      </c>
      <c r="AT92" s="11">
        <v>32.012999999999998</v>
      </c>
      <c r="AU92" s="11">
        <v>33.012999999999998</v>
      </c>
      <c r="AV92" s="11">
        <v>34.012999999999998</v>
      </c>
      <c r="AW92" s="11">
        <v>35.012999999999998</v>
      </c>
      <c r="AX92" s="11">
        <v>36.012999999999998</v>
      </c>
      <c r="AY92" s="11">
        <v>37.012999999999998</v>
      </c>
      <c r="AZ92" s="11">
        <v>38.012999999999998</v>
      </c>
      <c r="BA92" s="11">
        <v>39.012999999999998</v>
      </c>
      <c r="BB92" s="11">
        <v>40.012999999999998</v>
      </c>
    </row>
    <row r="93" spans="3:54" x14ac:dyDescent="0.35">
      <c r="C93" s="28" t="s">
        <v>86</v>
      </c>
      <c r="D93" s="22"/>
      <c r="E93" s="22">
        <f t="shared" ref="E93:AJ93" si="56">E91*naturskatt</f>
        <v>0</v>
      </c>
      <c r="F93" s="22">
        <f t="shared" si="56"/>
        <v>0</v>
      </c>
      <c r="G93" s="22">
        <f t="shared" si="56"/>
        <v>0</v>
      </c>
      <c r="H93" s="22">
        <f t="shared" si="56"/>
        <v>0</v>
      </c>
      <c r="I93" s="22">
        <f t="shared" si="56"/>
        <v>0</v>
      </c>
      <c r="J93" s="22">
        <f t="shared" si="56"/>
        <v>0</v>
      </c>
      <c r="K93" s="22">
        <f t="shared" si="56"/>
        <v>0</v>
      </c>
      <c r="L93" s="22">
        <f t="shared" si="56"/>
        <v>0</v>
      </c>
      <c r="M93" s="22">
        <f t="shared" si="56"/>
        <v>0</v>
      </c>
      <c r="N93" s="22">
        <f t="shared" si="56"/>
        <v>0</v>
      </c>
      <c r="O93" s="22">
        <f t="shared" si="56"/>
        <v>0</v>
      </c>
      <c r="P93" s="22">
        <f t="shared" si="56"/>
        <v>0</v>
      </c>
      <c r="Q93" s="22">
        <f t="shared" si="56"/>
        <v>0</v>
      </c>
      <c r="R93" s="22">
        <f t="shared" si="56"/>
        <v>0</v>
      </c>
      <c r="S93" s="22">
        <f t="shared" si="56"/>
        <v>0</v>
      </c>
      <c r="T93" s="22">
        <f t="shared" si="56"/>
        <v>0</v>
      </c>
      <c r="U93" s="22">
        <f t="shared" si="56"/>
        <v>0</v>
      </c>
      <c r="V93" s="22">
        <f t="shared" si="56"/>
        <v>0</v>
      </c>
      <c r="W93" s="22">
        <f t="shared" si="56"/>
        <v>0</v>
      </c>
      <c r="X93" s="22">
        <f t="shared" si="56"/>
        <v>0</v>
      </c>
      <c r="Y93" s="22">
        <f t="shared" si="56"/>
        <v>0</v>
      </c>
      <c r="Z93" s="22">
        <f t="shared" si="56"/>
        <v>0</v>
      </c>
      <c r="AA93" s="22">
        <f t="shared" si="56"/>
        <v>0</v>
      </c>
      <c r="AB93" s="22">
        <f t="shared" si="56"/>
        <v>0</v>
      </c>
      <c r="AC93" s="22">
        <f t="shared" si="56"/>
        <v>0</v>
      </c>
      <c r="AD93" s="22">
        <f t="shared" si="56"/>
        <v>0</v>
      </c>
      <c r="AE93" s="22">
        <f t="shared" si="56"/>
        <v>0</v>
      </c>
      <c r="AF93" s="22">
        <f t="shared" si="56"/>
        <v>0</v>
      </c>
      <c r="AG93" s="22">
        <f t="shared" si="56"/>
        <v>0</v>
      </c>
      <c r="AH93" s="22">
        <f t="shared" si="56"/>
        <v>0</v>
      </c>
      <c r="AI93" s="22">
        <f t="shared" si="56"/>
        <v>0</v>
      </c>
      <c r="AJ93" s="22">
        <f t="shared" si="56"/>
        <v>0</v>
      </c>
      <c r="AK93" s="22">
        <f t="shared" ref="AK93:BB93" si="57">AK91*naturskatt</f>
        <v>0</v>
      </c>
      <c r="AL93" s="22">
        <f t="shared" si="57"/>
        <v>0</v>
      </c>
      <c r="AM93" s="22">
        <f t="shared" si="57"/>
        <v>0</v>
      </c>
      <c r="AN93" s="22">
        <f t="shared" si="57"/>
        <v>0</v>
      </c>
      <c r="AO93" s="22">
        <f t="shared" si="57"/>
        <v>0</v>
      </c>
      <c r="AP93" s="22">
        <f t="shared" si="57"/>
        <v>0</v>
      </c>
      <c r="AQ93" s="22">
        <f t="shared" si="57"/>
        <v>0</v>
      </c>
      <c r="AR93" s="22">
        <f t="shared" si="57"/>
        <v>0</v>
      </c>
      <c r="AS93" s="22">
        <f t="shared" si="57"/>
        <v>0</v>
      </c>
      <c r="AT93" s="22">
        <f t="shared" si="57"/>
        <v>0</v>
      </c>
      <c r="AU93" s="22">
        <f t="shared" si="57"/>
        <v>0</v>
      </c>
      <c r="AV93" s="22">
        <f t="shared" si="57"/>
        <v>0</v>
      </c>
      <c r="AW93" s="22">
        <f t="shared" si="57"/>
        <v>0</v>
      </c>
      <c r="AX93" s="22">
        <f t="shared" si="57"/>
        <v>0</v>
      </c>
      <c r="AY93" s="22">
        <f t="shared" si="57"/>
        <v>0</v>
      </c>
      <c r="AZ93" s="22">
        <f t="shared" si="57"/>
        <v>0</v>
      </c>
      <c r="BA93" s="22">
        <f t="shared" si="57"/>
        <v>0</v>
      </c>
      <c r="BB93" s="22">
        <f t="shared" si="57"/>
        <v>0</v>
      </c>
    </row>
    <row r="94" spans="3:54" x14ac:dyDescent="0.3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</row>
    <row r="97" spans="3:54" x14ac:dyDescent="0.35">
      <c r="C97" t="s">
        <v>87</v>
      </c>
    </row>
    <row r="98" spans="3:54" x14ac:dyDescent="0.35">
      <c r="C98" t="s">
        <v>88</v>
      </c>
      <c r="D98">
        <v>2011</v>
      </c>
      <c r="E98">
        <v>2012</v>
      </c>
      <c r="F98">
        <v>2013</v>
      </c>
      <c r="G98">
        <v>2014</v>
      </c>
      <c r="H98">
        <v>2015</v>
      </c>
      <c r="I98">
        <v>2016</v>
      </c>
      <c r="J98">
        <v>2017</v>
      </c>
      <c r="K98" t="s">
        <v>94</v>
      </c>
    </row>
    <row r="99" spans="3:54" x14ac:dyDescent="0.35">
      <c r="C99" t="s">
        <v>89</v>
      </c>
      <c r="D99">
        <v>346575</v>
      </c>
      <c r="E99">
        <v>330152</v>
      </c>
      <c r="F99">
        <v>307641</v>
      </c>
      <c r="G99">
        <v>180757</v>
      </c>
      <c r="H99">
        <v>619942</v>
      </c>
      <c r="I99">
        <v>458132</v>
      </c>
      <c r="J99">
        <v>0</v>
      </c>
    </row>
    <row r="100" spans="3:54" x14ac:dyDescent="0.35">
      <c r="C100" t="s">
        <v>90</v>
      </c>
      <c r="D100">
        <f>1503732*(-1)</f>
        <v>-1503732</v>
      </c>
      <c r="E100">
        <f>1481001*(-1)</f>
        <v>-1481001</v>
      </c>
      <c r="F100">
        <f>-1*(1701481)</f>
        <v>-1701481</v>
      </c>
      <c r="G100">
        <f>-1*(1281025)</f>
        <v>-1281025</v>
      </c>
      <c r="H100">
        <f>-1*(1215406)</f>
        <v>-1215406</v>
      </c>
      <c r="I100">
        <f>-1*(1514224)</f>
        <v>-1514224</v>
      </c>
      <c r="J100">
        <v>0</v>
      </c>
    </row>
    <row r="101" spans="3:54" x14ac:dyDescent="0.35">
      <c r="C101" t="s">
        <v>34</v>
      </c>
      <c r="D101">
        <f>SUM(D99:D100)</f>
        <v>-1157157</v>
      </c>
      <c r="E101">
        <f t="shared" ref="E101:I101" si="58">SUM(E99:E100)</f>
        <v>-1150849</v>
      </c>
      <c r="F101">
        <f t="shared" si="58"/>
        <v>-1393840</v>
      </c>
      <c r="G101">
        <f t="shared" si="58"/>
        <v>-1100268</v>
      </c>
      <c r="H101">
        <f t="shared" si="58"/>
        <v>-595464</v>
      </c>
      <c r="I101">
        <f t="shared" si="58"/>
        <v>-1056092</v>
      </c>
      <c r="J101">
        <v>0</v>
      </c>
    </row>
    <row r="102" spans="3:54" x14ac:dyDescent="0.35">
      <c r="C102" t="s">
        <v>91</v>
      </c>
      <c r="D102">
        <v>1769589</v>
      </c>
      <c r="E102">
        <v>2036436</v>
      </c>
      <c r="F102">
        <v>2123610</v>
      </c>
      <c r="G102">
        <v>1867384</v>
      </c>
      <c r="H102">
        <v>1728691</v>
      </c>
      <c r="I102">
        <v>1984365</v>
      </c>
      <c r="J102">
        <v>0</v>
      </c>
    </row>
    <row r="103" spans="3:54" x14ac:dyDescent="0.35">
      <c r="C103" s="28" t="s">
        <v>92</v>
      </c>
      <c r="D103" s="28">
        <f>D101/D102</f>
        <v>-0.65391285773137153</v>
      </c>
      <c r="E103" s="28">
        <f t="shared" ref="E103:I103" si="59">E101/E102</f>
        <v>-0.56512898023802371</v>
      </c>
      <c r="F103" s="28">
        <f t="shared" si="59"/>
        <v>-0.6563540386417468</v>
      </c>
      <c r="G103" s="28">
        <f t="shared" si="59"/>
        <v>-0.58920286347103756</v>
      </c>
      <c r="H103" s="28">
        <f t="shared" si="59"/>
        <v>-0.34445947829889784</v>
      </c>
      <c r="I103" s="28">
        <f t="shared" si="59"/>
        <v>-0.53220652450532036</v>
      </c>
      <c r="J103" s="28">
        <v>0</v>
      </c>
      <c r="K103" s="28">
        <f>AVERAGE(D103:I103)</f>
        <v>-0.55687745714773296</v>
      </c>
    </row>
    <row r="105" spans="3:54" x14ac:dyDescent="0.35">
      <c r="D105">
        <v>0</v>
      </c>
      <c r="E105">
        <v>1</v>
      </c>
      <c r="F105">
        <v>2</v>
      </c>
      <c r="G105">
        <v>3</v>
      </c>
      <c r="H105">
        <v>4</v>
      </c>
      <c r="I105">
        <v>5</v>
      </c>
      <c r="J105">
        <v>6</v>
      </c>
      <c r="K105">
        <v>7</v>
      </c>
      <c r="L105">
        <v>8</v>
      </c>
      <c r="M105">
        <v>9</v>
      </c>
      <c r="N105">
        <v>10</v>
      </c>
      <c r="O105">
        <v>11</v>
      </c>
      <c r="P105">
        <v>12</v>
      </c>
      <c r="Q105">
        <v>13</v>
      </c>
      <c r="R105">
        <v>14</v>
      </c>
      <c r="S105">
        <v>15</v>
      </c>
      <c r="T105">
        <v>16</v>
      </c>
      <c r="U105">
        <v>17</v>
      </c>
      <c r="V105">
        <v>18</v>
      </c>
      <c r="W105">
        <v>19</v>
      </c>
      <c r="X105">
        <v>20</v>
      </c>
      <c r="Y105">
        <v>21</v>
      </c>
      <c r="Z105">
        <v>22</v>
      </c>
      <c r="AA105">
        <v>23</v>
      </c>
      <c r="AB105">
        <v>24</v>
      </c>
      <c r="AC105">
        <v>25</v>
      </c>
      <c r="AD105">
        <v>26</v>
      </c>
      <c r="AE105">
        <v>27</v>
      </c>
      <c r="AF105">
        <v>28</v>
      </c>
      <c r="AG105">
        <v>29</v>
      </c>
      <c r="AH105">
        <v>30</v>
      </c>
      <c r="AI105">
        <v>31</v>
      </c>
      <c r="AJ105">
        <v>32</v>
      </c>
      <c r="AK105">
        <v>33</v>
      </c>
      <c r="AL105">
        <v>34</v>
      </c>
      <c r="AM105">
        <v>35</v>
      </c>
      <c r="AN105">
        <v>36</v>
      </c>
      <c r="AO105">
        <v>37</v>
      </c>
      <c r="AP105">
        <v>38</v>
      </c>
      <c r="AQ105">
        <v>39</v>
      </c>
      <c r="AR105">
        <v>40</v>
      </c>
      <c r="AS105">
        <v>41</v>
      </c>
      <c r="AT105">
        <v>42</v>
      </c>
      <c r="AU105">
        <v>43</v>
      </c>
      <c r="AV105">
        <v>44</v>
      </c>
      <c r="AW105">
        <v>45</v>
      </c>
      <c r="AX105">
        <v>46</v>
      </c>
      <c r="AY105">
        <v>47</v>
      </c>
      <c r="AZ105">
        <v>48</v>
      </c>
      <c r="BA105">
        <v>49</v>
      </c>
      <c r="BB105">
        <v>50</v>
      </c>
    </row>
    <row r="106" spans="3:54" x14ac:dyDescent="0.35">
      <c r="C106" t="s">
        <v>95</v>
      </c>
      <c r="D106">
        <v>0</v>
      </c>
      <c r="E106">
        <f>D108</f>
        <v>-12476857.247473586</v>
      </c>
      <c r="F106">
        <f>E108</f>
        <v>-11197179.581066038</v>
      </c>
      <c r="G106">
        <f t="shared" ref="G106:N106" si="60">F108</f>
        <v>-11141193.683160707</v>
      </c>
      <c r="H106">
        <f t="shared" si="60"/>
        <v>-11609075.829940967</v>
      </c>
      <c r="I106">
        <f t="shared" si="60"/>
        <v>-11637068.778893633</v>
      </c>
      <c r="J106">
        <f t="shared" si="60"/>
        <v>-11617073.815356014</v>
      </c>
      <c r="K106">
        <f t="shared" si="60"/>
        <v>-11817023.450732194</v>
      </c>
      <c r="L106">
        <f t="shared" si="60"/>
        <v>-12336892.50271026</v>
      </c>
      <c r="M106">
        <f t="shared" si="60"/>
        <v>-12496852.211011203</v>
      </c>
      <c r="N106">
        <f t="shared" si="60"/>
        <v>-12428869.3349833</v>
      </c>
      <c r="O106">
        <f>N108</f>
        <v>-12677446.721682971</v>
      </c>
      <c r="P106">
        <f t="shared" ref="P106:BB106" si="61">O108</f>
        <v>-12930995.656116627</v>
      </c>
      <c r="Q106">
        <f t="shared" si="61"/>
        <v>-13189615.569238961</v>
      </c>
      <c r="R106">
        <f t="shared" si="61"/>
        <v>-13453407.880623741</v>
      </c>
      <c r="S106">
        <f t="shared" si="61"/>
        <v>-13722476.038236212</v>
      </c>
      <c r="T106">
        <f t="shared" si="61"/>
        <v>-13996925.559000941</v>
      </c>
      <c r="U106">
        <f t="shared" si="61"/>
        <v>-14276864.07018096</v>
      </c>
      <c r="V106">
        <f t="shared" si="61"/>
        <v>-14562401.351584576</v>
      </c>
      <c r="W106">
        <f t="shared" si="61"/>
        <v>-14853649.378616266</v>
      </c>
      <c r="X106">
        <f t="shared" si="61"/>
        <v>-15150722.366188593</v>
      </c>
      <c r="Y106">
        <f t="shared" si="61"/>
        <v>-15453736.813512363</v>
      </c>
      <c r="Z106">
        <f t="shared" si="61"/>
        <v>-15762811.549782611</v>
      </c>
      <c r="AA106">
        <f t="shared" si="61"/>
        <v>-16078067.780778265</v>
      </c>
      <c r="AB106">
        <f t="shared" si="61"/>
        <v>-16399629.13639383</v>
      </c>
      <c r="AC106">
        <f t="shared" si="61"/>
        <v>-16727621.719121708</v>
      </c>
      <c r="AD106">
        <f t="shared" si="61"/>
        <v>-17062174.153504144</v>
      </c>
      <c r="AE106">
        <f t="shared" si="61"/>
        <v>-17403417.636574224</v>
      </c>
      <c r="AF106">
        <f t="shared" si="61"/>
        <v>-17751485.989305709</v>
      </c>
      <c r="AG106">
        <f t="shared" si="61"/>
        <v>-18106515.709091827</v>
      </c>
      <c r="AH106">
        <f t="shared" si="61"/>
        <v>-18468646.023273662</v>
      </c>
      <c r="AI106">
        <f t="shared" si="61"/>
        <v>-18838018.943739135</v>
      </c>
      <c r="AJ106">
        <f t="shared" si="61"/>
        <v>-19214779.322613921</v>
      </c>
      <c r="AK106">
        <f t="shared" si="61"/>
        <v>-19599074.9090662</v>
      </c>
      <c r="AL106">
        <f t="shared" si="61"/>
        <v>-19991056.407247525</v>
      </c>
      <c r="AM106">
        <f t="shared" si="61"/>
        <v>-20390877.535392478</v>
      </c>
      <c r="AN106">
        <f t="shared" si="61"/>
        <v>-20798695.086100329</v>
      </c>
      <c r="AO106">
        <f t="shared" si="61"/>
        <v>-21214668.987822331</v>
      </c>
      <c r="AP106">
        <f t="shared" si="61"/>
        <v>-21638962.367578782</v>
      </c>
      <c r="AQ106">
        <f t="shared" si="61"/>
        <v>-22071741.614930354</v>
      </c>
      <c r="AR106">
        <f t="shared" si="61"/>
        <v>-22513176.447228964</v>
      </c>
      <c r="AS106">
        <f t="shared" si="61"/>
        <v>-22963439.976173542</v>
      </c>
      <c r="AT106">
        <f t="shared" si="61"/>
        <v>-23422708.775697012</v>
      </c>
      <c r="AU106">
        <f t="shared" si="61"/>
        <v>-23891162.951210957</v>
      </c>
      <c r="AV106">
        <f t="shared" si="61"/>
        <v>-24368986.210235175</v>
      </c>
      <c r="AW106">
        <f t="shared" si="61"/>
        <v>-24856365.934439879</v>
      </c>
      <c r="AX106">
        <f t="shared" si="61"/>
        <v>-25353493.253128674</v>
      </c>
      <c r="AY106">
        <f t="shared" si="61"/>
        <v>-25860563.118191246</v>
      </c>
      <c r="AZ106">
        <f t="shared" si="61"/>
        <v>-26377774.380555071</v>
      </c>
      <c r="BA106">
        <f t="shared" si="61"/>
        <v>-26905329.868166171</v>
      </c>
      <c r="BB106">
        <f t="shared" si="61"/>
        <v>-27443436.465529501</v>
      </c>
    </row>
    <row r="107" spans="3:54" x14ac:dyDescent="0.35">
      <c r="C107" t="s">
        <v>91</v>
      </c>
      <c r="E107">
        <f t="shared" ref="E107:BB107" si="62">E63</f>
        <v>22405032</v>
      </c>
      <c r="F107">
        <f t="shared" si="62"/>
        <v>20107080</v>
      </c>
      <c r="G107">
        <f t="shared" si="62"/>
        <v>20006544.599999998</v>
      </c>
      <c r="H107">
        <f t="shared" si="62"/>
        <v>20846733.300000001</v>
      </c>
      <c r="I107">
        <f t="shared" si="62"/>
        <v>20897001</v>
      </c>
      <c r="J107">
        <f t="shared" si="62"/>
        <v>20861095.5</v>
      </c>
      <c r="K107">
        <f t="shared" si="62"/>
        <v>21220150.5</v>
      </c>
      <c r="L107">
        <f t="shared" si="62"/>
        <v>22153693.5</v>
      </c>
      <c r="M107">
        <f t="shared" si="62"/>
        <v>22440937.5</v>
      </c>
      <c r="N107">
        <f t="shared" si="62"/>
        <v>22318858.799999997</v>
      </c>
      <c r="O107">
        <f t="shared" si="62"/>
        <v>22765235.976000004</v>
      </c>
      <c r="P107">
        <f t="shared" si="62"/>
        <v>23220540.695519999</v>
      </c>
      <c r="Q107">
        <f t="shared" si="62"/>
        <v>23684951.509430401</v>
      </c>
      <c r="R107">
        <f t="shared" si="62"/>
        <v>24158650.53961901</v>
      </c>
      <c r="S107">
        <f t="shared" si="62"/>
        <v>24641823.550411385</v>
      </c>
      <c r="T107">
        <f t="shared" si="62"/>
        <v>25134660.021419618</v>
      </c>
      <c r="U107">
        <f t="shared" si="62"/>
        <v>25637353.221848011</v>
      </c>
      <c r="V107">
        <f t="shared" si="62"/>
        <v>26150100.286284968</v>
      </c>
      <c r="W107">
        <f t="shared" si="62"/>
        <v>26673102.292010665</v>
      </c>
      <c r="X107">
        <f t="shared" si="62"/>
        <v>27206564.33785088</v>
      </c>
      <c r="Y107">
        <f t="shared" si="62"/>
        <v>27750695.624607895</v>
      </c>
      <c r="Z107">
        <f t="shared" si="62"/>
        <v>28305709.537100054</v>
      </c>
      <c r="AA107">
        <f t="shared" si="62"/>
        <v>28871823.727842055</v>
      </c>
      <c r="AB107">
        <f t="shared" si="62"/>
        <v>29449260.2023989</v>
      </c>
      <c r="AC107">
        <f t="shared" si="62"/>
        <v>30038245.406446878</v>
      </c>
      <c r="AD107">
        <f t="shared" si="62"/>
        <v>30639010.314575817</v>
      </c>
      <c r="AE107">
        <f t="shared" si="62"/>
        <v>31251790.520867333</v>
      </c>
      <c r="AF107">
        <f t="shared" si="62"/>
        <v>31876826.331284679</v>
      </c>
      <c r="AG107">
        <f t="shared" si="62"/>
        <v>32514362.85791038</v>
      </c>
      <c r="AH107">
        <f t="shared" si="62"/>
        <v>33164650.115068585</v>
      </c>
      <c r="AI107">
        <f t="shared" si="62"/>
        <v>33827943.117369957</v>
      </c>
      <c r="AJ107">
        <f t="shared" si="62"/>
        <v>34504501.979717359</v>
      </c>
      <c r="AK107">
        <f t="shared" si="62"/>
        <v>35194592.019311711</v>
      </c>
      <c r="AL107">
        <f t="shared" si="62"/>
        <v>35898483.859697945</v>
      </c>
      <c r="AM107">
        <f t="shared" si="62"/>
        <v>36616453.536891907</v>
      </c>
      <c r="AN107">
        <f t="shared" si="62"/>
        <v>37348782.607629746</v>
      </c>
      <c r="AO107">
        <f t="shared" si="62"/>
        <v>38095758.259782337</v>
      </c>
      <c r="AP107">
        <f t="shared" si="62"/>
        <v>38857673.424977988</v>
      </c>
      <c r="AQ107">
        <f t="shared" si="62"/>
        <v>39634826.893477544</v>
      </c>
      <c r="AR107">
        <f t="shared" si="62"/>
        <v>40427523.431347102</v>
      </c>
      <c r="AS107">
        <f t="shared" si="62"/>
        <v>41236073.899974041</v>
      </c>
      <c r="AT107">
        <f t="shared" si="62"/>
        <v>42060795.377973519</v>
      </c>
      <c r="AU107">
        <f t="shared" si="62"/>
        <v>42902011.285532996</v>
      </c>
      <c r="AV107">
        <f t="shared" si="62"/>
        <v>43760051.511243656</v>
      </c>
      <c r="AW107">
        <f t="shared" si="62"/>
        <v>44635252.541468531</v>
      </c>
      <c r="AX107">
        <f t="shared" si="62"/>
        <v>45527957.592297897</v>
      </c>
      <c r="AY107">
        <f t="shared" si="62"/>
        <v>46438516.744143851</v>
      </c>
      <c r="AZ107">
        <f t="shared" si="62"/>
        <v>47367287.079026729</v>
      </c>
      <c r="BA107">
        <f t="shared" si="62"/>
        <v>48314632.82060726</v>
      </c>
      <c r="BB107">
        <f t="shared" si="62"/>
        <v>49280925.477019414</v>
      </c>
    </row>
    <row r="108" spans="3:54" x14ac:dyDescent="0.35">
      <c r="C108" t="s">
        <v>96</v>
      </c>
      <c r="D108">
        <f t="shared" ref="D108:BB108" si="63">E107*$K$103</f>
        <v>-12476857.247473586</v>
      </c>
      <c r="E108">
        <f t="shared" si="63"/>
        <v>-11197179.581066038</v>
      </c>
      <c r="F108">
        <f t="shared" si="63"/>
        <v>-11141193.683160707</v>
      </c>
      <c r="G108">
        <f t="shared" si="63"/>
        <v>-11609075.829940967</v>
      </c>
      <c r="H108">
        <f t="shared" si="63"/>
        <v>-11637068.778893633</v>
      </c>
      <c r="I108">
        <f t="shared" si="63"/>
        <v>-11617073.815356014</v>
      </c>
      <c r="J108">
        <f t="shared" si="63"/>
        <v>-11817023.450732194</v>
      </c>
      <c r="K108">
        <f t="shared" si="63"/>
        <v>-12336892.50271026</v>
      </c>
      <c r="L108">
        <f t="shared" si="63"/>
        <v>-12496852.211011203</v>
      </c>
      <c r="M108">
        <f t="shared" si="63"/>
        <v>-12428869.3349833</v>
      </c>
      <c r="N108">
        <f t="shared" si="63"/>
        <v>-12677446.721682971</v>
      </c>
      <c r="O108">
        <f t="shared" si="63"/>
        <v>-12930995.656116627</v>
      </c>
      <c r="P108">
        <f t="shared" si="63"/>
        <v>-13189615.569238961</v>
      </c>
      <c r="Q108">
        <f t="shared" si="63"/>
        <v>-13453407.880623741</v>
      </c>
      <c r="R108">
        <f t="shared" si="63"/>
        <v>-13722476.038236212</v>
      </c>
      <c r="S108">
        <f t="shared" si="63"/>
        <v>-13996925.559000941</v>
      </c>
      <c r="T108">
        <f t="shared" si="63"/>
        <v>-14276864.07018096</v>
      </c>
      <c r="U108">
        <f t="shared" si="63"/>
        <v>-14562401.351584576</v>
      </c>
      <c r="V108">
        <f t="shared" si="63"/>
        <v>-14853649.378616266</v>
      </c>
      <c r="W108">
        <f t="shared" si="63"/>
        <v>-15150722.366188593</v>
      </c>
      <c r="X108">
        <f t="shared" si="63"/>
        <v>-15453736.813512363</v>
      </c>
      <c r="Y108">
        <f t="shared" si="63"/>
        <v>-15762811.549782611</v>
      </c>
      <c r="Z108">
        <f t="shared" si="63"/>
        <v>-16078067.780778265</v>
      </c>
      <c r="AA108">
        <f t="shared" si="63"/>
        <v>-16399629.13639383</v>
      </c>
      <c r="AB108">
        <f t="shared" si="63"/>
        <v>-16727621.719121708</v>
      </c>
      <c r="AC108">
        <f t="shared" si="63"/>
        <v>-17062174.153504144</v>
      </c>
      <c r="AD108">
        <f t="shared" si="63"/>
        <v>-17403417.636574224</v>
      </c>
      <c r="AE108">
        <f t="shared" si="63"/>
        <v>-17751485.989305709</v>
      </c>
      <c r="AF108">
        <f t="shared" si="63"/>
        <v>-18106515.709091827</v>
      </c>
      <c r="AG108">
        <f t="shared" si="63"/>
        <v>-18468646.023273662</v>
      </c>
      <c r="AH108">
        <f t="shared" si="63"/>
        <v>-18838018.943739135</v>
      </c>
      <c r="AI108">
        <f t="shared" si="63"/>
        <v>-19214779.322613921</v>
      </c>
      <c r="AJ108">
        <f t="shared" si="63"/>
        <v>-19599074.9090662</v>
      </c>
      <c r="AK108">
        <f t="shared" si="63"/>
        <v>-19991056.407247525</v>
      </c>
      <c r="AL108">
        <f t="shared" si="63"/>
        <v>-20390877.535392478</v>
      </c>
      <c r="AM108">
        <f t="shared" si="63"/>
        <v>-20798695.086100329</v>
      </c>
      <c r="AN108">
        <f t="shared" si="63"/>
        <v>-21214668.987822331</v>
      </c>
      <c r="AO108">
        <f t="shared" si="63"/>
        <v>-21638962.367578782</v>
      </c>
      <c r="AP108">
        <f t="shared" si="63"/>
        <v>-22071741.614930354</v>
      </c>
      <c r="AQ108">
        <f t="shared" si="63"/>
        <v>-22513176.447228964</v>
      </c>
      <c r="AR108">
        <f t="shared" si="63"/>
        <v>-22963439.976173542</v>
      </c>
      <c r="AS108">
        <f t="shared" si="63"/>
        <v>-23422708.775697012</v>
      </c>
      <c r="AT108">
        <f t="shared" si="63"/>
        <v>-23891162.951210957</v>
      </c>
      <c r="AU108">
        <f t="shared" si="63"/>
        <v>-24368986.210235175</v>
      </c>
      <c r="AV108">
        <f t="shared" si="63"/>
        <v>-24856365.934439879</v>
      </c>
      <c r="AW108">
        <f t="shared" si="63"/>
        <v>-25353493.253128674</v>
      </c>
      <c r="AX108">
        <f t="shared" si="63"/>
        <v>-25860563.118191246</v>
      </c>
      <c r="AY108">
        <f t="shared" si="63"/>
        <v>-26377774.380555071</v>
      </c>
      <c r="AZ108">
        <f t="shared" si="63"/>
        <v>-26905329.868166171</v>
      </c>
      <c r="BA108">
        <f t="shared" si="63"/>
        <v>-27443436.465529501</v>
      </c>
      <c r="BB108">
        <f t="shared" si="63"/>
        <v>0</v>
      </c>
    </row>
    <row r="109" spans="3:54" x14ac:dyDescent="0.35">
      <c r="C109" s="28" t="s">
        <v>33</v>
      </c>
      <c r="D109" s="28">
        <f>D106-D108</f>
        <v>12476857.247473586</v>
      </c>
      <c r="E109" s="28">
        <f>E106-E108</f>
        <v>-1279677.6664075479</v>
      </c>
      <c r="F109" s="28">
        <f>F106-F108</f>
        <v>-55985.897905331105</v>
      </c>
      <c r="G109" s="28">
        <f t="shared" ref="G109:BB109" si="64">G106-G108</f>
        <v>467882.14678025991</v>
      </c>
      <c r="H109" s="28">
        <f t="shared" si="64"/>
        <v>27992.948952665552</v>
      </c>
      <c r="I109" s="28">
        <f t="shared" si="64"/>
        <v>-19994.963537618518</v>
      </c>
      <c r="J109" s="28">
        <f t="shared" si="64"/>
        <v>199949.63537617959</v>
      </c>
      <c r="K109" s="28">
        <f t="shared" si="64"/>
        <v>519869.05197806656</v>
      </c>
      <c r="L109" s="28">
        <f t="shared" si="64"/>
        <v>159959.70830094256</v>
      </c>
      <c r="M109" s="28">
        <f t="shared" si="64"/>
        <v>-67982.876027902588</v>
      </c>
      <c r="N109" s="28">
        <f t="shared" si="64"/>
        <v>248577.38669967093</v>
      </c>
      <c r="O109" s="28">
        <f t="shared" si="64"/>
        <v>253548.93443365581</v>
      </c>
      <c r="P109" s="28">
        <f t="shared" si="64"/>
        <v>258619.91312233359</v>
      </c>
      <c r="Q109" s="28">
        <f t="shared" si="64"/>
        <v>263792.31138478033</v>
      </c>
      <c r="R109" s="28">
        <f t="shared" si="64"/>
        <v>269068.15761247091</v>
      </c>
      <c r="S109" s="28">
        <f t="shared" si="64"/>
        <v>274449.52076472901</v>
      </c>
      <c r="T109" s="28">
        <f t="shared" si="64"/>
        <v>279938.51118001901</v>
      </c>
      <c r="U109" s="28">
        <f t="shared" si="64"/>
        <v>285537.28140361607</v>
      </c>
      <c r="V109" s="28">
        <f t="shared" si="64"/>
        <v>291248.02703168988</v>
      </c>
      <c r="W109" s="28">
        <f t="shared" si="64"/>
        <v>297072.98757232726</v>
      </c>
      <c r="X109" s="28">
        <f t="shared" si="64"/>
        <v>303014.44732376933</v>
      </c>
      <c r="Y109" s="28">
        <f t="shared" si="64"/>
        <v>309074.73627024889</v>
      </c>
      <c r="Z109" s="28">
        <f t="shared" si="64"/>
        <v>315256.2309956532</v>
      </c>
      <c r="AA109" s="28">
        <f t="shared" si="64"/>
        <v>321561.35561556555</v>
      </c>
      <c r="AB109" s="28">
        <f t="shared" si="64"/>
        <v>327992.58272787742</v>
      </c>
      <c r="AC109" s="28">
        <f t="shared" si="64"/>
        <v>334552.4343824368</v>
      </c>
      <c r="AD109" s="28">
        <f t="shared" si="64"/>
        <v>341243.48307007924</v>
      </c>
      <c r="AE109" s="28">
        <f t="shared" si="64"/>
        <v>348068.35273148492</v>
      </c>
      <c r="AF109" s="28">
        <f t="shared" si="64"/>
        <v>355029.71978611872</v>
      </c>
      <c r="AG109" s="28">
        <f t="shared" si="64"/>
        <v>362130.31418183446</v>
      </c>
      <c r="AH109" s="28">
        <f t="shared" si="64"/>
        <v>369372.92046547309</v>
      </c>
      <c r="AI109" s="28">
        <f t="shared" si="64"/>
        <v>376760.3788747862</v>
      </c>
      <c r="AJ109" s="28">
        <f t="shared" si="64"/>
        <v>384295.58645227924</v>
      </c>
      <c r="AK109" s="28">
        <f t="shared" si="64"/>
        <v>391981.49818132445</v>
      </c>
      <c r="AL109" s="28">
        <f t="shared" si="64"/>
        <v>399821.1281449534</v>
      </c>
      <c r="AM109" s="28">
        <f t="shared" si="64"/>
        <v>407817.55070785061</v>
      </c>
      <c r="AN109" s="28">
        <f t="shared" si="64"/>
        <v>415973.90172200277</v>
      </c>
      <c r="AO109" s="28">
        <f t="shared" si="64"/>
        <v>424293.37975645065</v>
      </c>
      <c r="AP109" s="28">
        <f t="shared" si="64"/>
        <v>432779.24735157192</v>
      </c>
      <c r="AQ109" s="28">
        <f t="shared" si="64"/>
        <v>441434.83229861036</v>
      </c>
      <c r="AR109" s="28">
        <f t="shared" si="64"/>
        <v>450263.52894457802</v>
      </c>
      <c r="AS109" s="28">
        <f t="shared" si="64"/>
        <v>459268.79952346906</v>
      </c>
      <c r="AT109" s="28">
        <f t="shared" si="64"/>
        <v>468454.17551394552</v>
      </c>
      <c r="AU109" s="28">
        <f t="shared" si="64"/>
        <v>477823.25902421772</v>
      </c>
      <c r="AV109" s="28">
        <f t="shared" si="64"/>
        <v>487379.72420470417</v>
      </c>
      <c r="AW109" s="28">
        <f t="shared" si="64"/>
        <v>497127.31868879497</v>
      </c>
      <c r="AX109" s="28">
        <f t="shared" si="64"/>
        <v>507069.86506257206</v>
      </c>
      <c r="AY109" s="28">
        <f t="shared" si="64"/>
        <v>517211.26236382499</v>
      </c>
      <c r="AZ109" s="28">
        <f t="shared" si="64"/>
        <v>527555.48761110008</v>
      </c>
      <c r="BA109" s="28">
        <f t="shared" si="64"/>
        <v>538106.59736333042</v>
      </c>
      <c r="BB109" s="28">
        <f t="shared" si="64"/>
        <v>-27443436.465529501</v>
      </c>
    </row>
    <row r="112" spans="3:54" x14ac:dyDescent="0.35">
      <c r="C112" t="s">
        <v>99</v>
      </c>
    </row>
    <row r="113" spans="3:5" x14ac:dyDescent="0.35">
      <c r="C113" t="s">
        <v>134</v>
      </c>
      <c r="D113">
        <v>1.6400000000000001E-2</v>
      </c>
    </row>
    <row r="114" spans="3:5" x14ac:dyDescent="0.35">
      <c r="C114" t="s">
        <v>135</v>
      </c>
      <c r="D114">
        <v>6.6400000000000001E-2</v>
      </c>
    </row>
    <row r="115" spans="3:5" x14ac:dyDescent="0.35">
      <c r="C115" t="s">
        <v>136</v>
      </c>
      <c r="D115">
        <v>0.05</v>
      </c>
    </row>
    <row r="116" spans="3:5" x14ac:dyDescent="0.35">
      <c r="C116" t="s">
        <v>101</v>
      </c>
      <c r="D116">
        <v>0.63</v>
      </c>
    </row>
    <row r="118" spans="3:5" x14ac:dyDescent="0.35">
      <c r="C118" t="s">
        <v>133</v>
      </c>
    </row>
    <row r="120" spans="3:5" x14ac:dyDescent="0.35">
      <c r="C120" s="28" t="s">
        <v>107</v>
      </c>
      <c r="D120" s="117">
        <f>(rf*(1-selskatt))+(((rm-(rf*(1-selskatt)))*beta))</f>
        <v>5.5836339999999998E-2</v>
      </c>
    </row>
    <row r="122" spans="3:5" x14ac:dyDescent="0.35">
      <c r="C122" t="s">
        <v>102</v>
      </c>
    </row>
    <row r="123" spans="3:5" x14ac:dyDescent="0.35">
      <c r="C123" t="s">
        <v>103</v>
      </c>
      <c r="D123">
        <v>0.3</v>
      </c>
    </row>
    <row r="124" spans="3:5" x14ac:dyDescent="0.35">
      <c r="C124" t="s">
        <v>104</v>
      </c>
      <c r="D124">
        <v>0.7</v>
      </c>
    </row>
    <row r="125" spans="3:5" x14ac:dyDescent="0.35">
      <c r="C125" t="s">
        <v>105</v>
      </c>
      <c r="D125">
        <f>lånerente</f>
        <v>0.03</v>
      </c>
    </row>
    <row r="127" spans="3:5" x14ac:dyDescent="0.35">
      <c r="C127" t="s">
        <v>108</v>
      </c>
    </row>
    <row r="128" spans="3:5" x14ac:dyDescent="0.35">
      <c r="C128" t="s">
        <v>109</v>
      </c>
      <c r="D128">
        <f>0.03*0.77</f>
        <v>2.3099999999999999E-2</v>
      </c>
      <c r="E128">
        <f>D128*0.7/0.3</f>
        <v>5.389999999999999E-2</v>
      </c>
    </row>
    <row r="129" spans="3:54" x14ac:dyDescent="0.35">
      <c r="C129" t="s">
        <v>110</v>
      </c>
      <c r="D129">
        <f>E129-E128</f>
        <v>0.10110000000000001</v>
      </c>
      <c r="E129">
        <f>0.0465/0.3</f>
        <v>0.155</v>
      </c>
    </row>
    <row r="131" spans="3:54" x14ac:dyDescent="0.35">
      <c r="C131" s="28" t="s">
        <v>111</v>
      </c>
      <c r="D131" s="117">
        <f>D129</f>
        <v>0.10110000000000001</v>
      </c>
    </row>
    <row r="134" spans="3:54" x14ac:dyDescent="0.35">
      <c r="C134" t="s">
        <v>55</v>
      </c>
      <c r="D134">
        <v>0</v>
      </c>
      <c r="E134">
        <v>1</v>
      </c>
      <c r="F134">
        <v>2</v>
      </c>
      <c r="G134">
        <v>3</v>
      </c>
      <c r="H134">
        <v>4</v>
      </c>
      <c r="I134">
        <v>5</v>
      </c>
      <c r="J134">
        <v>6</v>
      </c>
      <c r="K134">
        <v>7</v>
      </c>
      <c r="L134">
        <v>8</v>
      </c>
      <c r="M134">
        <v>9</v>
      </c>
      <c r="N134">
        <v>10</v>
      </c>
      <c r="O134">
        <v>11</v>
      </c>
      <c r="P134">
        <v>12</v>
      </c>
      <c r="Q134">
        <v>13</v>
      </c>
      <c r="R134">
        <v>14</v>
      </c>
      <c r="S134">
        <v>15</v>
      </c>
      <c r="T134">
        <v>16</v>
      </c>
      <c r="U134">
        <v>17</v>
      </c>
      <c r="V134">
        <v>18</v>
      </c>
      <c r="W134">
        <v>19</v>
      </c>
      <c r="X134">
        <v>20</v>
      </c>
      <c r="Y134">
        <v>21</v>
      </c>
      <c r="Z134">
        <v>22</v>
      </c>
      <c r="AA134">
        <v>23</v>
      </c>
      <c r="AB134">
        <v>24</v>
      </c>
      <c r="AC134">
        <v>25</v>
      </c>
      <c r="AD134">
        <v>26</v>
      </c>
      <c r="AE134">
        <v>27</v>
      </c>
      <c r="AF134">
        <v>28</v>
      </c>
      <c r="AG134">
        <v>29</v>
      </c>
      <c r="AH134">
        <v>30</v>
      </c>
      <c r="AI134">
        <v>31</v>
      </c>
      <c r="AJ134">
        <v>32</v>
      </c>
      <c r="AK134">
        <v>33</v>
      </c>
      <c r="AL134">
        <v>34</v>
      </c>
      <c r="AM134">
        <v>35</v>
      </c>
      <c r="AN134">
        <v>36</v>
      </c>
      <c r="AO134">
        <v>37</v>
      </c>
      <c r="AP134">
        <v>38</v>
      </c>
      <c r="AQ134">
        <v>39</v>
      </c>
      <c r="AR134">
        <v>40</v>
      </c>
      <c r="AS134">
        <v>41</v>
      </c>
      <c r="AT134">
        <v>42</v>
      </c>
      <c r="AU134">
        <v>43</v>
      </c>
      <c r="AV134">
        <v>44</v>
      </c>
      <c r="AW134">
        <v>45</v>
      </c>
      <c r="AX134">
        <v>46</v>
      </c>
      <c r="AY134">
        <v>47</v>
      </c>
      <c r="AZ134">
        <v>48</v>
      </c>
      <c r="BA134">
        <v>49</v>
      </c>
      <c r="BB134">
        <v>50</v>
      </c>
    </row>
    <row r="135" spans="3:54" x14ac:dyDescent="0.35">
      <c r="C135" t="s">
        <v>118</v>
      </c>
      <c r="E135">
        <f>inv*-1</f>
        <v>45000000</v>
      </c>
      <c r="F135">
        <f>E135-E136</f>
        <v>44100000</v>
      </c>
      <c r="G135">
        <f>F135-F136</f>
        <v>43200000</v>
      </c>
      <c r="H135">
        <f>G135-G136</f>
        <v>42300000</v>
      </c>
      <c r="I135">
        <f t="shared" ref="I135:BB135" si="65">H135-H136</f>
        <v>41400000</v>
      </c>
      <c r="J135">
        <f t="shared" si="65"/>
        <v>40500000</v>
      </c>
      <c r="K135">
        <f t="shared" si="65"/>
        <v>39600000</v>
      </c>
      <c r="L135">
        <f t="shared" si="65"/>
        <v>38700000</v>
      </c>
      <c r="M135">
        <f t="shared" si="65"/>
        <v>37800000</v>
      </c>
      <c r="N135">
        <f t="shared" si="65"/>
        <v>36900000</v>
      </c>
      <c r="O135">
        <f t="shared" si="65"/>
        <v>36000000</v>
      </c>
      <c r="P135">
        <f t="shared" si="65"/>
        <v>35100000</v>
      </c>
      <c r="Q135">
        <f t="shared" si="65"/>
        <v>34200000</v>
      </c>
      <c r="R135">
        <f t="shared" si="65"/>
        <v>33300000</v>
      </c>
      <c r="S135">
        <f t="shared" si="65"/>
        <v>32400000</v>
      </c>
      <c r="T135">
        <f t="shared" si="65"/>
        <v>31500000</v>
      </c>
      <c r="U135">
        <f t="shared" si="65"/>
        <v>30600000</v>
      </c>
      <c r="V135">
        <f t="shared" si="65"/>
        <v>29700000</v>
      </c>
      <c r="W135">
        <f t="shared" si="65"/>
        <v>28800000</v>
      </c>
      <c r="X135">
        <f t="shared" si="65"/>
        <v>27900000</v>
      </c>
      <c r="Y135">
        <f t="shared" si="65"/>
        <v>27000000</v>
      </c>
      <c r="Z135">
        <f t="shared" si="65"/>
        <v>26100000</v>
      </c>
      <c r="AA135">
        <f t="shared" si="65"/>
        <v>25200000</v>
      </c>
      <c r="AB135">
        <f t="shared" si="65"/>
        <v>24300000</v>
      </c>
      <c r="AC135">
        <f t="shared" si="65"/>
        <v>23400000</v>
      </c>
      <c r="AD135">
        <f t="shared" si="65"/>
        <v>22500000</v>
      </c>
      <c r="AE135">
        <f t="shared" si="65"/>
        <v>21600000</v>
      </c>
      <c r="AF135">
        <f t="shared" si="65"/>
        <v>20700000</v>
      </c>
      <c r="AG135">
        <f t="shared" si="65"/>
        <v>19800000</v>
      </c>
      <c r="AH135">
        <f t="shared" si="65"/>
        <v>18900000</v>
      </c>
      <c r="AI135">
        <f t="shared" si="65"/>
        <v>18000000</v>
      </c>
      <c r="AJ135">
        <f t="shared" si="65"/>
        <v>17100000</v>
      </c>
      <c r="AK135">
        <f t="shared" si="65"/>
        <v>16200000</v>
      </c>
      <c r="AL135">
        <f t="shared" si="65"/>
        <v>15300000</v>
      </c>
      <c r="AM135">
        <f t="shared" si="65"/>
        <v>14400000</v>
      </c>
      <c r="AN135">
        <f t="shared" si="65"/>
        <v>13500000</v>
      </c>
      <c r="AO135">
        <f t="shared" si="65"/>
        <v>12600000</v>
      </c>
      <c r="AP135">
        <f t="shared" si="65"/>
        <v>11700000</v>
      </c>
      <c r="AQ135">
        <f t="shared" si="65"/>
        <v>10800000</v>
      </c>
      <c r="AR135">
        <f t="shared" si="65"/>
        <v>9900000</v>
      </c>
      <c r="AS135">
        <f t="shared" si="65"/>
        <v>9000000</v>
      </c>
      <c r="AT135">
        <f t="shared" si="65"/>
        <v>8100000</v>
      </c>
      <c r="AU135">
        <f t="shared" si="65"/>
        <v>7200000</v>
      </c>
      <c r="AV135">
        <f t="shared" si="65"/>
        <v>6300000</v>
      </c>
      <c r="AW135">
        <f t="shared" si="65"/>
        <v>5400000</v>
      </c>
      <c r="AX135">
        <f t="shared" si="65"/>
        <v>4500000</v>
      </c>
      <c r="AY135">
        <f t="shared" si="65"/>
        <v>3600000</v>
      </c>
      <c r="AZ135">
        <f t="shared" si="65"/>
        <v>2700000</v>
      </c>
      <c r="BA135">
        <f t="shared" si="65"/>
        <v>1800000</v>
      </c>
      <c r="BB135">
        <f t="shared" si="65"/>
        <v>900000</v>
      </c>
    </row>
    <row r="136" spans="3:54" x14ac:dyDescent="0.35">
      <c r="C136" t="s">
        <v>10</v>
      </c>
      <c r="E136">
        <f>$C$140</f>
        <v>900000</v>
      </c>
      <c r="F136">
        <f t="shared" ref="F136:BB136" si="66">$C$140</f>
        <v>900000</v>
      </c>
      <c r="G136">
        <f t="shared" si="66"/>
        <v>900000</v>
      </c>
      <c r="H136">
        <f t="shared" si="66"/>
        <v>900000</v>
      </c>
      <c r="I136">
        <f t="shared" si="66"/>
        <v>900000</v>
      </c>
      <c r="J136">
        <f t="shared" si="66"/>
        <v>900000</v>
      </c>
      <c r="K136">
        <f t="shared" si="66"/>
        <v>900000</v>
      </c>
      <c r="L136">
        <f t="shared" si="66"/>
        <v>900000</v>
      </c>
      <c r="M136">
        <f t="shared" si="66"/>
        <v>900000</v>
      </c>
      <c r="N136">
        <f t="shared" si="66"/>
        <v>900000</v>
      </c>
      <c r="O136">
        <f t="shared" si="66"/>
        <v>900000</v>
      </c>
      <c r="P136">
        <f t="shared" si="66"/>
        <v>900000</v>
      </c>
      <c r="Q136">
        <f t="shared" si="66"/>
        <v>900000</v>
      </c>
      <c r="R136">
        <f t="shared" si="66"/>
        <v>900000</v>
      </c>
      <c r="S136">
        <f t="shared" si="66"/>
        <v>900000</v>
      </c>
      <c r="T136">
        <f t="shared" si="66"/>
        <v>900000</v>
      </c>
      <c r="U136">
        <f t="shared" si="66"/>
        <v>900000</v>
      </c>
      <c r="V136">
        <f t="shared" si="66"/>
        <v>900000</v>
      </c>
      <c r="W136">
        <f t="shared" si="66"/>
        <v>900000</v>
      </c>
      <c r="X136">
        <f t="shared" si="66"/>
        <v>900000</v>
      </c>
      <c r="Y136">
        <f t="shared" si="66"/>
        <v>900000</v>
      </c>
      <c r="Z136">
        <f t="shared" si="66"/>
        <v>900000</v>
      </c>
      <c r="AA136">
        <f t="shared" si="66"/>
        <v>900000</v>
      </c>
      <c r="AB136">
        <f t="shared" si="66"/>
        <v>900000</v>
      </c>
      <c r="AC136">
        <f t="shared" si="66"/>
        <v>900000</v>
      </c>
      <c r="AD136">
        <f t="shared" si="66"/>
        <v>900000</v>
      </c>
      <c r="AE136">
        <f t="shared" si="66"/>
        <v>900000</v>
      </c>
      <c r="AF136">
        <f t="shared" si="66"/>
        <v>900000</v>
      </c>
      <c r="AG136">
        <f t="shared" si="66"/>
        <v>900000</v>
      </c>
      <c r="AH136">
        <f t="shared" si="66"/>
        <v>900000</v>
      </c>
      <c r="AI136">
        <f t="shared" si="66"/>
        <v>900000</v>
      </c>
      <c r="AJ136">
        <f t="shared" si="66"/>
        <v>900000</v>
      </c>
      <c r="AK136">
        <f t="shared" si="66"/>
        <v>900000</v>
      </c>
      <c r="AL136">
        <f t="shared" si="66"/>
        <v>900000</v>
      </c>
      <c r="AM136">
        <f t="shared" si="66"/>
        <v>900000</v>
      </c>
      <c r="AN136">
        <f t="shared" si="66"/>
        <v>900000</v>
      </c>
      <c r="AO136">
        <f t="shared" si="66"/>
        <v>900000</v>
      </c>
      <c r="AP136">
        <f t="shared" si="66"/>
        <v>900000</v>
      </c>
      <c r="AQ136">
        <f t="shared" si="66"/>
        <v>900000</v>
      </c>
      <c r="AR136">
        <f t="shared" si="66"/>
        <v>900000</v>
      </c>
      <c r="AS136">
        <f t="shared" si="66"/>
        <v>900000</v>
      </c>
      <c r="AT136">
        <f t="shared" si="66"/>
        <v>900000</v>
      </c>
      <c r="AU136">
        <f t="shared" si="66"/>
        <v>900000</v>
      </c>
      <c r="AV136">
        <f t="shared" si="66"/>
        <v>900000</v>
      </c>
      <c r="AW136">
        <f t="shared" si="66"/>
        <v>900000</v>
      </c>
      <c r="AX136">
        <f t="shared" si="66"/>
        <v>900000</v>
      </c>
      <c r="AY136">
        <f t="shared" si="66"/>
        <v>900000</v>
      </c>
      <c r="AZ136">
        <f t="shared" si="66"/>
        <v>900000</v>
      </c>
      <c r="BA136">
        <f t="shared" si="66"/>
        <v>900000</v>
      </c>
      <c r="BB136">
        <f t="shared" si="66"/>
        <v>900000</v>
      </c>
    </row>
    <row r="137" spans="3:54" x14ac:dyDescent="0.35">
      <c r="C137" t="s">
        <v>119</v>
      </c>
      <c r="E137">
        <f>E135-E136</f>
        <v>44100000</v>
      </c>
      <c r="F137">
        <f>F135-F136</f>
        <v>43200000</v>
      </c>
      <c r="G137">
        <f t="shared" ref="G137:BB137" si="67">G135-G136</f>
        <v>42300000</v>
      </c>
      <c r="H137">
        <f t="shared" si="67"/>
        <v>41400000</v>
      </c>
      <c r="I137">
        <f t="shared" si="67"/>
        <v>40500000</v>
      </c>
      <c r="J137">
        <f t="shared" si="67"/>
        <v>39600000</v>
      </c>
      <c r="K137">
        <f t="shared" si="67"/>
        <v>38700000</v>
      </c>
      <c r="L137">
        <f t="shared" si="67"/>
        <v>37800000</v>
      </c>
      <c r="M137">
        <f t="shared" si="67"/>
        <v>36900000</v>
      </c>
      <c r="N137">
        <f t="shared" si="67"/>
        <v>36000000</v>
      </c>
      <c r="O137">
        <f t="shared" si="67"/>
        <v>35100000</v>
      </c>
      <c r="P137">
        <f t="shared" si="67"/>
        <v>34200000</v>
      </c>
      <c r="Q137">
        <f t="shared" si="67"/>
        <v>33300000</v>
      </c>
      <c r="R137">
        <f t="shared" si="67"/>
        <v>32400000</v>
      </c>
      <c r="S137">
        <f t="shared" si="67"/>
        <v>31500000</v>
      </c>
      <c r="T137">
        <f t="shared" si="67"/>
        <v>30600000</v>
      </c>
      <c r="U137">
        <f t="shared" si="67"/>
        <v>29700000</v>
      </c>
      <c r="V137">
        <f t="shared" si="67"/>
        <v>28800000</v>
      </c>
      <c r="W137">
        <f t="shared" si="67"/>
        <v>27900000</v>
      </c>
      <c r="X137">
        <f t="shared" si="67"/>
        <v>27000000</v>
      </c>
      <c r="Y137">
        <f t="shared" si="67"/>
        <v>26100000</v>
      </c>
      <c r="Z137">
        <f t="shared" si="67"/>
        <v>25200000</v>
      </c>
      <c r="AA137">
        <f t="shared" si="67"/>
        <v>24300000</v>
      </c>
      <c r="AB137">
        <f t="shared" si="67"/>
        <v>23400000</v>
      </c>
      <c r="AC137">
        <f t="shared" si="67"/>
        <v>22500000</v>
      </c>
      <c r="AD137">
        <f t="shared" si="67"/>
        <v>21600000</v>
      </c>
      <c r="AE137">
        <f t="shared" si="67"/>
        <v>20700000</v>
      </c>
      <c r="AF137">
        <f t="shared" si="67"/>
        <v>19800000</v>
      </c>
      <c r="AG137">
        <f t="shared" si="67"/>
        <v>18900000</v>
      </c>
      <c r="AH137">
        <f t="shared" si="67"/>
        <v>18000000</v>
      </c>
      <c r="AI137">
        <f t="shared" si="67"/>
        <v>17100000</v>
      </c>
      <c r="AJ137">
        <f t="shared" si="67"/>
        <v>16200000</v>
      </c>
      <c r="AK137">
        <f t="shared" si="67"/>
        <v>15300000</v>
      </c>
      <c r="AL137">
        <f t="shared" si="67"/>
        <v>14400000</v>
      </c>
      <c r="AM137">
        <f t="shared" si="67"/>
        <v>13500000</v>
      </c>
      <c r="AN137">
        <f t="shared" si="67"/>
        <v>12600000</v>
      </c>
      <c r="AO137">
        <f t="shared" si="67"/>
        <v>11700000</v>
      </c>
      <c r="AP137">
        <f t="shared" si="67"/>
        <v>10800000</v>
      </c>
      <c r="AQ137">
        <f t="shared" si="67"/>
        <v>9900000</v>
      </c>
      <c r="AR137">
        <f t="shared" si="67"/>
        <v>9000000</v>
      </c>
      <c r="AS137">
        <f t="shared" si="67"/>
        <v>8100000</v>
      </c>
      <c r="AT137">
        <f t="shared" si="67"/>
        <v>7200000</v>
      </c>
      <c r="AU137">
        <f t="shared" si="67"/>
        <v>6300000</v>
      </c>
      <c r="AV137">
        <f t="shared" si="67"/>
        <v>5400000</v>
      </c>
      <c r="AW137">
        <f t="shared" si="67"/>
        <v>4500000</v>
      </c>
      <c r="AX137">
        <f t="shared" si="67"/>
        <v>3600000</v>
      </c>
      <c r="AY137">
        <f t="shared" si="67"/>
        <v>2700000</v>
      </c>
      <c r="AZ137">
        <f t="shared" si="67"/>
        <v>1800000</v>
      </c>
      <c r="BA137">
        <f t="shared" si="67"/>
        <v>900000</v>
      </c>
      <c r="BB137">
        <f t="shared" si="67"/>
        <v>0</v>
      </c>
    </row>
    <row r="138" spans="3:54" x14ac:dyDescent="0.35">
      <c r="C138" s="28" t="s">
        <v>55</v>
      </c>
      <c r="D138" s="28"/>
      <c r="E138" s="28">
        <f t="shared" ref="E138:BB138" si="68">((E135+E137)/2)*eiendomssats</f>
        <v>311850</v>
      </c>
      <c r="F138" s="28">
        <f t="shared" si="68"/>
        <v>305550</v>
      </c>
      <c r="G138" s="28">
        <f t="shared" si="68"/>
        <v>299250</v>
      </c>
      <c r="H138" s="28">
        <f t="shared" si="68"/>
        <v>292950</v>
      </c>
      <c r="I138" s="28">
        <f t="shared" si="68"/>
        <v>286650</v>
      </c>
      <c r="J138" s="28">
        <f t="shared" si="68"/>
        <v>280350</v>
      </c>
      <c r="K138" s="28">
        <f t="shared" si="68"/>
        <v>274050</v>
      </c>
      <c r="L138" s="28">
        <f t="shared" si="68"/>
        <v>267750</v>
      </c>
      <c r="M138" s="28">
        <f t="shared" si="68"/>
        <v>261450</v>
      </c>
      <c r="N138" s="28">
        <f t="shared" si="68"/>
        <v>255150</v>
      </c>
      <c r="O138" s="28">
        <f t="shared" si="68"/>
        <v>248850</v>
      </c>
      <c r="P138" s="28">
        <f t="shared" si="68"/>
        <v>242550</v>
      </c>
      <c r="Q138" s="28">
        <f t="shared" si="68"/>
        <v>236250</v>
      </c>
      <c r="R138" s="28">
        <f t="shared" si="68"/>
        <v>229950</v>
      </c>
      <c r="S138" s="28">
        <f t="shared" si="68"/>
        <v>223650</v>
      </c>
      <c r="T138" s="28">
        <f t="shared" si="68"/>
        <v>217350</v>
      </c>
      <c r="U138" s="28">
        <f t="shared" si="68"/>
        <v>211050</v>
      </c>
      <c r="V138" s="28">
        <f t="shared" si="68"/>
        <v>204750</v>
      </c>
      <c r="W138" s="28">
        <f t="shared" si="68"/>
        <v>198450</v>
      </c>
      <c r="X138" s="28">
        <f t="shared" si="68"/>
        <v>192150</v>
      </c>
      <c r="Y138" s="28">
        <f t="shared" si="68"/>
        <v>185850</v>
      </c>
      <c r="Z138" s="28">
        <f t="shared" si="68"/>
        <v>179550</v>
      </c>
      <c r="AA138" s="28">
        <f t="shared" si="68"/>
        <v>173250</v>
      </c>
      <c r="AB138" s="28">
        <f t="shared" si="68"/>
        <v>166950</v>
      </c>
      <c r="AC138" s="28">
        <f t="shared" si="68"/>
        <v>160650</v>
      </c>
      <c r="AD138" s="28">
        <f t="shared" si="68"/>
        <v>154350</v>
      </c>
      <c r="AE138" s="28">
        <f t="shared" si="68"/>
        <v>148050</v>
      </c>
      <c r="AF138" s="28">
        <f t="shared" si="68"/>
        <v>141750</v>
      </c>
      <c r="AG138" s="28">
        <f t="shared" si="68"/>
        <v>135450</v>
      </c>
      <c r="AH138" s="28">
        <f t="shared" si="68"/>
        <v>129150</v>
      </c>
      <c r="AI138" s="28">
        <f t="shared" si="68"/>
        <v>122850</v>
      </c>
      <c r="AJ138" s="28">
        <f t="shared" si="68"/>
        <v>116550</v>
      </c>
      <c r="AK138" s="28">
        <f t="shared" si="68"/>
        <v>110250</v>
      </c>
      <c r="AL138" s="28">
        <f t="shared" si="68"/>
        <v>103950</v>
      </c>
      <c r="AM138" s="28">
        <f t="shared" si="68"/>
        <v>97650</v>
      </c>
      <c r="AN138" s="28">
        <f t="shared" si="68"/>
        <v>91350</v>
      </c>
      <c r="AO138" s="28">
        <f t="shared" si="68"/>
        <v>85050</v>
      </c>
      <c r="AP138" s="28">
        <f t="shared" si="68"/>
        <v>78750</v>
      </c>
      <c r="AQ138" s="28">
        <f t="shared" si="68"/>
        <v>72450</v>
      </c>
      <c r="AR138" s="28">
        <f t="shared" si="68"/>
        <v>66150</v>
      </c>
      <c r="AS138" s="28">
        <f t="shared" si="68"/>
        <v>59850</v>
      </c>
      <c r="AT138" s="28">
        <f t="shared" si="68"/>
        <v>53550</v>
      </c>
      <c r="AU138" s="28">
        <f t="shared" si="68"/>
        <v>47250</v>
      </c>
      <c r="AV138" s="28">
        <f t="shared" si="68"/>
        <v>40950</v>
      </c>
      <c r="AW138" s="28">
        <f t="shared" si="68"/>
        <v>34650</v>
      </c>
      <c r="AX138" s="28">
        <f t="shared" si="68"/>
        <v>28350</v>
      </c>
      <c r="AY138" s="28">
        <f t="shared" si="68"/>
        <v>22050</v>
      </c>
      <c r="AZ138" s="28">
        <f t="shared" si="68"/>
        <v>15750</v>
      </c>
      <c r="BA138" s="28">
        <f t="shared" si="68"/>
        <v>9450</v>
      </c>
      <c r="BB138" s="28">
        <f t="shared" si="68"/>
        <v>3150</v>
      </c>
    </row>
    <row r="139" spans="3:54" x14ac:dyDescent="0.35">
      <c r="C139" t="s">
        <v>120</v>
      </c>
    </row>
    <row r="140" spans="3:54" x14ac:dyDescent="0.35">
      <c r="C140">
        <f>E135/llt</f>
        <v>900000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58C9-4869-45FE-B778-8C3112A30063}">
  <dimension ref="B2:H37"/>
  <sheetViews>
    <sheetView workbookViewId="0">
      <selection activeCell="B12" sqref="B12:F13"/>
    </sheetView>
  </sheetViews>
  <sheetFormatPr defaultColWidth="11.90625" defaultRowHeight="14.5" x14ac:dyDescent="0.35"/>
  <cols>
    <col min="2" max="2" width="29.08984375" customWidth="1"/>
    <col min="3" max="3" width="15.08984375" customWidth="1"/>
    <col min="4" max="4" width="18.36328125" customWidth="1"/>
    <col min="5" max="5" width="24" customWidth="1"/>
    <col min="6" max="6" width="14.90625" customWidth="1"/>
    <col min="7" max="7" width="18.36328125" customWidth="1"/>
    <col min="8" max="8" width="35.54296875" customWidth="1"/>
  </cols>
  <sheetData>
    <row r="2" spans="2:8" ht="15" thickBot="1" x14ac:dyDescent="0.4"/>
    <row r="3" spans="2:8" x14ac:dyDescent="0.35">
      <c r="B3" s="243" t="s">
        <v>151</v>
      </c>
      <c r="C3" s="244"/>
      <c r="D3" s="244"/>
      <c r="E3" s="244"/>
      <c r="F3" s="244"/>
      <c r="G3" s="244"/>
      <c r="H3" s="245"/>
    </row>
    <row r="4" spans="2:8" ht="15" thickBot="1" x14ac:dyDescent="0.4">
      <c r="B4" s="246"/>
      <c r="C4" s="247"/>
      <c r="D4" s="247"/>
      <c r="E4" s="247"/>
      <c r="F4" s="247"/>
      <c r="G4" s="247"/>
      <c r="H4" s="248"/>
    </row>
    <row r="5" spans="2:8" ht="75.5" thickBot="1" x14ac:dyDescent="0.4">
      <c r="B5" s="145" t="s">
        <v>144</v>
      </c>
      <c r="C5" s="146" t="s">
        <v>157</v>
      </c>
      <c r="D5" s="146" t="s">
        <v>38</v>
      </c>
      <c r="E5" s="146" t="s">
        <v>158</v>
      </c>
      <c r="F5" s="146" t="s">
        <v>39</v>
      </c>
      <c r="G5" s="146" t="s">
        <v>159</v>
      </c>
      <c r="H5" s="147" t="s">
        <v>160</v>
      </c>
    </row>
    <row r="6" spans="2:8" ht="16" thickBot="1" x14ac:dyDescent="0.4">
      <c r="B6" s="143" t="s">
        <v>145</v>
      </c>
      <c r="C6" s="111">
        <v>103</v>
      </c>
      <c r="D6" s="111">
        <v>47.6</v>
      </c>
      <c r="E6" s="112">
        <f>D6/C6</f>
        <v>0.46213592233009709</v>
      </c>
      <c r="F6" s="111">
        <v>19.600000000000001</v>
      </c>
      <c r="G6" s="112">
        <f>F6/C6</f>
        <v>0.19029126213592235</v>
      </c>
      <c r="H6" s="112">
        <f>(F6+D6)/C6</f>
        <v>0.65242718446601944</v>
      </c>
    </row>
    <row r="7" spans="2:8" ht="16" thickBot="1" x14ac:dyDescent="0.4">
      <c r="B7" s="144" t="s">
        <v>146</v>
      </c>
      <c r="C7" s="113">
        <v>104</v>
      </c>
      <c r="D7" s="113">
        <v>36.5</v>
      </c>
      <c r="E7" s="114">
        <f>D7/C7</f>
        <v>0.35096153846153844</v>
      </c>
      <c r="F7" s="113">
        <v>15.1</v>
      </c>
      <c r="G7" s="114">
        <f>F7/C7</f>
        <v>0.14519230769230768</v>
      </c>
      <c r="H7" s="114">
        <f>(F7+D7)/C7</f>
        <v>0.49615384615384617</v>
      </c>
    </row>
    <row r="8" spans="2:8" ht="16" thickBot="1" x14ac:dyDescent="0.4">
      <c r="B8" s="143" t="s">
        <v>147</v>
      </c>
      <c r="C8" s="111">
        <v>79</v>
      </c>
      <c r="D8" s="111">
        <v>23.4</v>
      </c>
      <c r="E8" s="112">
        <f>D8/C8</f>
        <v>0.29620253164556959</v>
      </c>
      <c r="F8" s="111">
        <v>10.7</v>
      </c>
      <c r="G8" s="112">
        <f>F8/C8</f>
        <v>0.13544303797468354</v>
      </c>
      <c r="H8" s="112">
        <f>(F8+D8)/C8</f>
        <v>0.43164556962025308</v>
      </c>
    </row>
    <row r="11" spans="2:8" ht="15" thickBot="1" x14ac:dyDescent="0.4"/>
    <row r="12" spans="2:8" ht="14.5" customHeight="1" x14ac:dyDescent="0.35">
      <c r="B12" s="243" t="s">
        <v>152</v>
      </c>
      <c r="C12" s="244"/>
      <c r="D12" s="244"/>
      <c r="E12" s="244"/>
      <c r="F12" s="245"/>
      <c r="H12" s="151"/>
    </row>
    <row r="13" spans="2:8" ht="15" customHeight="1" thickBot="1" x14ac:dyDescent="0.4">
      <c r="B13" s="246"/>
      <c r="C13" s="247"/>
      <c r="D13" s="247"/>
      <c r="E13" s="247"/>
      <c r="F13" s="248"/>
      <c r="H13" s="151"/>
    </row>
    <row r="14" spans="2:8" ht="42.5" thickBot="1" x14ac:dyDescent="0.4">
      <c r="B14" s="148" t="s">
        <v>144</v>
      </c>
      <c r="C14" s="149" t="s">
        <v>153</v>
      </c>
      <c r="D14" s="149" t="s">
        <v>154</v>
      </c>
      <c r="E14" s="149" t="s">
        <v>155</v>
      </c>
      <c r="F14" s="150" t="s">
        <v>156</v>
      </c>
    </row>
    <row r="15" spans="2:8" ht="16" thickBot="1" x14ac:dyDescent="0.4">
      <c r="B15" s="143" t="s">
        <v>145</v>
      </c>
      <c r="C15" s="111">
        <v>25</v>
      </c>
      <c r="D15" s="111">
        <v>219</v>
      </c>
      <c r="E15" s="111">
        <v>103</v>
      </c>
      <c r="F15" s="112">
        <v>0.4703</v>
      </c>
    </row>
    <row r="16" spans="2:8" ht="16" thickBot="1" x14ac:dyDescent="0.4">
      <c r="B16" s="144" t="s">
        <v>146</v>
      </c>
      <c r="C16" s="113">
        <v>20</v>
      </c>
      <c r="D16" s="113">
        <v>175.2</v>
      </c>
      <c r="E16" s="113">
        <v>104</v>
      </c>
      <c r="F16" s="114">
        <v>0.59360000000000002</v>
      </c>
    </row>
    <row r="17" spans="2:8" ht="16" thickBot="1" x14ac:dyDescent="0.4">
      <c r="B17" s="143" t="s">
        <v>147</v>
      </c>
      <c r="C17" s="111">
        <v>9.9</v>
      </c>
      <c r="D17" s="111">
        <v>86.724000000000004</v>
      </c>
      <c r="E17" s="111">
        <v>79</v>
      </c>
      <c r="F17" s="112">
        <v>0.91090000000000004</v>
      </c>
    </row>
    <row r="21" spans="2:8" ht="15" thickBot="1" x14ac:dyDescent="0.4"/>
    <row r="22" spans="2:8" ht="19" customHeight="1" thickBot="1" x14ac:dyDescent="0.5">
      <c r="B22" s="241" t="s">
        <v>161</v>
      </c>
      <c r="C22" s="242"/>
      <c r="D22" s="157"/>
      <c r="E22" s="241" t="s">
        <v>99</v>
      </c>
      <c r="F22" s="242"/>
      <c r="G22" s="163"/>
      <c r="H22" s="163"/>
    </row>
    <row r="23" spans="2:8" x14ac:dyDescent="0.35">
      <c r="B23" s="1" t="s">
        <v>162</v>
      </c>
      <c r="C23" s="152">
        <v>1.8700000000000001E-2</v>
      </c>
      <c r="E23" s="120" t="s">
        <v>134</v>
      </c>
      <c r="F23" s="159">
        <v>2.6599999999999999E-2</v>
      </c>
    </row>
    <row r="24" spans="2:8" x14ac:dyDescent="0.35">
      <c r="B24" s="1" t="s">
        <v>163</v>
      </c>
      <c r="C24" s="152">
        <v>3.3999999999999998E-3</v>
      </c>
      <c r="E24" s="120" t="s">
        <v>167</v>
      </c>
      <c r="F24" s="159">
        <f>F23+F25</f>
        <v>7.6600000000000001E-2</v>
      </c>
    </row>
    <row r="25" spans="2:8" ht="30.5" customHeight="1" x14ac:dyDescent="0.35">
      <c r="B25" s="154" t="s">
        <v>164</v>
      </c>
      <c r="C25" s="152">
        <f>C23-C24</f>
        <v>1.5300000000000001E-2</v>
      </c>
      <c r="E25" s="158" t="s">
        <v>168</v>
      </c>
      <c r="F25" s="160">
        <v>0.05</v>
      </c>
    </row>
    <row r="26" spans="2:8" x14ac:dyDescent="0.35">
      <c r="B26" s="1" t="s">
        <v>165</v>
      </c>
      <c r="C26" s="152">
        <v>1.1299999999999999E-2</v>
      </c>
      <c r="E26" s="153" t="s">
        <v>169</v>
      </c>
      <c r="F26" s="1">
        <v>0.63</v>
      </c>
    </row>
    <row r="27" spans="2:8" ht="46.5" customHeight="1" x14ac:dyDescent="0.35">
      <c r="B27" s="155" t="s">
        <v>166</v>
      </c>
      <c r="C27" s="156">
        <f>C25+C26</f>
        <v>2.6599999999999999E-2</v>
      </c>
      <c r="E27" s="161" t="s">
        <v>107</v>
      </c>
      <c r="F27" s="162">
        <f>((F23*(1-0.23)+F26*((F24-(F23*(1-0.23))))))</f>
        <v>5.5836339999999998E-2</v>
      </c>
    </row>
    <row r="31" spans="2:8" ht="15" thickBot="1" x14ac:dyDescent="0.4"/>
    <row r="32" spans="2:8" x14ac:dyDescent="0.35">
      <c r="B32" s="249" t="s">
        <v>171</v>
      </c>
      <c r="C32" s="250"/>
      <c r="D32" s="250"/>
      <c r="E32" s="251"/>
    </row>
    <row r="33" spans="2:5" ht="15" thickBot="1" x14ac:dyDescent="0.4">
      <c r="B33" s="252"/>
      <c r="C33" s="253"/>
      <c r="D33" s="253"/>
      <c r="E33" s="254"/>
    </row>
    <row r="34" spans="2:5" ht="15.5" thickBot="1" x14ac:dyDescent="0.4">
      <c r="B34" s="168" t="s">
        <v>144</v>
      </c>
      <c r="C34" s="169" t="s">
        <v>131</v>
      </c>
      <c r="D34" s="169" t="s">
        <v>170</v>
      </c>
      <c r="E34" s="170" t="s">
        <v>100</v>
      </c>
    </row>
    <row r="35" spans="2:5" ht="16" thickBot="1" x14ac:dyDescent="0.4">
      <c r="B35" s="143" t="s">
        <v>145</v>
      </c>
      <c r="C35" s="164">
        <v>104.68</v>
      </c>
      <c r="D35" s="165">
        <v>5.5800000000000002E-2</v>
      </c>
      <c r="E35" s="165">
        <v>0.1</v>
      </c>
    </row>
    <row r="36" spans="2:5" ht="16" thickBot="1" x14ac:dyDescent="0.4">
      <c r="B36" s="144" t="s">
        <v>146</v>
      </c>
      <c r="C36" s="166">
        <v>142.6</v>
      </c>
      <c r="D36" s="167">
        <v>5.5800000000000002E-2</v>
      </c>
      <c r="E36" s="167">
        <v>0.14480000000000001</v>
      </c>
    </row>
    <row r="37" spans="2:5" ht="16" thickBot="1" x14ac:dyDescent="0.4">
      <c r="B37" s="143" t="s">
        <v>147</v>
      </c>
      <c r="C37" s="164">
        <v>232.41</v>
      </c>
      <c r="D37" s="165">
        <v>5.5800000000000002E-2</v>
      </c>
      <c r="E37" s="165">
        <v>0.35920000000000002</v>
      </c>
    </row>
  </sheetData>
  <mergeCells count="5">
    <mergeCell ref="E22:F22"/>
    <mergeCell ref="B12:F13"/>
    <mergeCell ref="B32:E33"/>
    <mergeCell ref="B22:C22"/>
    <mergeCell ref="B3:H4"/>
  </mergeCells>
  <pageMargins left="0.7" right="0.7" top="0.75" bottom="0.75" header="0.3" footer="0.3"/>
  <pageSetup paperSize="0" orientation="portrait" horizontalDpi="0" verticalDpi="0" copies="0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84B9-90BD-450F-AB82-7A2E10D97F10}">
  <dimension ref="B1:J18"/>
  <sheetViews>
    <sheetView tabSelected="1" workbookViewId="0">
      <selection activeCell="E8" sqref="E8"/>
    </sheetView>
  </sheetViews>
  <sheetFormatPr defaultColWidth="11.54296875" defaultRowHeight="14.5" x14ac:dyDescent="0.35"/>
  <sheetData>
    <row r="1" spans="2:10" ht="15" thickBot="1" x14ac:dyDescent="0.4"/>
    <row r="2" spans="2:10" x14ac:dyDescent="0.35">
      <c r="C2" s="259" t="s">
        <v>177</v>
      </c>
      <c r="D2" s="260"/>
      <c r="E2" s="260"/>
      <c r="F2" s="260"/>
      <c r="G2" s="260"/>
      <c r="H2" s="260"/>
      <c r="I2" s="260"/>
      <c r="J2" s="261"/>
    </row>
    <row r="3" spans="2:10" ht="15" thickBot="1" x14ac:dyDescent="0.4">
      <c r="C3" s="262"/>
      <c r="D3" s="263"/>
      <c r="E3" s="263"/>
      <c r="F3" s="263"/>
      <c r="G3" s="263"/>
      <c r="H3" s="263"/>
      <c r="I3" s="263"/>
      <c r="J3" s="264"/>
    </row>
    <row r="4" spans="2:10" ht="15" thickBot="1" x14ac:dyDescent="0.4">
      <c r="C4" s="64"/>
      <c r="D4" s="1"/>
      <c r="E4" s="1"/>
      <c r="F4" s="1"/>
      <c r="G4" s="1"/>
      <c r="H4" s="1"/>
      <c r="I4" s="1"/>
      <c r="J4" s="63"/>
    </row>
    <row r="5" spans="2:10" ht="19" thickBot="1" x14ac:dyDescent="0.5">
      <c r="B5" s="1"/>
      <c r="C5" s="241" t="s">
        <v>176</v>
      </c>
      <c r="D5" s="255"/>
      <c r="E5" s="256"/>
      <c r="F5" s="1"/>
      <c r="G5" s="1"/>
      <c r="H5" s="1"/>
      <c r="I5" s="1"/>
      <c r="J5" s="63"/>
    </row>
    <row r="6" spans="2:10" ht="14.5" customHeight="1" thickBot="1" x14ac:dyDescent="0.5">
      <c r="B6" s="1"/>
      <c r="C6" s="174" t="s">
        <v>172</v>
      </c>
      <c r="D6" s="146" t="s">
        <v>131</v>
      </c>
      <c r="E6" s="147" t="s">
        <v>100</v>
      </c>
      <c r="F6" s="171"/>
      <c r="G6" s="241" t="s">
        <v>174</v>
      </c>
      <c r="H6" s="257"/>
      <c r="I6" s="257"/>
      <c r="J6" s="258"/>
    </row>
    <row r="7" spans="2:10" ht="14.5" customHeight="1" thickBot="1" x14ac:dyDescent="0.4">
      <c r="B7" s="1"/>
      <c r="C7" s="176">
        <v>0.1</v>
      </c>
      <c r="D7" s="111">
        <v>270.63</v>
      </c>
      <c r="E7" s="112">
        <v>0.42320000000000002</v>
      </c>
      <c r="F7" s="171"/>
      <c r="G7" s="145" t="s">
        <v>173</v>
      </c>
      <c r="H7" s="146" t="s">
        <v>99</v>
      </c>
      <c r="I7" s="146" t="s">
        <v>131</v>
      </c>
      <c r="J7" s="175" t="s">
        <v>100</v>
      </c>
    </row>
    <row r="8" spans="2:10" ht="16" thickBot="1" x14ac:dyDescent="0.4">
      <c r="B8" s="1"/>
      <c r="C8" s="178">
        <v>0.05</v>
      </c>
      <c r="D8" s="113">
        <v>251.52</v>
      </c>
      <c r="E8" s="114">
        <v>0.3906</v>
      </c>
      <c r="F8" s="1"/>
      <c r="G8" s="172">
        <v>0.83</v>
      </c>
      <c r="H8" s="112">
        <v>6.7100000000000007E-2</v>
      </c>
      <c r="I8" s="111">
        <v>181.28</v>
      </c>
      <c r="J8" s="177">
        <v>0.35920000000000002</v>
      </c>
    </row>
    <row r="9" spans="2:10" ht="16" thickBot="1" x14ac:dyDescent="0.4">
      <c r="B9" s="1"/>
      <c r="C9" s="180">
        <v>0</v>
      </c>
      <c r="D9" s="115">
        <v>232.43</v>
      </c>
      <c r="E9" s="116">
        <v>0.35920000000000002</v>
      </c>
      <c r="F9" s="1"/>
      <c r="G9" s="173">
        <v>0.63</v>
      </c>
      <c r="H9" s="116">
        <v>5.5800000000000002E-2</v>
      </c>
      <c r="I9" s="115">
        <v>232.41</v>
      </c>
      <c r="J9" s="179">
        <v>0.35920000000000002</v>
      </c>
    </row>
    <row r="10" spans="2:10" ht="16" thickBot="1" x14ac:dyDescent="0.4">
      <c r="B10" s="1"/>
      <c r="C10" s="178">
        <v>-0.05</v>
      </c>
      <c r="D10" s="113">
        <v>213.31</v>
      </c>
      <c r="E10" s="114">
        <v>0.3291</v>
      </c>
      <c r="F10" s="1"/>
      <c r="G10" s="172">
        <v>0.43</v>
      </c>
      <c r="H10" s="112">
        <v>4.4600000000000001E-2</v>
      </c>
      <c r="I10" s="111">
        <v>307.39999999999998</v>
      </c>
      <c r="J10" s="177">
        <v>0.35920000000000002</v>
      </c>
    </row>
    <row r="11" spans="2:10" ht="16" thickBot="1" x14ac:dyDescent="0.4">
      <c r="B11" s="1"/>
      <c r="C11" s="176">
        <v>-0.1</v>
      </c>
      <c r="D11" s="111">
        <v>194.2</v>
      </c>
      <c r="E11" s="112">
        <v>0.30009999999999998</v>
      </c>
      <c r="F11" s="1"/>
      <c r="G11" s="1"/>
      <c r="H11" s="1"/>
      <c r="I11" s="1"/>
      <c r="J11" s="63"/>
    </row>
    <row r="12" spans="2:10" x14ac:dyDescent="0.35">
      <c r="B12" s="1"/>
      <c r="C12" s="64"/>
      <c r="D12" s="160"/>
      <c r="E12" s="1"/>
      <c r="F12" s="1"/>
      <c r="G12" s="1"/>
      <c r="H12" s="1"/>
      <c r="I12" s="1"/>
      <c r="J12" s="181"/>
    </row>
    <row r="13" spans="2:10" ht="15" thickBot="1" x14ac:dyDescent="0.4">
      <c r="B13" s="1"/>
      <c r="C13" s="64"/>
      <c r="D13" s="160"/>
      <c r="E13" s="1"/>
      <c r="F13" s="1"/>
      <c r="G13" s="1"/>
      <c r="H13" s="1"/>
      <c r="I13" s="1"/>
      <c r="J13" s="63"/>
    </row>
    <row r="14" spans="2:10" ht="19" thickBot="1" x14ac:dyDescent="0.5">
      <c r="C14" s="241" t="s">
        <v>141</v>
      </c>
      <c r="D14" s="255"/>
      <c r="E14" s="256"/>
      <c r="F14" s="1"/>
      <c r="G14" s="241" t="s">
        <v>175</v>
      </c>
      <c r="H14" s="257"/>
      <c r="I14" s="257"/>
      <c r="J14" s="258"/>
    </row>
    <row r="15" spans="2:10" ht="15.5" thickBot="1" x14ac:dyDescent="0.4">
      <c r="C15" s="182" t="s">
        <v>112</v>
      </c>
      <c r="D15" s="109" t="s">
        <v>131</v>
      </c>
      <c r="E15" s="110" t="s">
        <v>100</v>
      </c>
      <c r="F15" s="1"/>
      <c r="G15" s="108" t="s">
        <v>144</v>
      </c>
      <c r="H15" s="109" t="s">
        <v>131</v>
      </c>
      <c r="I15" s="109" t="s">
        <v>170</v>
      </c>
      <c r="J15" s="183" t="s">
        <v>100</v>
      </c>
    </row>
    <row r="16" spans="2:10" ht="16" thickBot="1" x14ac:dyDescent="0.4">
      <c r="C16" s="184" t="s">
        <v>142</v>
      </c>
      <c r="D16" s="111">
        <v>188.45</v>
      </c>
      <c r="E16" s="112">
        <v>0.36259999999999998</v>
      </c>
      <c r="F16" s="1"/>
      <c r="G16" s="143" t="s">
        <v>145</v>
      </c>
      <c r="H16" s="111">
        <v>314.42</v>
      </c>
      <c r="I16" s="112">
        <v>5.5800000000000002E-2</v>
      </c>
      <c r="J16" s="177">
        <v>0.25180000000000002</v>
      </c>
    </row>
    <row r="17" spans="3:10" ht="16" thickBot="1" x14ac:dyDescent="0.4">
      <c r="C17" s="185" t="s">
        <v>137</v>
      </c>
      <c r="D17" s="113">
        <v>209.67</v>
      </c>
      <c r="E17" s="114">
        <v>0.3609</v>
      </c>
      <c r="F17" s="1"/>
      <c r="G17" s="144" t="s">
        <v>146</v>
      </c>
      <c r="H17" s="113">
        <v>261.11</v>
      </c>
      <c r="I17" s="114">
        <v>5.5800000000000002E-2</v>
      </c>
      <c r="J17" s="186">
        <v>0.16059999999999999</v>
      </c>
    </row>
    <row r="18" spans="3:10" ht="16" thickBot="1" x14ac:dyDescent="0.4">
      <c r="C18" s="187" t="s">
        <v>143</v>
      </c>
      <c r="D18" s="188">
        <v>232.41</v>
      </c>
      <c r="E18" s="189">
        <v>0.35920000000000002</v>
      </c>
      <c r="F18" s="89"/>
      <c r="G18" s="190" t="s">
        <v>147</v>
      </c>
      <c r="H18" s="191">
        <v>232.41</v>
      </c>
      <c r="I18" s="192">
        <v>5.5800000000000002E-2</v>
      </c>
      <c r="J18" s="193">
        <v>0.35920000000000002</v>
      </c>
    </row>
  </sheetData>
  <mergeCells count="5">
    <mergeCell ref="C5:E5"/>
    <mergeCell ref="G6:J6"/>
    <mergeCell ref="C14:E14"/>
    <mergeCell ref="G14:J14"/>
    <mergeCell ref="C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38</vt:i4>
      </vt:variant>
    </vt:vector>
  </HeadingPairs>
  <TitlesOfParts>
    <vt:vector size="46" baseType="lpstr">
      <vt:lpstr>Input-data fra Lyse Produksjon</vt:lpstr>
      <vt:lpstr>Beregningene av scenarioer</vt:lpstr>
      <vt:lpstr>Endring i skattelov</vt:lpstr>
      <vt:lpstr>Nåverdi, IRR og Nåverdiprofil</vt:lpstr>
      <vt:lpstr>Sensitivitet - 40 år</vt:lpstr>
      <vt:lpstr>Sensitivet - 50 år</vt:lpstr>
      <vt:lpstr>Fremgangsmåte</vt:lpstr>
      <vt:lpstr>Sensitivitetsanalyse</vt:lpstr>
      <vt:lpstr>avsk</vt:lpstr>
      <vt:lpstr>beta</vt:lpstr>
      <vt:lpstr>disk</vt:lpstr>
      <vt:lpstr>DVc</vt:lpstr>
      <vt:lpstr>DVkost</vt:lpstr>
      <vt:lpstr>DVsats</vt:lpstr>
      <vt:lpstr>DVvolum</vt:lpstr>
      <vt:lpstr>eiendomssats</vt:lpstr>
      <vt:lpstr>grunnr</vt:lpstr>
      <vt:lpstr>grunnrente</vt:lpstr>
      <vt:lpstr>infl</vt:lpstr>
      <vt:lpstr>innmatingssats</vt:lpstr>
      <vt:lpstr>inv</vt:lpstr>
      <vt:lpstr>inve</vt:lpstr>
      <vt:lpstr>invest</vt:lpstr>
      <vt:lpstr>kaprente</vt:lpstr>
      <vt:lpstr>konsensjonsats</vt:lpstr>
      <vt:lpstr>levetid</vt:lpstr>
      <vt:lpstr>llt</vt:lpstr>
      <vt:lpstr>lt</vt:lpstr>
      <vt:lpstr>lånerente</vt:lpstr>
      <vt:lpstr>natursats</vt:lpstr>
      <vt:lpstr>naturskatt</vt:lpstr>
      <vt:lpstr>normrente</vt:lpstr>
      <vt:lpstr>prisprofil</vt:lpstr>
      <vt:lpstr>prpr</vt:lpstr>
      <vt:lpstr>RBc</vt:lpstr>
      <vt:lpstr>Rehabkost</vt:lpstr>
      <vt:lpstr>Rehabvolum</vt:lpstr>
      <vt:lpstr>rf</vt:lpstr>
      <vt:lpstr>riskprem</vt:lpstr>
      <vt:lpstr>rm</vt:lpstr>
      <vt:lpstr>rtk</vt:lpstr>
      <vt:lpstr>selskatt</vt:lpstr>
      <vt:lpstr>skjermrente</vt:lpstr>
      <vt:lpstr>valuta</vt:lpstr>
      <vt:lpstr>voluma</vt:lpstr>
      <vt:lpstr>volumc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Strand</dc:creator>
  <cp:lastModifiedBy>Nora Strand</cp:lastModifiedBy>
  <dcterms:created xsi:type="dcterms:W3CDTF">2018-04-05T08:19:25Z</dcterms:created>
  <dcterms:modified xsi:type="dcterms:W3CDTF">2018-06-03T16:30:38Z</dcterms:modified>
</cp:coreProperties>
</file>