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se_000\Documents\Bachelor\Viktig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G24" i="1" l="1"/>
  <c r="J33" i="1" l="1"/>
  <c r="I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 s="1"/>
  <c r="H27" i="1"/>
  <c r="F27" i="1" s="1"/>
  <c r="G27" i="1"/>
  <c r="D33" i="1"/>
  <c r="H26" i="1"/>
  <c r="G26" i="1"/>
  <c r="F26" i="1"/>
  <c r="H25" i="1"/>
  <c r="G25" i="1"/>
  <c r="F25" i="1"/>
  <c r="M15" i="1" s="1"/>
  <c r="M16" i="1" s="1"/>
  <c r="H24" i="1"/>
  <c r="F24" i="1" s="1"/>
  <c r="S11" i="1" s="1"/>
  <c r="S12" i="1" s="1"/>
  <c r="H23" i="1"/>
  <c r="G23" i="1"/>
  <c r="F23" i="1" s="1"/>
  <c r="H22" i="1"/>
  <c r="F22" i="1" s="1"/>
  <c r="G22" i="1"/>
  <c r="E33" i="1"/>
  <c r="H21" i="1"/>
  <c r="G21" i="1"/>
  <c r="F21" i="1"/>
  <c r="S7" i="1"/>
  <c r="S8" i="1" s="1"/>
  <c r="H20" i="1"/>
  <c r="F20" i="1" s="1"/>
  <c r="P7" i="1" s="1"/>
  <c r="P8" i="1" s="1"/>
  <c r="G20" i="1"/>
  <c r="S19" i="1"/>
  <c r="S20" i="1" s="1"/>
  <c r="H19" i="1"/>
  <c r="H33" i="1" s="1"/>
  <c r="G19" i="1"/>
  <c r="F19" i="1" s="1"/>
  <c r="H18" i="1"/>
  <c r="G18" i="1"/>
  <c r="S3" i="1" s="1"/>
  <c r="S4" i="1" s="1"/>
  <c r="F18" i="1"/>
  <c r="H17" i="1"/>
  <c r="G17" i="1"/>
  <c r="F17" i="1"/>
  <c r="P3" i="1" s="1"/>
  <c r="P4" i="1" s="1"/>
  <c r="H16" i="1"/>
  <c r="G16" i="1"/>
  <c r="G33" i="1" s="1"/>
  <c r="F16" i="1"/>
  <c r="F33" i="1" s="1"/>
  <c r="C33" i="1"/>
  <c r="E10" i="1"/>
  <c r="P15" i="1" s="1"/>
  <c r="P16" i="1" s="1"/>
  <c r="H6" i="1"/>
  <c r="P23" i="1" s="1"/>
  <c r="P24" i="1" s="1"/>
  <c r="M4" i="1"/>
  <c r="M11" i="1" l="1"/>
  <c r="M12" i="1" s="1"/>
  <c r="S15" i="1"/>
  <c r="S16" i="1" s="1"/>
  <c r="M19" i="1"/>
  <c r="M20" i="1" s="1"/>
  <c r="M23" i="1"/>
  <c r="M24" i="1" s="1"/>
  <c r="M7" i="1"/>
  <c r="M8" i="1" s="1"/>
  <c r="P11" i="1"/>
  <c r="P12" i="1" s="1"/>
  <c r="P19" i="1"/>
  <c r="P20" i="1" s="1"/>
  <c r="M27" i="1" l="1"/>
  <c r="M28" i="1" s="1"/>
</calcChain>
</file>

<file path=xl/sharedStrings.xml><?xml version="1.0" encoding="utf-8"?>
<sst xmlns="http://schemas.openxmlformats.org/spreadsheetml/2006/main" count="104" uniqueCount="71">
  <si>
    <t>Variabler</t>
  </si>
  <si>
    <t>Tidsparametere terminal</t>
  </si>
  <si>
    <t>Minutter</t>
  </si>
  <si>
    <t>Rute 1 - Mandag</t>
  </si>
  <si>
    <t>Rute 2 - Mandag</t>
  </si>
  <si>
    <t>Rute 3 - Mandag</t>
  </si>
  <si>
    <t>Lønnskostnad pr min</t>
  </si>
  <si>
    <t>Lasting snile</t>
  </si>
  <si>
    <t>Kostnad</t>
  </si>
  <si>
    <t>Lastebilkostnad pr min</t>
  </si>
  <si>
    <t>Lossing snile</t>
  </si>
  <si>
    <t>Kostnad pr kilo</t>
  </si>
  <si>
    <t>Truckkostnad pr min</t>
  </si>
  <si>
    <t>Lossing truck</t>
  </si>
  <si>
    <t>Snilekostnad pr min</t>
  </si>
  <si>
    <t>Lossing</t>
  </si>
  <si>
    <t>Rute 4 - Tirsdag</t>
  </si>
  <si>
    <t>Rute 5 - Tirsdag</t>
  </si>
  <si>
    <t>Rute 6 - Tirsdag</t>
  </si>
  <si>
    <t>Dieselkostnad pr km</t>
  </si>
  <si>
    <t>Sortering pr detaljist</t>
  </si>
  <si>
    <t>Rep. Og vedlikehold pr km</t>
  </si>
  <si>
    <t>Dekkostnad pr km</t>
  </si>
  <si>
    <t xml:space="preserve">Tidsligninig levering </t>
  </si>
  <si>
    <t>Totale variable kostnader pr km</t>
  </si>
  <si>
    <t>Konstantledd</t>
  </si>
  <si>
    <t>Rute 7 - Onsdag</t>
  </si>
  <si>
    <t>Rute 8 - Onsdag</t>
  </si>
  <si>
    <t>Rute 9 - Onsdag</t>
  </si>
  <si>
    <t>Terminalkostnad pr detaljist</t>
  </si>
  <si>
    <t>Antall paller</t>
  </si>
  <si>
    <t>Andre indirekte kostnader pr detaljist</t>
  </si>
  <si>
    <t>Antall paller i retur</t>
  </si>
  <si>
    <t>Plukking</t>
  </si>
  <si>
    <t>Rute 10 - Onsdag</t>
  </si>
  <si>
    <t>Rute 11 - Torsdag</t>
  </si>
  <si>
    <t>Rute 12 - Torsdag</t>
  </si>
  <si>
    <t>Informasjon</t>
  </si>
  <si>
    <t>Distanse</t>
  </si>
  <si>
    <t>Kjøretid</t>
  </si>
  <si>
    <t>Bompenger</t>
  </si>
  <si>
    <t>Leveringstid</t>
  </si>
  <si>
    <t>Paller levert</t>
  </si>
  <si>
    <t>Paller returnert</t>
  </si>
  <si>
    <t>Kilo levert</t>
  </si>
  <si>
    <t>Antall detaljister</t>
  </si>
  <si>
    <t>Rute 1</t>
  </si>
  <si>
    <t>Rute 2</t>
  </si>
  <si>
    <t>Rute 3</t>
  </si>
  <si>
    <t>Rute 13 - Torsdag</t>
  </si>
  <si>
    <t>Rute 14 - Fredag</t>
  </si>
  <si>
    <t>Rute 15 - Fredag</t>
  </si>
  <si>
    <t>Rute 4</t>
  </si>
  <si>
    <t>Rute 5</t>
  </si>
  <si>
    <t>Rute 6</t>
  </si>
  <si>
    <t>Rute 7</t>
  </si>
  <si>
    <t>Rute 16 - Fredag</t>
  </si>
  <si>
    <t>Rute 17 - Fredag</t>
  </si>
  <si>
    <t>Rute 8</t>
  </si>
  <si>
    <t>Rute 9</t>
  </si>
  <si>
    <t>Rute 10</t>
  </si>
  <si>
    <t>Rute 11</t>
  </si>
  <si>
    <t>Rute 12</t>
  </si>
  <si>
    <t>Totale kostnader per uke</t>
  </si>
  <si>
    <t>Rute 13</t>
  </si>
  <si>
    <t>Kostnad per kilo</t>
  </si>
  <si>
    <t>Rute 14</t>
  </si>
  <si>
    <t>Rute 15</t>
  </si>
  <si>
    <t>Rute 16</t>
  </si>
  <si>
    <t>Rute 17</t>
  </si>
  <si>
    <t>Totalt per 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</si>
</sst>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&quot;kr&quot;\ * #,##0.000_-;\-&quot;kr&quot;\ * #,##0.000_-;_-&quot;kr&quot;\ * &quot;-&quot;???_-;_-@_-"/>
    <numFmt numFmtId="165" formatCode="_-&quot;kr&quot;\ * #,##0.00_-;\-&quot;kr&quot;\ * #,##0.00_-;_-&quot;kr&quot;\ * &quot;-&quot;???_-;_-@_-"/>
    <numFmt numFmtId="166" formatCode="_-&quot;kr&quot;\ * #,##0.00_-;\-&quot;kr&quot;\ * #,##0.00_-;_-&quot;kr&quot;\ * &quot;-&quot;????_-;_-@_-"/>
    <numFmt numFmtId="167" formatCode="0.0"/>
    <numFmt numFmtId="168" formatCode="_-&quot;kr&quot;\ * #,##0.0000_-;\-&quot;kr&quot;\ * #,##0.0000_-;_-&quot;kr&quot;\ * &quot;-&quot;??_-;_-@_-"/>
    <numFmt numFmtId="169" formatCode="_-* #,##0.0000_-;\-* #,##0.0000_-;_-* &quot;-&quot;????_-;_-@_-"/>
    <numFmt numFmtId="170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2" tint="-0.499984740745262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2" fillId="2" borderId="3" xfId="0" applyFont="1" applyFill="1" applyBorder="1" applyAlignment="1">
      <alignment horizontal="right"/>
    </xf>
    <xf numFmtId="0" fontId="2" fillId="0" borderId="1" xfId="0" applyFont="1" applyFill="1" applyBorder="1"/>
    <xf numFmtId="0" fontId="3" fillId="0" borderId="3" xfId="0" applyFont="1" applyFill="1" applyBorder="1"/>
    <xf numFmtId="0" fontId="2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44" fontId="3" fillId="0" borderId="5" xfId="0" applyNumberFormat="1" applyFont="1" applyBorder="1"/>
    <xf numFmtId="2" fontId="3" fillId="0" borderId="5" xfId="0" applyNumberFormat="1" applyFont="1" applyBorder="1"/>
    <xf numFmtId="44" fontId="3" fillId="0" borderId="0" xfId="0" applyNumberFormat="1" applyFont="1"/>
    <xf numFmtId="44" fontId="3" fillId="0" borderId="0" xfId="0" applyNumberFormat="1" applyFont="1" applyBorder="1"/>
    <xf numFmtId="0" fontId="4" fillId="0" borderId="6" xfId="0" applyFont="1" applyBorder="1"/>
    <xf numFmtId="2" fontId="4" fillId="0" borderId="7" xfId="0" applyNumberFormat="1" applyFont="1" applyBorder="1"/>
    <xf numFmtId="0" fontId="3" fillId="0" borderId="0" xfId="0" applyFont="1" applyAlignment="1">
      <alignment horizontal="left"/>
    </xf>
    <xf numFmtId="0" fontId="3" fillId="0" borderId="8" xfId="0" applyFont="1" applyBorder="1"/>
    <xf numFmtId="44" fontId="3" fillId="0" borderId="9" xfId="0" applyNumberFormat="1" applyFont="1" applyBorder="1"/>
    <xf numFmtId="0" fontId="4" fillId="0" borderId="4" xfId="0" applyFont="1" applyBorder="1"/>
    <xf numFmtId="2" fontId="4" fillId="0" borderId="5" xfId="0" applyNumberFormat="1" applyFont="1" applyBorder="1"/>
    <xf numFmtId="0" fontId="4" fillId="0" borderId="10" xfId="0" applyFont="1" applyBorder="1"/>
    <xf numFmtId="44" fontId="4" fillId="0" borderId="7" xfId="0" applyNumberFormat="1" applyFont="1" applyBorder="1"/>
    <xf numFmtId="2" fontId="3" fillId="0" borderId="9" xfId="0" applyNumberFormat="1" applyFont="1" applyBorder="1"/>
    <xf numFmtId="164" fontId="3" fillId="0" borderId="5" xfId="0" applyNumberFormat="1" applyFont="1" applyBorder="1"/>
    <xf numFmtId="0" fontId="4" fillId="0" borderId="0" xfId="0" applyFont="1" applyBorder="1"/>
    <xf numFmtId="44" fontId="4" fillId="0" borderId="5" xfId="0" applyNumberFormat="1" applyFont="1" applyBorder="1"/>
    <xf numFmtId="165" fontId="3" fillId="0" borderId="9" xfId="0" applyNumberFormat="1" applyFont="1" applyBorder="1"/>
    <xf numFmtId="0" fontId="2" fillId="0" borderId="8" xfId="0" applyFont="1" applyBorder="1"/>
    <xf numFmtId="0" fontId="3" fillId="0" borderId="11" xfId="0" applyFont="1" applyBorder="1"/>
    <xf numFmtId="44" fontId="2" fillId="0" borderId="9" xfId="0" applyNumberFormat="1" applyFont="1" applyBorder="1"/>
    <xf numFmtId="166" fontId="3" fillId="0" borderId="5" xfId="0" applyNumberFormat="1" applyFont="1" applyBorder="1"/>
    <xf numFmtId="0" fontId="3" fillId="0" borderId="0" xfId="0" applyFont="1" applyFill="1"/>
    <xf numFmtId="166" fontId="3" fillId="0" borderId="9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2" xfId="0" applyFont="1" applyBorder="1"/>
    <xf numFmtId="167" fontId="3" fillId="0" borderId="0" xfId="0" applyNumberFormat="1" applyFont="1" applyBorder="1"/>
    <xf numFmtId="1" fontId="3" fillId="0" borderId="0" xfId="0" applyNumberFormat="1" applyFont="1"/>
    <xf numFmtId="2" fontId="3" fillId="0" borderId="0" xfId="0" applyNumberFormat="1" applyFont="1" applyBorder="1"/>
    <xf numFmtId="0" fontId="3" fillId="0" borderId="10" xfId="0" applyFont="1" applyBorder="1"/>
    <xf numFmtId="167" fontId="3" fillId="0" borderId="10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/>
    <xf numFmtId="1" fontId="3" fillId="0" borderId="0" xfId="0" applyNumberFormat="1" applyFont="1" applyBorder="1"/>
    <xf numFmtId="2" fontId="3" fillId="0" borderId="0" xfId="0" applyNumberFormat="1" applyFont="1"/>
    <xf numFmtId="0" fontId="2" fillId="0" borderId="6" xfId="0" applyFont="1" applyBorder="1"/>
    <xf numFmtId="167" fontId="3" fillId="0" borderId="0" xfId="0" applyNumberFormat="1" applyFont="1"/>
    <xf numFmtId="0" fontId="3" fillId="0" borderId="6" xfId="0" applyFont="1" applyBorder="1"/>
    <xf numFmtId="166" fontId="3" fillId="0" borderId="7" xfId="0" applyNumberFormat="1" applyFont="1" applyBorder="1"/>
    <xf numFmtId="44" fontId="5" fillId="0" borderId="7" xfId="0" applyNumberFormat="1" applyFont="1" applyBorder="1"/>
    <xf numFmtId="0" fontId="2" fillId="3" borderId="6" xfId="0" applyFont="1" applyFill="1" applyBorder="1"/>
    <xf numFmtId="44" fontId="2" fillId="3" borderId="7" xfId="1" applyNumberFormat="1" applyFont="1" applyFill="1" applyBorder="1"/>
    <xf numFmtId="0" fontId="2" fillId="3" borderId="8" xfId="0" applyFont="1" applyFill="1" applyBorder="1"/>
    <xf numFmtId="168" fontId="2" fillId="3" borderId="9" xfId="0" applyNumberFormat="1" applyFont="1" applyFill="1" applyBorder="1"/>
    <xf numFmtId="169" fontId="3" fillId="0" borderId="0" xfId="0" applyNumberFormat="1" applyFont="1"/>
    <xf numFmtId="0" fontId="3" fillId="0" borderId="14" xfId="0" applyFont="1" applyBorder="1"/>
    <xf numFmtId="167" fontId="3" fillId="0" borderId="11" xfId="0" applyNumberFormat="1" applyFont="1" applyBorder="1"/>
    <xf numFmtId="1" fontId="3" fillId="0" borderId="11" xfId="0" applyNumberFormat="1" applyFont="1" applyBorder="1"/>
    <xf numFmtId="2" fontId="3" fillId="0" borderId="11" xfId="0" applyNumberFormat="1" applyFont="1" applyBorder="1"/>
    <xf numFmtId="0" fontId="3" fillId="0" borderId="15" xfId="0" applyFont="1" applyBorder="1"/>
    <xf numFmtId="2" fontId="3" fillId="0" borderId="2" xfId="0" applyNumberFormat="1" applyFont="1" applyBorder="1"/>
    <xf numFmtId="43" fontId="3" fillId="0" borderId="2" xfId="1" applyFont="1" applyBorder="1"/>
    <xf numFmtId="170" fontId="3" fillId="0" borderId="0" xfId="0" applyNumberFormat="1" applyFont="1"/>
    <xf numFmtId="43" fontId="3" fillId="0" borderId="0" xfId="0" applyNumberFormat="1" applyFont="1"/>
    <xf numFmtId="43" fontId="3" fillId="0" borderId="0" xfId="1" applyFont="1"/>
    <xf numFmtId="43" fontId="3" fillId="0" borderId="0" xfId="1" applyFont="1" applyBorder="1"/>
    <xf numFmtId="44" fontId="3" fillId="0" borderId="0" xfId="2" applyFont="1"/>
    <xf numFmtId="168" fontId="3" fillId="0" borderId="0" xfId="0" applyNumberFormat="1" applyFont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8"/>
  <sheetViews>
    <sheetView showGridLines="0" tabSelected="1" topLeftCell="E1" zoomScale="80" zoomScaleNormal="80" workbookViewId="0">
      <selection activeCell="J7" sqref="J7"/>
    </sheetView>
  </sheetViews>
  <sheetFormatPr baseColWidth="10" defaultRowHeight="15" x14ac:dyDescent="0.25"/>
  <cols>
    <col min="1" max="1" width="5.42578125" style="4" customWidth="1"/>
    <col min="2" max="2" width="13.85546875" style="4" customWidth="1"/>
    <col min="3" max="3" width="11.42578125" style="4" customWidth="1"/>
    <col min="4" max="4" width="11.42578125" style="4"/>
    <col min="5" max="6" width="13" style="4" customWidth="1"/>
    <col min="7" max="7" width="24.140625" style="4" customWidth="1"/>
    <col min="8" max="8" width="15.85546875" style="4" customWidth="1"/>
    <col min="9" max="9" width="16.28515625" style="4" bestFit="1" customWidth="1"/>
    <col min="10" max="10" width="17.7109375" style="4" customWidth="1"/>
    <col min="11" max="11" width="3.28515625" style="4" customWidth="1"/>
    <col min="12" max="12" width="24.7109375" style="4" customWidth="1"/>
    <col min="13" max="13" width="14.5703125" style="4" customWidth="1"/>
    <col min="14" max="14" width="12.42578125" style="4" bestFit="1" customWidth="1"/>
    <col min="15" max="15" width="15.42578125" style="4" customWidth="1"/>
    <col min="16" max="16" width="14" style="4" customWidth="1"/>
    <col min="17" max="17" width="12.42578125" style="4" bestFit="1" customWidth="1"/>
    <col min="18" max="18" width="15.5703125" style="4" customWidth="1"/>
    <col min="19" max="19" width="14.28515625" style="4" customWidth="1"/>
    <col min="20" max="20" width="13.5703125" style="4" customWidth="1"/>
    <col min="21" max="16384" width="11.42578125" style="4"/>
  </cols>
  <sheetData>
    <row r="2" spans="2:21" x14ac:dyDescent="0.25">
      <c r="B2" s="1" t="s">
        <v>0</v>
      </c>
      <c r="C2" s="2"/>
      <c r="D2" s="2"/>
      <c r="E2" s="3"/>
      <c r="G2" s="1" t="s">
        <v>1</v>
      </c>
      <c r="H2" s="5" t="s">
        <v>2</v>
      </c>
      <c r="L2" s="6" t="s">
        <v>3</v>
      </c>
      <c r="M2" s="7"/>
      <c r="O2" s="8" t="s">
        <v>4</v>
      </c>
      <c r="P2" s="9"/>
      <c r="R2" s="8" t="s">
        <v>5</v>
      </c>
      <c r="S2" s="9"/>
    </row>
    <row r="3" spans="2:21" x14ac:dyDescent="0.25">
      <c r="B3" s="10" t="s">
        <v>6</v>
      </c>
      <c r="C3" s="11"/>
      <c r="D3" s="11"/>
      <c r="E3" s="12">
        <v>5.22</v>
      </c>
      <c r="G3" s="10" t="s">
        <v>7</v>
      </c>
      <c r="H3" s="13">
        <v>0.95250000000000001</v>
      </c>
      <c r="L3" s="10" t="s">
        <v>8</v>
      </c>
      <c r="M3" s="12">
        <f>((E11+E12)*J16)+(H6*G16*((E5+E6)/2))+(H6*G16*E3)+(H7*E6*J16)+(H7*E3*J16)+(H3*G16*E6)+(H3*G16*E3)+(D16*E4)+(D16*E3)+(C16*E10)+E16+(F16*E6)+(F16*E3)</f>
        <v>4932.6719244257501</v>
      </c>
      <c r="N3" s="14"/>
      <c r="O3" s="10" t="s">
        <v>8</v>
      </c>
      <c r="P3" s="12">
        <f>((E11+E12)*J17)+(H6*G17*((E5+E6)/2))+(H6*G17*E3)+(H7*E6*J17)+(H7*E3*J17)+(H3*G17*E6)+(H3*G17*E3)+(D17*E4)+(D17*E3)+(C17*E10)+E17+(F17*E6)+(F17*E3)</f>
        <v>8187.4343298079375</v>
      </c>
      <c r="Q3" s="14"/>
      <c r="R3" s="10" t="s">
        <v>8</v>
      </c>
      <c r="S3" s="12">
        <f>((E11+E12)*J18)+(H6*G18*((E5+E6)/2))+(H6*G18*E3)+(H7*E6*J18)+(H7*E3*J18)+(H3*G18*E6)+(H3*G18*E3)+(D18*E4)+(D18*E3)+(C18*E10)+E18+(F18*E6)+(F18*E3)</f>
        <v>6846.8754110535001</v>
      </c>
      <c r="T3" s="15"/>
      <c r="U3" s="11"/>
    </row>
    <row r="4" spans="2:21" x14ac:dyDescent="0.25">
      <c r="B4" s="10" t="s">
        <v>9</v>
      </c>
      <c r="C4" s="11"/>
      <c r="D4" s="11"/>
      <c r="E4" s="12">
        <v>0.92300000000000004</v>
      </c>
      <c r="G4" s="16" t="s">
        <v>10</v>
      </c>
      <c r="H4" s="17">
        <v>0.63105</v>
      </c>
      <c r="I4" s="18"/>
      <c r="L4" s="19" t="s">
        <v>11</v>
      </c>
      <c r="M4" s="20">
        <f>M3/I16</f>
        <v>2.0309592317109901</v>
      </c>
      <c r="O4" s="19" t="s">
        <v>11</v>
      </c>
      <c r="P4" s="20">
        <f>P3/I17</f>
        <v>3.3955567429798768</v>
      </c>
      <c r="R4" s="19" t="s">
        <v>11</v>
      </c>
      <c r="S4" s="20">
        <f>S3/I18</f>
        <v>2.0403474080392106</v>
      </c>
      <c r="T4" s="15"/>
      <c r="U4" s="11"/>
    </row>
    <row r="5" spans="2:21" x14ac:dyDescent="0.25">
      <c r="B5" s="10" t="s">
        <v>12</v>
      </c>
      <c r="C5" s="11"/>
      <c r="D5" s="11"/>
      <c r="E5" s="12">
        <v>1.1040000000000001</v>
      </c>
      <c r="G5" s="21" t="s">
        <v>13</v>
      </c>
      <c r="H5" s="22">
        <v>1.0229999999999999</v>
      </c>
      <c r="T5" s="15"/>
      <c r="U5" s="11"/>
    </row>
    <row r="6" spans="2:21" x14ac:dyDescent="0.25">
      <c r="B6" s="10" t="s">
        <v>14</v>
      </c>
      <c r="C6" s="11"/>
      <c r="D6" s="11"/>
      <c r="E6" s="12">
        <v>0.29330000000000001</v>
      </c>
      <c r="G6" s="10" t="s">
        <v>15</v>
      </c>
      <c r="H6" s="13">
        <f>AVERAGE(H4,H5)</f>
        <v>0.8270249999999999</v>
      </c>
      <c r="L6" s="8" t="s">
        <v>16</v>
      </c>
      <c r="M6" s="9"/>
      <c r="O6" s="8" t="s">
        <v>17</v>
      </c>
      <c r="P6" s="9"/>
      <c r="R6" s="8" t="s">
        <v>18</v>
      </c>
      <c r="S6" s="9"/>
      <c r="T6" s="15"/>
      <c r="U6" s="11"/>
    </row>
    <row r="7" spans="2:21" x14ac:dyDescent="0.25">
      <c r="B7" s="16" t="s">
        <v>19</v>
      </c>
      <c r="C7" s="23"/>
      <c r="D7" s="23"/>
      <c r="E7" s="24">
        <v>3.5</v>
      </c>
      <c r="G7" s="19" t="s">
        <v>20</v>
      </c>
      <c r="H7" s="25">
        <v>0.96699999999999997</v>
      </c>
      <c r="L7" s="10" t="s">
        <v>8</v>
      </c>
      <c r="M7" s="26">
        <f>((E11+E12)*J19)+(H6*G19*((E5+E6)/2))+(H6*G19*E3)+(H7*E6*J19)+(H7*E3*J19)+(H3*G19*E6)+(H3*G19*E3)+(D19*E4)+(D19*E3)+(C19*E10)+E19+(F19*E6)+(F19*E3)</f>
        <v>2156.4816536339999</v>
      </c>
      <c r="O7" s="10" t="s">
        <v>8</v>
      </c>
      <c r="P7" s="12">
        <f>((E11+E12)*J20)+(H6*G20*((E5+E6)/2))+(H6*G20*E3)+(H7*E6*J20)+(H7*E3*J20)+(H3*G20*E6)+(H3*G20*E3)+(D20*E4)+(D20*E3)+(C20*E10)+E20+(F20*E6)+(F20*E3)</f>
        <v>2173.1097400174999</v>
      </c>
      <c r="R7" s="10" t="s">
        <v>8</v>
      </c>
      <c r="S7" s="12">
        <f>((E11+E12)*J21)+(H6*G21*((E5+E6)/2))+(H6*G21*E3)+(H7*E6*J21)+(H7*E3*J21)+(H3*G21*E6)+(H3*G21*E3)+(D21*E4)+(D21*E3)+(C21*E10)+E21+(F21*E6)+(F21*E3)</f>
        <v>3651.68571955875</v>
      </c>
      <c r="T7" s="15"/>
      <c r="U7" s="11"/>
    </row>
    <row r="8" spans="2:21" x14ac:dyDescent="0.25">
      <c r="B8" s="21" t="s">
        <v>21</v>
      </c>
      <c r="C8" s="27"/>
      <c r="D8" s="27"/>
      <c r="E8" s="28">
        <v>3</v>
      </c>
      <c r="L8" s="19" t="s">
        <v>11</v>
      </c>
      <c r="M8" s="29">
        <f>M7/I19</f>
        <v>0.71009774954361049</v>
      </c>
      <c r="O8" s="19" t="s">
        <v>11</v>
      </c>
      <c r="P8" s="20">
        <f>P7/I20</f>
        <v>0.74434566996889873</v>
      </c>
      <c r="R8" s="19" t="s">
        <v>11</v>
      </c>
      <c r="S8" s="20">
        <f>S7/I21</f>
        <v>0.87490673236828542</v>
      </c>
      <c r="T8" s="15"/>
      <c r="U8" s="11"/>
    </row>
    <row r="9" spans="2:21" x14ac:dyDescent="0.25">
      <c r="B9" s="21" t="s">
        <v>22</v>
      </c>
      <c r="C9" s="27"/>
      <c r="D9" s="27"/>
      <c r="E9" s="28">
        <v>0.6</v>
      </c>
      <c r="G9" s="1" t="s">
        <v>23</v>
      </c>
      <c r="H9" s="5" t="s">
        <v>2</v>
      </c>
      <c r="T9" s="15"/>
      <c r="U9" s="11"/>
    </row>
    <row r="10" spans="2:21" x14ac:dyDescent="0.25">
      <c r="B10" s="30" t="s">
        <v>24</v>
      </c>
      <c r="C10" s="31"/>
      <c r="D10" s="31"/>
      <c r="E10" s="32">
        <f>SUM(E7:E9)</f>
        <v>7.1</v>
      </c>
      <c r="G10" s="10" t="s">
        <v>25</v>
      </c>
      <c r="H10" s="13">
        <v>5.1189999999999998</v>
      </c>
      <c r="L10" s="8" t="s">
        <v>26</v>
      </c>
      <c r="M10" s="9"/>
      <c r="O10" s="8" t="s">
        <v>27</v>
      </c>
      <c r="P10" s="9"/>
      <c r="R10" s="8" t="s">
        <v>28</v>
      </c>
      <c r="S10" s="9"/>
      <c r="T10" s="15"/>
      <c r="U10" s="11"/>
    </row>
    <row r="11" spans="2:21" x14ac:dyDescent="0.25">
      <c r="B11" s="10" t="s">
        <v>29</v>
      </c>
      <c r="C11" s="11"/>
      <c r="D11" s="11"/>
      <c r="E11" s="12">
        <v>27.5</v>
      </c>
      <c r="G11" s="10" t="s">
        <v>30</v>
      </c>
      <c r="H11" s="13">
        <v>1.9830000000000001</v>
      </c>
      <c r="L11" s="10" t="s">
        <v>8</v>
      </c>
      <c r="M11" s="33">
        <f>((E11+E12)*J22)+(H6*G22*((E5+E6)/2))+(H6*G22*E3)+(H7*E6*J22)+(H7*E3*J22)+(H3*G22*E6)+(H3*G22*E3)+(D22*E4)+(D22*E3)+(C22*E10)+E22+(F22*E6)+(F22*E3)</f>
        <v>4471.5165030478747</v>
      </c>
      <c r="O11" s="10" t="s">
        <v>8</v>
      </c>
      <c r="P11" s="33">
        <f>((E11+E12)*J23)+(H6*G23*((E5+E6)/2))+(H6*G23*E3)+(H7*E6*J23)+(H7*E3*J23)+(H3*G23*E6)+(H3*G23*E3)+(D23*E4)+(D23*E3)+(C23*E10)+E23+(F23*E6)+(F23*E3)</f>
        <v>7677.7280918624983</v>
      </c>
      <c r="R11" s="10" t="s">
        <v>8</v>
      </c>
      <c r="S11" s="12">
        <f>((E11+E12)*J24)+(H6*G24*((E5+E6)/2))+(H6*G24*E3)+(H7*E6*J24)+(H7*E3*J24)+(H3*G24*E6)+(H3*G24*E3)+(D24*E4)+(D24*E3)+(C24*E10)+E24+(F24*E6)+(F24*E3)</f>
        <v>6200.4057755644999</v>
      </c>
      <c r="T11" s="15"/>
      <c r="U11" s="11"/>
    </row>
    <row r="12" spans="2:21" x14ac:dyDescent="0.25">
      <c r="B12" s="19" t="s">
        <v>31</v>
      </c>
      <c r="C12" s="31"/>
      <c r="D12" s="31"/>
      <c r="E12" s="20">
        <v>72.900000000000006</v>
      </c>
      <c r="F12" s="34"/>
      <c r="G12" s="10" t="s">
        <v>32</v>
      </c>
      <c r="H12" s="13">
        <v>0.55200000000000005</v>
      </c>
      <c r="L12" s="19" t="s">
        <v>11</v>
      </c>
      <c r="M12" s="35">
        <f>M11/I22</f>
        <v>0.7822943898682404</v>
      </c>
      <c r="O12" s="19" t="s">
        <v>11</v>
      </c>
      <c r="P12" s="35">
        <f>P11/I23</f>
        <v>1.6002267850231349</v>
      </c>
      <c r="R12" s="19" t="s">
        <v>11</v>
      </c>
      <c r="S12" s="20">
        <f>S11/I24</f>
        <v>4.8653529312339137</v>
      </c>
      <c r="T12" s="15"/>
      <c r="U12" s="11"/>
    </row>
    <row r="13" spans="2:21" x14ac:dyDescent="0.25">
      <c r="G13" s="19" t="s">
        <v>33</v>
      </c>
      <c r="H13" s="25">
        <v>3.9390000000000001</v>
      </c>
      <c r="T13" s="15"/>
      <c r="U13" s="11"/>
    </row>
    <row r="14" spans="2:21" x14ac:dyDescent="0.25">
      <c r="L14" s="8" t="s">
        <v>34</v>
      </c>
      <c r="M14" s="9"/>
      <c r="O14" s="8" t="s">
        <v>35</v>
      </c>
      <c r="P14" s="9"/>
      <c r="R14" s="8" t="s">
        <v>36</v>
      </c>
      <c r="S14" s="9"/>
      <c r="T14" s="15"/>
      <c r="U14" s="11"/>
    </row>
    <row r="15" spans="2:21" x14ac:dyDescent="0.25">
      <c r="B15" s="36" t="s">
        <v>37</v>
      </c>
      <c r="C15" s="37" t="s">
        <v>38</v>
      </c>
      <c r="D15" s="37" t="s">
        <v>39</v>
      </c>
      <c r="E15" s="37" t="s">
        <v>40</v>
      </c>
      <c r="F15" s="37" t="s">
        <v>41</v>
      </c>
      <c r="G15" s="37" t="s">
        <v>42</v>
      </c>
      <c r="H15" s="37" t="s">
        <v>43</v>
      </c>
      <c r="I15" s="37" t="s">
        <v>44</v>
      </c>
      <c r="J15" s="38" t="s">
        <v>45</v>
      </c>
      <c r="L15" s="10" t="s">
        <v>8</v>
      </c>
      <c r="M15" s="33">
        <f>((E11+E12)*J25)+(H6*G25*((E5+E6)/2))+(H6*G25*E3)+(H7*E6*J25)+(H7*E3*J25)+(H3*G25*E6)+(H3*G25*E3)+(D25*E4)+(D25*E3)+(C25*E10)+E25+(F25*E6)+(F25*E3)</f>
        <v>3204.3115412724997</v>
      </c>
      <c r="O15" s="10" t="s">
        <v>8</v>
      </c>
      <c r="P15" s="12">
        <f>((E11+E12)*J26)+(H6*G26*((E5+E6)/2))+(H6*G26*E3)+(H7*E6*J26)+(H7*E3*J26)+(H3*G26*E6)+(H3*G26*E3)+(D26*E4)+(D26*E3)+(C26*E10)+E26+(F26*E6)+(F26*E3)</f>
        <v>2822.7812788249994</v>
      </c>
      <c r="R15" s="10" t="s">
        <v>8</v>
      </c>
      <c r="S15" s="12">
        <f>((E11+E12)*J27)+(H6*G27*((E5+E6)/2))+(H6*G27*E3)+(H7*E6*J27)+(H7*E3*J27)+(H3*G27*E6)+(H3*G27*E3)+(D27*E4)+(D27*E3)+(C27*E10)+E27+(F27*E6)+(F27*E3)</f>
        <v>5608.1323475669997</v>
      </c>
      <c r="T15" s="15"/>
      <c r="U15" s="11"/>
    </row>
    <row r="16" spans="2:21" x14ac:dyDescent="0.25">
      <c r="B16" s="39" t="s">
        <v>46</v>
      </c>
      <c r="C16" s="40">
        <v>255.5</v>
      </c>
      <c r="D16" s="41">
        <v>291</v>
      </c>
      <c r="E16" s="42">
        <v>218.7</v>
      </c>
      <c r="F16" s="42">
        <f>((($H$10*J16)+($H$11*G16)+($H$12*H16)+($H$13*0.55*J16)))</f>
        <v>67.913700000000006</v>
      </c>
      <c r="G16" s="43">
        <f>1.7*J16</f>
        <v>10.199999999999999</v>
      </c>
      <c r="H16" s="44">
        <f>1.2*J16</f>
        <v>7.1999999999999993</v>
      </c>
      <c r="I16" s="42">
        <v>2428.7399999999998</v>
      </c>
      <c r="J16" s="45">
        <v>6</v>
      </c>
      <c r="L16" s="19" t="s">
        <v>11</v>
      </c>
      <c r="M16" s="20">
        <f>M15/I25</f>
        <v>0.63832178754009039</v>
      </c>
      <c r="O16" s="19" t="s">
        <v>11</v>
      </c>
      <c r="P16" s="20">
        <f>P15/I26</f>
        <v>0.61619325012551829</v>
      </c>
      <c r="R16" s="19" t="s">
        <v>11</v>
      </c>
      <c r="S16" s="20">
        <f>S15/I27</f>
        <v>1.6805709094188261</v>
      </c>
      <c r="T16" s="15"/>
      <c r="U16" s="11"/>
    </row>
    <row r="17" spans="2:21" x14ac:dyDescent="0.25">
      <c r="B17" s="46" t="s">
        <v>47</v>
      </c>
      <c r="C17" s="40">
        <v>501.1</v>
      </c>
      <c r="D17" s="47">
        <v>502</v>
      </c>
      <c r="E17" s="48">
        <v>218.7</v>
      </c>
      <c r="F17" s="42">
        <f>((($H$10*J17)+($H$11*G17)+($H$12*H17)+($H$13*0.5*J17)))</f>
        <v>82.640950000000004</v>
      </c>
      <c r="G17" s="11">
        <f>1.85*J17</f>
        <v>12.950000000000001</v>
      </c>
      <c r="H17" s="40">
        <f>1.9*J17</f>
        <v>13.299999999999999</v>
      </c>
      <c r="I17" s="11">
        <v>2411.2199999999998</v>
      </c>
      <c r="J17" s="45">
        <v>7</v>
      </c>
      <c r="T17" s="15"/>
      <c r="U17" s="11"/>
    </row>
    <row r="18" spans="2:21" x14ac:dyDescent="0.25">
      <c r="B18" s="46" t="s">
        <v>48</v>
      </c>
      <c r="C18" s="40">
        <v>398.6</v>
      </c>
      <c r="D18" s="47">
        <v>410</v>
      </c>
      <c r="E18" s="42">
        <v>253</v>
      </c>
      <c r="F18" s="42">
        <f>((($H$10*J18)+($H$11*G18)+($H$12*H18)+($H$13*0.5*J18)))</f>
        <v>82.076999999999998</v>
      </c>
      <c r="G18" s="11">
        <f>2.6*J18</f>
        <v>15.600000000000001</v>
      </c>
      <c r="H18" s="40">
        <f>2.6*J18</f>
        <v>15.600000000000001</v>
      </c>
      <c r="I18" s="11">
        <v>3355.74</v>
      </c>
      <c r="J18" s="45">
        <v>6</v>
      </c>
      <c r="L18" s="49" t="s">
        <v>49</v>
      </c>
      <c r="M18" s="9"/>
      <c r="O18" s="8" t="s">
        <v>50</v>
      </c>
      <c r="P18" s="9"/>
      <c r="R18" s="8" t="s">
        <v>51</v>
      </c>
      <c r="S18" s="9"/>
      <c r="T18" s="15"/>
      <c r="U18" s="11"/>
    </row>
    <row r="19" spans="2:21" x14ac:dyDescent="0.25">
      <c r="B19" s="46" t="s">
        <v>52</v>
      </c>
      <c r="C19" s="50">
        <v>10.199999999999999</v>
      </c>
      <c r="D19" s="41">
        <v>81</v>
      </c>
      <c r="E19" s="42">
        <v>0</v>
      </c>
      <c r="F19" s="42">
        <f>((($H$10*J19)+($H$11*G19)+($H$12*H19)+($H$13*0.95*J19)))</f>
        <v>107.834</v>
      </c>
      <c r="G19" s="11">
        <f>1.8*J19</f>
        <v>14.4</v>
      </c>
      <c r="H19" s="40">
        <f>1.9*J19</f>
        <v>15.2</v>
      </c>
      <c r="I19" s="11">
        <v>3036.88</v>
      </c>
      <c r="J19" s="45">
        <v>8</v>
      </c>
      <c r="L19" s="51" t="s">
        <v>8</v>
      </c>
      <c r="M19" s="52">
        <f>((E11+E12)*J28)+(H6*G28*((E5+E6)/2))+(H6*G28*E3)+(H7*E6*J28)+(H7*E3*J28)+(H3*G28*E6)+(H3*G28*E3)+(D28*E4)+(D28*E3)+(C28*E10)+E28+(F28*E6)+(F28*E3)</f>
        <v>5815.1446364937492</v>
      </c>
      <c r="O19" s="10" t="s">
        <v>8</v>
      </c>
      <c r="P19" s="53">
        <f>((E11+E12)*J29)+(H6*G29*((E6+E5)/2))+(H6*G29*E3)+(H7*E6*J29)+(H7*E3*J29)+(H3*G29*E6)+(H3*G29*E3)+(D29*E4)+(D29*E3)+(C29*E10)+E29+(F29*E6)+(F29*E3)</f>
        <v>6339.6439577933743</v>
      </c>
      <c r="R19" s="10" t="s">
        <v>8</v>
      </c>
      <c r="S19" s="12">
        <f>((E11+E12)*J30)+(H6*G30*((E5+E6)/2))+(H6*G30*E3)+(H7*E6*J30)+(H7*E3*J30)+(H3*G30*E6)+(H3*G30*E3)+(D30*E4)+(D30*E3)+(C30*E10)+E30+(F30*E6)+(F30*E3)</f>
        <v>3577.535168674</v>
      </c>
      <c r="T19" s="15"/>
      <c r="U19" s="11"/>
    </row>
    <row r="20" spans="2:21" x14ac:dyDescent="0.25">
      <c r="B20" s="46" t="s">
        <v>53</v>
      </c>
      <c r="C20" s="40">
        <v>30.2</v>
      </c>
      <c r="D20" s="47">
        <v>77</v>
      </c>
      <c r="E20" s="42">
        <v>75.599999999999994</v>
      </c>
      <c r="F20" s="42">
        <f>((($H$10*J20)+($H$11*G20)+($H$12*H20)+($H$13*0.9*J20)))</f>
        <v>95.752299999999991</v>
      </c>
      <c r="G20" s="40">
        <f>2*J20</f>
        <v>14</v>
      </c>
      <c r="H20" s="40">
        <f>1.9*J20</f>
        <v>13.299999999999999</v>
      </c>
      <c r="I20" s="11">
        <v>2919.49</v>
      </c>
      <c r="J20" s="45">
        <v>7</v>
      </c>
      <c r="L20" s="19" t="s">
        <v>11</v>
      </c>
      <c r="M20" s="20">
        <f>M19/I28</f>
        <v>1.4678036843085842</v>
      </c>
      <c r="O20" s="19" t="s">
        <v>11</v>
      </c>
      <c r="P20" s="20">
        <f>P19/I29</f>
        <v>1.8848354267261407</v>
      </c>
      <c r="R20" s="19" t="s">
        <v>11</v>
      </c>
      <c r="S20" s="20">
        <f>S19/I30</f>
        <v>1.2496193260938209</v>
      </c>
      <c r="T20" s="15"/>
      <c r="U20" s="11"/>
    </row>
    <row r="21" spans="2:21" x14ac:dyDescent="0.25">
      <c r="B21" s="46" t="s">
        <v>54</v>
      </c>
      <c r="C21" s="40">
        <v>75.3</v>
      </c>
      <c r="D21" s="47">
        <v>150</v>
      </c>
      <c r="E21" s="42">
        <v>196.2</v>
      </c>
      <c r="F21" s="42">
        <f>((($H$10*J21)+($H$11*G21)+($H$12*H21)+($H$13*0.9*J21)))</f>
        <v>135.91</v>
      </c>
      <c r="G21" s="11">
        <f>1.9*J21</f>
        <v>19</v>
      </c>
      <c r="H21" s="40">
        <f>2.1*J21</f>
        <v>21</v>
      </c>
      <c r="I21" s="11">
        <v>4173.8</v>
      </c>
      <c r="J21" s="45">
        <v>10</v>
      </c>
      <c r="T21" s="15"/>
      <c r="U21" s="11"/>
    </row>
    <row r="22" spans="2:21" x14ac:dyDescent="0.25">
      <c r="B22" s="46" t="s">
        <v>55</v>
      </c>
      <c r="C22" s="40">
        <v>166</v>
      </c>
      <c r="D22" s="47">
        <v>206</v>
      </c>
      <c r="E22" s="42">
        <v>254.2</v>
      </c>
      <c r="F22" s="42">
        <f>((($H$10*J22)+($H$11*G22)+($H$12*H22)+($H$13*0.85*J22)))</f>
        <v>117.56565000000001</v>
      </c>
      <c r="G22" s="11">
        <f>1.9*J22</f>
        <v>17.099999999999998</v>
      </c>
      <c r="H22" s="40">
        <f>1.5*J22</f>
        <v>13.5</v>
      </c>
      <c r="I22" s="11">
        <v>5715.9</v>
      </c>
      <c r="J22" s="45">
        <v>9</v>
      </c>
      <c r="L22" s="8" t="s">
        <v>56</v>
      </c>
      <c r="M22" s="9"/>
      <c r="O22" s="8" t="s">
        <v>57</v>
      </c>
      <c r="P22" s="9"/>
      <c r="T22" s="15"/>
      <c r="U22" s="11"/>
    </row>
    <row r="23" spans="2:21" x14ac:dyDescent="0.25">
      <c r="B23" s="46" t="s">
        <v>58</v>
      </c>
      <c r="C23" s="40">
        <v>416.5</v>
      </c>
      <c r="D23" s="47">
        <v>444</v>
      </c>
      <c r="E23" s="42">
        <v>254.2</v>
      </c>
      <c r="F23" s="42">
        <f>((($H$10*J23)+($H$11*G23)+($H$12*H23)+($H$13*0.5*J23)))</f>
        <v>109.67489999999999</v>
      </c>
      <c r="G23" s="11">
        <f>2*J23</f>
        <v>18</v>
      </c>
      <c r="H23" s="40">
        <f>2.05*J23</f>
        <v>18.45</v>
      </c>
      <c r="I23" s="11">
        <v>4797.8999999999996</v>
      </c>
      <c r="J23" s="45">
        <v>9</v>
      </c>
      <c r="L23" s="10" t="s">
        <v>8</v>
      </c>
      <c r="M23" s="12">
        <f>((E11+E12)*J31)+(H6*G31*((E5+E6)/2))+(H6*G31*E3)+(H7*E6*J31)+(H7*E3*J31)+(H3*G31*E6)+(H3*G31*E3)+(D31*E4)+(D31*E3)+(C31*E10)+E31+(F31*E6)+(F31*E3)</f>
        <v>2228.9585501000001</v>
      </c>
      <c r="O23" s="10" t="s">
        <v>8</v>
      </c>
      <c r="P23" s="12">
        <f>((E11+E12)*J32)+(H6*G32*((E6+E5)/2))+(H6*G32*E3)+(H7*E6*J32)+(H7*E3*J32)+(H3*G32*E6)+(H3*G32*E3)+(D32*E4)+(D32*E3)+(C32*E10)+E32+(F32*E6)+(F32*E3)</f>
        <v>2121.9911849284999</v>
      </c>
      <c r="T23" s="15"/>
      <c r="U23" s="11"/>
    </row>
    <row r="24" spans="2:21" x14ac:dyDescent="0.25">
      <c r="B24" s="46" t="s">
        <v>59</v>
      </c>
      <c r="C24" s="40">
        <v>327.5</v>
      </c>
      <c r="D24" s="47">
        <v>337</v>
      </c>
      <c r="E24" s="42">
        <v>1088.3</v>
      </c>
      <c r="F24" s="42">
        <f>((($H$10*J24)+($H$11*G24)+($H$12*H24)+($H$13*0.75*J24)))</f>
        <v>43.708599999999997</v>
      </c>
      <c r="G24" s="11">
        <f>1.3*J24</f>
        <v>5.2</v>
      </c>
      <c r="H24" s="40">
        <f>0.5*J24</f>
        <v>2</v>
      </c>
      <c r="I24" s="11">
        <v>1274.4000000000001</v>
      </c>
      <c r="J24" s="45">
        <v>4</v>
      </c>
      <c r="L24" s="19" t="s">
        <v>11</v>
      </c>
      <c r="M24" s="20">
        <f>M23/I31</f>
        <v>0.35638247475377338</v>
      </c>
      <c r="N24" s="14"/>
      <c r="O24" s="19" t="s">
        <v>11</v>
      </c>
      <c r="P24" s="20">
        <f>P23/I32</f>
        <v>0.74185120435201368</v>
      </c>
      <c r="T24" s="15"/>
      <c r="U24" s="11"/>
    </row>
    <row r="25" spans="2:21" x14ac:dyDescent="0.25">
      <c r="B25" s="46" t="s">
        <v>60</v>
      </c>
      <c r="C25" s="40">
        <v>85.8</v>
      </c>
      <c r="D25" s="47">
        <v>152</v>
      </c>
      <c r="E25" s="42">
        <v>280.8</v>
      </c>
      <c r="F25" s="42">
        <f>((($H$10*J25)+($H$11*G25)+($H$12*H25)+($H$13*0.65*J25)))</f>
        <v>90.404650000000004</v>
      </c>
      <c r="G25" s="11">
        <f>2*J25</f>
        <v>14</v>
      </c>
      <c r="H25" s="40">
        <f>2.3*J25</f>
        <v>16.099999999999998</v>
      </c>
      <c r="I25" s="40">
        <v>5019.8999999999996</v>
      </c>
      <c r="J25" s="45">
        <v>7</v>
      </c>
      <c r="T25" s="15"/>
      <c r="U25" s="11"/>
    </row>
    <row r="26" spans="2:21" x14ac:dyDescent="0.25">
      <c r="B26" s="46" t="s">
        <v>61</v>
      </c>
      <c r="C26" s="40">
        <v>31.1</v>
      </c>
      <c r="D26" s="47">
        <v>98</v>
      </c>
      <c r="E26" s="42">
        <v>84.6</v>
      </c>
      <c r="F26" s="42">
        <f>((($H$10*J26)+($H$11*G26)+($H$12*H26)+($H$13*0.5*J26)))</f>
        <v>118.82499999999999</v>
      </c>
      <c r="G26" s="11">
        <f>2*J26</f>
        <v>20</v>
      </c>
      <c r="H26" s="40">
        <f>1.5*J26</f>
        <v>15</v>
      </c>
      <c r="I26" s="11">
        <v>4581</v>
      </c>
      <c r="J26" s="45">
        <v>10</v>
      </c>
      <c r="T26" s="15"/>
      <c r="U26" s="11"/>
    </row>
    <row r="27" spans="2:21" x14ac:dyDescent="0.25">
      <c r="B27" s="46" t="s">
        <v>62</v>
      </c>
      <c r="C27" s="40">
        <v>269.5</v>
      </c>
      <c r="D27" s="47">
        <v>320</v>
      </c>
      <c r="E27" s="42">
        <v>218.7</v>
      </c>
      <c r="F27" s="42">
        <f>((($H$10*J27)+($H$11*G27)+($H$12*H27)+($H$13*0.4*J27)))</f>
        <v>92.5304</v>
      </c>
      <c r="G27" s="11">
        <f>1.9*J27</f>
        <v>15.2</v>
      </c>
      <c r="H27" s="40">
        <f>2*J27</f>
        <v>16</v>
      </c>
      <c r="I27" s="11">
        <v>3337.04</v>
      </c>
      <c r="J27" s="45">
        <v>8</v>
      </c>
      <c r="L27" s="54" t="s">
        <v>63</v>
      </c>
      <c r="M27" s="55">
        <f>M3+P3+S3+M7+P7+S7+M11+P11+S11+M15+P15+S15+M19+P19+S19+M23+P23</f>
        <v>78016.407814626436</v>
      </c>
      <c r="N27" s="71"/>
    </row>
    <row r="28" spans="2:21" x14ac:dyDescent="0.25">
      <c r="B28" s="46" t="s">
        <v>64</v>
      </c>
      <c r="C28" s="40">
        <v>313.39999999999998</v>
      </c>
      <c r="D28" s="47">
        <v>353</v>
      </c>
      <c r="E28" s="42">
        <v>218.7</v>
      </c>
      <c r="F28" s="42">
        <f>((($H$10*J28)+($H$11*G28)+($H$12*H28)+($H$13*0.3*J28)))</f>
        <v>75.498000000000005</v>
      </c>
      <c r="G28" s="11">
        <f>2.5*J28</f>
        <v>15</v>
      </c>
      <c r="H28" s="40">
        <f>2.4*J28</f>
        <v>14.399999999999999</v>
      </c>
      <c r="I28" s="40">
        <v>3961.8</v>
      </c>
      <c r="J28" s="45">
        <v>6</v>
      </c>
      <c r="L28" s="56" t="s">
        <v>65</v>
      </c>
      <c r="M28" s="57">
        <f>M27/I33</f>
        <v>1.25116502771191</v>
      </c>
      <c r="N28" s="58"/>
    </row>
    <row r="29" spans="2:21" x14ac:dyDescent="0.25">
      <c r="B29" s="46" t="s">
        <v>66</v>
      </c>
      <c r="C29" s="40">
        <v>263.89999999999998</v>
      </c>
      <c r="D29" s="47">
        <v>360</v>
      </c>
      <c r="E29" s="42">
        <v>959.2</v>
      </c>
      <c r="F29" s="42">
        <f>((($H$10*J29)+($H$11*G29)+($H$12*H29)+($H$13*0.45*J29)))</f>
        <v>78.793750000000003</v>
      </c>
      <c r="G29" s="11">
        <f>1.7*J29</f>
        <v>11.9</v>
      </c>
      <c r="H29" s="40">
        <f>1.8*J29</f>
        <v>12.6</v>
      </c>
      <c r="I29" s="11">
        <v>3363.5</v>
      </c>
      <c r="J29" s="45">
        <v>7</v>
      </c>
      <c r="M29" s="58"/>
    </row>
    <row r="30" spans="2:21" x14ac:dyDescent="0.25">
      <c r="B30" s="46" t="s">
        <v>67</v>
      </c>
      <c r="C30" s="40">
        <v>92.6</v>
      </c>
      <c r="D30" s="47">
        <v>148</v>
      </c>
      <c r="E30" s="42">
        <v>301.60000000000002</v>
      </c>
      <c r="F30" s="42">
        <f>((($H$10*J30)+($H$11*G30)+($H$12*H30)+($H$13*0.8*J30)))</f>
        <v>110.9358</v>
      </c>
      <c r="G30" s="11">
        <f>1.6*J30</f>
        <v>14.4</v>
      </c>
      <c r="H30" s="40">
        <f>1.6*J30</f>
        <v>14.4</v>
      </c>
      <c r="I30" s="11">
        <v>2862.9</v>
      </c>
      <c r="J30" s="45">
        <v>9</v>
      </c>
    </row>
    <row r="31" spans="2:21" x14ac:dyDescent="0.25">
      <c r="B31" s="46" t="s">
        <v>68</v>
      </c>
      <c r="C31" s="40">
        <v>14.8</v>
      </c>
      <c r="D31" s="47">
        <v>84</v>
      </c>
      <c r="E31" s="42">
        <v>0</v>
      </c>
      <c r="F31" s="42">
        <f>((($H$10*J31)+($H$11*G31)+($H$12*H31)+($H$13*0.9*J31)))</f>
        <v>108.7688</v>
      </c>
      <c r="G31" s="11">
        <f>2*J31</f>
        <v>16</v>
      </c>
      <c r="H31" s="40">
        <f>1.75*J31</f>
        <v>14</v>
      </c>
      <c r="I31" s="40">
        <v>6254.4</v>
      </c>
      <c r="J31" s="45">
        <v>8</v>
      </c>
      <c r="L31" s="48"/>
    </row>
    <row r="32" spans="2:21" x14ac:dyDescent="0.25">
      <c r="B32" s="59" t="s">
        <v>69</v>
      </c>
      <c r="C32" s="60">
        <v>64</v>
      </c>
      <c r="D32" s="61">
        <v>94</v>
      </c>
      <c r="E32" s="62">
        <v>242.2</v>
      </c>
      <c r="F32" s="42">
        <f>((($H$10*J32)+($H$11*G32)+($H$12*H32)+($H$13*0.4*J32)))</f>
        <v>55.742799999999995</v>
      </c>
      <c r="G32" s="31">
        <f>2.9*J32</f>
        <v>11.6</v>
      </c>
      <c r="H32" s="60">
        <f>2.7*J32</f>
        <v>10.8</v>
      </c>
      <c r="I32" s="31">
        <v>2860.4</v>
      </c>
      <c r="J32" s="45">
        <v>4</v>
      </c>
    </row>
    <row r="33" spans="2:12" x14ac:dyDescent="0.25">
      <c r="B33" s="63" t="s">
        <v>70</v>
      </c>
      <c r="C33" s="64">
        <f t="shared" ref="C33:J33" si="0">SUM(C16:C32)</f>
        <v>3316.0000000000005</v>
      </c>
      <c r="D33" s="64">
        <f t="shared" si="0"/>
        <v>4107</v>
      </c>
      <c r="E33" s="64">
        <f t="shared" si="0"/>
        <v>4864.7</v>
      </c>
      <c r="F33" s="64">
        <f t="shared" si="0"/>
        <v>1574.5763000000002</v>
      </c>
      <c r="G33" s="64">
        <f t="shared" si="0"/>
        <v>244.54999999999998</v>
      </c>
      <c r="H33" s="64">
        <f t="shared" si="0"/>
        <v>232.85000000000002</v>
      </c>
      <c r="I33" s="65">
        <f t="shared" si="0"/>
        <v>62355.010000000009</v>
      </c>
      <c r="J33" s="9">
        <f t="shared" si="0"/>
        <v>125</v>
      </c>
    </row>
    <row r="34" spans="2:12" x14ac:dyDescent="0.25">
      <c r="C34" s="48"/>
      <c r="D34" s="50"/>
      <c r="E34" s="48"/>
      <c r="F34" s="66"/>
      <c r="I34" s="67"/>
      <c r="K34" s="14"/>
      <c r="L34" s="14"/>
    </row>
    <row r="36" spans="2:12" x14ac:dyDescent="0.25">
      <c r="J36" s="68"/>
    </row>
    <row r="37" spans="2:12" x14ac:dyDescent="0.25">
      <c r="J37" s="69"/>
    </row>
    <row r="38" spans="2:12" x14ac:dyDescent="0.25">
      <c r="I38" s="70"/>
      <c r="J38" s="69"/>
    </row>
  </sheetData>
  <pageMargins left="0.7" right="0.7" top="0.75" bottom="0.75" header="0.3" footer="0.3"/>
  <ignoredErrors>
    <ignoredError sqref="G24 H18" formula="1"/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helse_000</dc:creator>
  <cp:lastModifiedBy>helse_000</cp:lastModifiedBy>
  <dcterms:created xsi:type="dcterms:W3CDTF">2018-06-01T20:48:19Z</dcterms:created>
  <dcterms:modified xsi:type="dcterms:W3CDTF">2018-06-04T07:23:20Z</dcterms:modified>
</cp:coreProperties>
</file>